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emsisd-my.sharepoint.com/personal/emselemelar_ems-isd_net/Documents/EMS Elementary ELAR SLAR Curriculum/Shared Inventory/"/>
    </mc:Choice>
  </mc:AlternateContent>
  <xr:revisionPtr revIDLastSave="19" documentId="8_{6539909D-2DEF-432F-9BFE-377E9A2D02F6}" xr6:coauthVersionLast="47" xr6:coauthVersionMax="47" xr10:uidLastSave="{B90F19D4-2652-405A-934E-97F9ADDBC881}"/>
  <bookViews>
    <workbookView xWindow="-108" yWindow="-108" windowWidth="23256" windowHeight="12456" firstSheet="1" activeTab="9" xr2:uid="{EB773FBB-57FE-4F1B-BBB2-61A3DCD63F8A}"/>
  </bookViews>
  <sheets>
    <sheet name="G2 Independent Reading" sheetId="3" r:id="rId1"/>
    <sheet name="G3 Independent Reading" sheetId="5" r:id="rId2"/>
    <sheet name="G3 On-Level" sheetId="6" r:id="rId3"/>
    <sheet name="G3 Below-Level" sheetId="7" r:id="rId4"/>
    <sheet name="G4 Independent Reading" sheetId="9" r:id="rId5"/>
    <sheet name="G4 On-Level" sheetId="10" r:id="rId6"/>
    <sheet name="G4 Below-Level" sheetId="11" r:id="rId7"/>
    <sheet name="G5 Independent Reading" sheetId="13" r:id="rId8"/>
    <sheet name="G5 On-Level" sheetId="14" r:id="rId9"/>
    <sheet name="G5 Below-Level" sheetId="1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9" i="13" l="1"/>
  <c r="D199" i="13"/>
  <c r="C199" i="13"/>
  <c r="B199" i="13"/>
  <c r="A199" i="13"/>
  <c r="E198" i="13"/>
  <c r="D198" i="13"/>
  <c r="C198" i="13"/>
  <c r="B198" i="13"/>
  <c r="A198" i="13"/>
  <c r="E197" i="13"/>
  <c r="D197" i="13"/>
  <c r="C197" i="13"/>
  <c r="B197" i="13"/>
  <c r="A197" i="13"/>
  <c r="E196" i="13"/>
  <c r="D196" i="13"/>
  <c r="C196" i="13"/>
  <c r="B196" i="13"/>
  <c r="A196" i="13"/>
  <c r="E195" i="13"/>
  <c r="D195" i="13"/>
  <c r="C195" i="13"/>
  <c r="B195" i="13"/>
  <c r="A195" i="13"/>
  <c r="E194" i="13"/>
  <c r="D194" i="13"/>
  <c r="C194" i="13"/>
  <c r="B194" i="13"/>
  <c r="A194" i="13"/>
  <c r="E193" i="13"/>
  <c r="D193" i="13"/>
  <c r="C193" i="13"/>
  <c r="B193" i="13"/>
  <c r="A193" i="13"/>
  <c r="E192" i="13"/>
  <c r="D192" i="13"/>
  <c r="C192" i="13"/>
  <c r="B192" i="13"/>
  <c r="A192" i="13"/>
  <c r="E191" i="13"/>
  <c r="D191" i="13"/>
  <c r="C191" i="13"/>
  <c r="B191" i="13"/>
  <c r="A191" i="13"/>
  <c r="E190" i="13"/>
  <c r="D190" i="13"/>
  <c r="C190" i="13"/>
  <c r="B190" i="13"/>
  <c r="A190" i="13"/>
  <c r="E189" i="13"/>
  <c r="D189" i="13"/>
  <c r="C189" i="13"/>
  <c r="B189" i="13"/>
  <c r="A189" i="13"/>
  <c r="E188" i="13"/>
  <c r="D188" i="13"/>
  <c r="C188" i="13"/>
  <c r="B188" i="13"/>
  <c r="A188" i="13"/>
  <c r="E187" i="13"/>
  <c r="D187" i="13"/>
  <c r="C187" i="13"/>
  <c r="B187" i="13"/>
  <c r="A187" i="13"/>
  <c r="E186" i="13"/>
  <c r="D186" i="13"/>
  <c r="C186" i="13"/>
  <c r="B186" i="13"/>
  <c r="A186" i="13"/>
  <c r="E185" i="13"/>
  <c r="D185" i="13"/>
  <c r="C185" i="13"/>
  <c r="B185" i="13"/>
  <c r="A185" i="13"/>
  <c r="E184" i="13"/>
  <c r="D184" i="13"/>
  <c r="C184" i="13"/>
  <c r="B184" i="13"/>
  <c r="A184" i="13"/>
  <c r="E183" i="13"/>
  <c r="D183" i="13"/>
  <c r="C183" i="13"/>
  <c r="B183" i="13"/>
  <c r="A183" i="13"/>
  <c r="E182" i="13"/>
  <c r="D182" i="13"/>
  <c r="C182" i="13"/>
  <c r="B182" i="13"/>
  <c r="A182" i="13"/>
  <c r="E181" i="13"/>
  <c r="D181" i="13"/>
  <c r="C181" i="13"/>
  <c r="B181" i="13"/>
  <c r="A181" i="13"/>
  <c r="E180" i="13"/>
  <c r="D180" i="13"/>
  <c r="C180" i="13"/>
  <c r="B180" i="13"/>
  <c r="A180" i="13"/>
  <c r="E179" i="13"/>
  <c r="D179" i="13"/>
  <c r="C179" i="13"/>
  <c r="B179" i="13"/>
  <c r="A179" i="13"/>
  <c r="E178" i="13"/>
  <c r="D178" i="13"/>
  <c r="C178" i="13"/>
  <c r="B178" i="13"/>
  <c r="A178" i="13"/>
  <c r="E177" i="13"/>
  <c r="D177" i="13"/>
  <c r="C177" i="13"/>
  <c r="B177" i="13"/>
  <c r="A177" i="13"/>
  <c r="E176" i="13"/>
  <c r="D176" i="13"/>
  <c r="C176" i="13"/>
  <c r="B176" i="13"/>
  <c r="A176" i="13"/>
  <c r="E175" i="13"/>
  <c r="D175" i="13"/>
  <c r="C175" i="13"/>
  <c r="B175" i="13"/>
  <c r="A175" i="13"/>
  <c r="E174" i="13"/>
  <c r="D174" i="13"/>
  <c r="C174" i="13"/>
  <c r="B174" i="13"/>
  <c r="A174" i="13"/>
  <c r="E173" i="13"/>
  <c r="D173" i="13"/>
  <c r="C173" i="13"/>
  <c r="B173" i="13"/>
  <c r="A173" i="13"/>
  <c r="E172" i="13"/>
  <c r="D172" i="13"/>
  <c r="C172" i="13"/>
  <c r="B172" i="13"/>
  <c r="A172" i="13"/>
  <c r="E171" i="13"/>
  <c r="D171" i="13"/>
  <c r="C171" i="13"/>
  <c r="B171" i="13"/>
  <c r="A171" i="13"/>
  <c r="E170" i="13"/>
  <c r="D170" i="13"/>
  <c r="C170" i="13"/>
  <c r="B170" i="13"/>
  <c r="A170" i="13"/>
  <c r="E169" i="13"/>
  <c r="D169" i="13"/>
  <c r="C169" i="13"/>
  <c r="B169" i="13"/>
  <c r="A169" i="13"/>
  <c r="E168" i="13"/>
  <c r="D168" i="13"/>
  <c r="C168" i="13"/>
  <c r="B168" i="13"/>
  <c r="A168" i="13"/>
  <c r="E167" i="13"/>
  <c r="D167" i="13"/>
  <c r="C167" i="13"/>
  <c r="B167" i="13"/>
  <c r="A167" i="13"/>
  <c r="E166" i="13"/>
  <c r="D166" i="13"/>
  <c r="C166" i="13"/>
  <c r="B166" i="13"/>
  <c r="A166" i="13"/>
  <c r="E165" i="13"/>
  <c r="D165" i="13"/>
  <c r="C165" i="13"/>
  <c r="B165" i="13"/>
  <c r="A165" i="13"/>
  <c r="E164" i="13"/>
  <c r="D164" i="13"/>
  <c r="C164" i="13"/>
  <c r="B164" i="13"/>
  <c r="A164" i="13"/>
  <c r="E163" i="13"/>
  <c r="D163" i="13"/>
  <c r="C163" i="13"/>
  <c r="B163" i="13"/>
  <c r="A163" i="13"/>
  <c r="E162" i="13"/>
  <c r="D162" i="13"/>
  <c r="C162" i="13"/>
  <c r="B162" i="13"/>
  <c r="A162" i="13"/>
  <c r="E161" i="13"/>
  <c r="D161" i="13"/>
  <c r="C161" i="13"/>
  <c r="B161" i="13"/>
  <c r="A161" i="13"/>
  <c r="E160" i="13"/>
  <c r="D160" i="13"/>
  <c r="C160" i="13"/>
  <c r="B160" i="13"/>
  <c r="A160" i="13"/>
  <c r="E159" i="13"/>
  <c r="D159" i="13"/>
  <c r="C159" i="13"/>
  <c r="B159" i="13"/>
  <c r="A159" i="13"/>
  <c r="E158" i="13"/>
  <c r="D158" i="13"/>
  <c r="C158" i="13"/>
  <c r="B158" i="13"/>
  <c r="A158" i="13"/>
  <c r="E157" i="13"/>
  <c r="D157" i="13"/>
  <c r="C157" i="13"/>
  <c r="B157" i="13"/>
  <c r="A157" i="13"/>
  <c r="E156" i="13"/>
  <c r="D156" i="13"/>
  <c r="C156" i="13"/>
  <c r="B156" i="13"/>
  <c r="A156" i="13"/>
  <c r="E155" i="13"/>
  <c r="D155" i="13"/>
  <c r="C155" i="13"/>
  <c r="B155" i="13"/>
  <c r="A155" i="13"/>
  <c r="E154" i="13"/>
  <c r="D154" i="13"/>
  <c r="C154" i="13"/>
  <c r="B154" i="13"/>
  <c r="A154" i="13"/>
  <c r="E153" i="13"/>
  <c r="D153" i="13"/>
  <c r="C153" i="13"/>
  <c r="B153" i="13"/>
  <c r="A153" i="13"/>
  <c r="E152" i="13"/>
  <c r="D152" i="13"/>
  <c r="C152" i="13"/>
  <c r="B152" i="13"/>
  <c r="A152" i="13"/>
  <c r="E151" i="13"/>
  <c r="D151" i="13"/>
  <c r="C151" i="13"/>
  <c r="B151" i="13"/>
  <c r="A151" i="13"/>
  <c r="E150" i="13"/>
  <c r="D150" i="13"/>
  <c r="C150" i="13"/>
  <c r="B150" i="13"/>
  <c r="A150" i="13"/>
  <c r="E149" i="13"/>
  <c r="D149" i="13"/>
  <c r="C149" i="13"/>
  <c r="B149" i="13"/>
  <c r="A149" i="13"/>
  <c r="E148" i="13"/>
  <c r="D148" i="13"/>
  <c r="C148" i="13"/>
  <c r="B148" i="13"/>
  <c r="A148" i="13"/>
  <c r="E147" i="13"/>
  <c r="D147" i="13"/>
  <c r="C147" i="13"/>
  <c r="B147" i="13"/>
  <c r="A147" i="13"/>
  <c r="E146" i="13"/>
  <c r="D146" i="13"/>
  <c r="C146" i="13"/>
  <c r="B146" i="13"/>
  <c r="A146" i="13"/>
  <c r="E145" i="13"/>
  <c r="D145" i="13"/>
  <c r="C145" i="13"/>
  <c r="B145" i="13"/>
  <c r="A145" i="13"/>
  <c r="E144" i="13"/>
  <c r="D144" i="13"/>
  <c r="C144" i="13"/>
  <c r="B144" i="13"/>
  <c r="A144" i="13"/>
  <c r="E143" i="13"/>
  <c r="D143" i="13"/>
  <c r="C143" i="13"/>
  <c r="B143" i="13"/>
  <c r="A143" i="13"/>
  <c r="E142" i="13"/>
  <c r="D142" i="13"/>
  <c r="C142" i="13"/>
  <c r="B142" i="13"/>
  <c r="A142" i="13"/>
  <c r="E141" i="13"/>
  <c r="D141" i="13"/>
  <c r="C141" i="13"/>
  <c r="B141" i="13"/>
  <c r="A141" i="13"/>
  <c r="E140" i="13"/>
  <c r="D140" i="13"/>
  <c r="C140" i="13"/>
  <c r="B140" i="13"/>
  <c r="A140" i="13"/>
  <c r="E139" i="13"/>
  <c r="D139" i="13"/>
  <c r="C139" i="13"/>
  <c r="B139" i="13"/>
  <c r="A139" i="13"/>
  <c r="E138" i="13"/>
  <c r="D138" i="13"/>
  <c r="C138" i="13"/>
  <c r="B138" i="13"/>
  <c r="A138" i="13"/>
  <c r="E137" i="13"/>
  <c r="D137" i="13"/>
  <c r="C137" i="13"/>
  <c r="B137" i="13"/>
  <c r="A137" i="13"/>
  <c r="E136" i="13"/>
  <c r="D136" i="13"/>
  <c r="C136" i="13"/>
  <c r="B136" i="13"/>
  <c r="A136" i="13"/>
  <c r="E135" i="13"/>
  <c r="D135" i="13"/>
  <c r="C135" i="13"/>
  <c r="B135" i="13"/>
  <c r="A135" i="13"/>
  <c r="E134" i="13"/>
  <c r="D134" i="13"/>
  <c r="C134" i="13"/>
  <c r="B134" i="13"/>
  <c r="A134" i="13"/>
  <c r="E133" i="13"/>
  <c r="D133" i="13"/>
  <c r="C133" i="13"/>
  <c r="B133" i="13"/>
  <c r="A133" i="13"/>
  <c r="E132" i="13"/>
  <c r="D132" i="13"/>
  <c r="C132" i="13"/>
  <c r="B132" i="13"/>
  <c r="A132" i="13"/>
  <c r="E131" i="13"/>
  <c r="D131" i="13"/>
  <c r="C131" i="13"/>
  <c r="B131" i="13"/>
  <c r="A131" i="13"/>
  <c r="E130" i="13"/>
  <c r="D130" i="13"/>
  <c r="C130" i="13"/>
  <c r="B130" i="13"/>
  <c r="A130" i="13"/>
  <c r="E129" i="13"/>
  <c r="D129" i="13"/>
  <c r="C129" i="13"/>
  <c r="B129" i="13"/>
  <c r="A129" i="13"/>
  <c r="E128" i="13"/>
  <c r="D128" i="13"/>
  <c r="C128" i="13"/>
  <c r="B128" i="13"/>
  <c r="A128" i="13"/>
  <c r="E127" i="13"/>
  <c r="D127" i="13"/>
  <c r="C127" i="13"/>
  <c r="B127" i="13"/>
  <c r="A127" i="13"/>
  <c r="E126" i="13"/>
  <c r="D126" i="13"/>
  <c r="C126" i="13"/>
  <c r="B126" i="13"/>
  <c r="A126" i="13"/>
  <c r="E125" i="13"/>
  <c r="D125" i="13"/>
  <c r="C125" i="13"/>
  <c r="B125" i="13"/>
  <c r="A125" i="13"/>
  <c r="E124" i="13"/>
  <c r="D124" i="13"/>
  <c r="C124" i="13"/>
  <c r="B124" i="13"/>
  <c r="A124" i="13"/>
  <c r="E123" i="13"/>
  <c r="D123" i="13"/>
  <c r="C123" i="13"/>
  <c r="B123" i="13"/>
  <c r="A123" i="13"/>
  <c r="E122" i="13"/>
  <c r="D122" i="13"/>
  <c r="C122" i="13"/>
  <c r="B122" i="13"/>
  <c r="A122" i="13"/>
  <c r="E121" i="13"/>
  <c r="D121" i="13"/>
  <c r="C121" i="13"/>
  <c r="B121" i="13"/>
  <c r="A121" i="13"/>
  <c r="E120" i="13"/>
  <c r="D120" i="13"/>
  <c r="C120" i="13"/>
  <c r="B120" i="13"/>
  <c r="A120" i="13"/>
  <c r="E119" i="13"/>
  <c r="D119" i="13"/>
  <c r="C119" i="13"/>
  <c r="B119" i="13"/>
  <c r="A119" i="13"/>
  <c r="E118" i="13"/>
  <c r="D118" i="13"/>
  <c r="C118" i="13"/>
  <c r="B118" i="13"/>
  <c r="A118" i="13"/>
  <c r="E117" i="13"/>
  <c r="D117" i="13"/>
  <c r="C117" i="13"/>
  <c r="B117" i="13"/>
  <c r="A117" i="13"/>
  <c r="E116" i="13"/>
  <c r="D116" i="13"/>
  <c r="C116" i="13"/>
  <c r="B116" i="13"/>
  <c r="A116" i="13"/>
  <c r="E115" i="13"/>
  <c r="D115" i="13"/>
  <c r="C115" i="13"/>
  <c r="B115" i="13"/>
  <c r="A115" i="13"/>
  <c r="E114" i="13"/>
  <c r="D114" i="13"/>
  <c r="C114" i="13"/>
  <c r="B114" i="13"/>
  <c r="A114" i="13"/>
  <c r="E113" i="13"/>
  <c r="D113" i="13"/>
  <c r="C113" i="13"/>
  <c r="B113" i="13"/>
  <c r="A113" i="13"/>
  <c r="E112" i="13"/>
  <c r="D112" i="13"/>
  <c r="C112" i="13"/>
  <c r="B112" i="13"/>
  <c r="A112" i="13"/>
  <c r="E111" i="13"/>
  <c r="D111" i="13"/>
  <c r="C111" i="13"/>
  <c r="B111" i="13"/>
  <c r="A111" i="13"/>
  <c r="E110" i="13"/>
  <c r="D110" i="13"/>
  <c r="C110" i="13"/>
  <c r="B110" i="13"/>
  <c r="A110" i="13"/>
  <c r="E109" i="13"/>
  <c r="D109" i="13"/>
  <c r="C109" i="13"/>
  <c r="B109" i="13"/>
  <c r="A109" i="13"/>
  <c r="E108" i="13"/>
  <c r="D108" i="13"/>
  <c r="C108" i="13"/>
  <c r="B108" i="13"/>
  <c r="A108" i="13"/>
  <c r="E107" i="13"/>
  <c r="D107" i="13"/>
  <c r="C107" i="13"/>
  <c r="B107" i="13"/>
  <c r="A107" i="13"/>
  <c r="E106" i="13"/>
  <c r="D106" i="13"/>
  <c r="C106" i="13"/>
  <c r="B106" i="13"/>
  <c r="A106" i="13"/>
  <c r="E105" i="13"/>
  <c r="D105" i="13"/>
  <c r="C105" i="13"/>
  <c r="B105" i="13"/>
  <c r="A105" i="13"/>
  <c r="E104" i="13"/>
  <c r="D104" i="13"/>
  <c r="C104" i="13"/>
  <c r="B104" i="13"/>
  <c r="A104" i="13"/>
  <c r="E103" i="13"/>
  <c r="D103" i="13"/>
  <c r="C103" i="13"/>
  <c r="B103" i="13"/>
  <c r="A103" i="13"/>
  <c r="E102" i="13"/>
  <c r="D102" i="13"/>
  <c r="C102" i="13"/>
  <c r="B102" i="13"/>
  <c r="A102" i="13"/>
  <c r="E101" i="13"/>
  <c r="D101" i="13"/>
  <c r="C101" i="13"/>
  <c r="B101" i="13"/>
  <c r="A101" i="13"/>
  <c r="E100" i="13"/>
  <c r="D100" i="13"/>
  <c r="C100" i="13"/>
  <c r="B100" i="13"/>
  <c r="A100" i="13"/>
  <c r="E99" i="13"/>
  <c r="D99" i="13"/>
  <c r="C99" i="13"/>
  <c r="B99" i="13"/>
  <c r="A99" i="13"/>
  <c r="E98" i="13"/>
  <c r="D98" i="13"/>
  <c r="C98" i="13"/>
  <c r="B98" i="13"/>
  <c r="A98" i="13"/>
  <c r="E97" i="13"/>
  <c r="D97" i="13"/>
  <c r="C97" i="13"/>
  <c r="B97" i="13"/>
  <c r="A97" i="13"/>
  <c r="E96" i="13"/>
  <c r="D96" i="13"/>
  <c r="C96" i="13"/>
  <c r="B96" i="13"/>
  <c r="A96" i="13"/>
  <c r="E95" i="13"/>
  <c r="D95" i="13"/>
  <c r="C95" i="13"/>
  <c r="B95" i="13"/>
  <c r="A95" i="13"/>
  <c r="E94" i="13"/>
  <c r="D94" i="13"/>
  <c r="C94" i="13"/>
  <c r="B94" i="13"/>
  <c r="A94" i="13"/>
  <c r="E93" i="13"/>
  <c r="D93" i="13"/>
  <c r="C93" i="13"/>
  <c r="B93" i="13"/>
  <c r="A93" i="13"/>
  <c r="E92" i="13"/>
  <c r="D92" i="13"/>
  <c r="C92" i="13"/>
  <c r="B92" i="13"/>
  <c r="A92" i="13"/>
  <c r="E91" i="13"/>
  <c r="D91" i="13"/>
  <c r="C91" i="13"/>
  <c r="B91" i="13"/>
  <c r="A91" i="13"/>
  <c r="E90" i="13"/>
  <c r="D90" i="13"/>
  <c r="C90" i="13"/>
  <c r="B90" i="13"/>
  <c r="A90" i="13"/>
  <c r="E89" i="13"/>
  <c r="D89" i="13"/>
  <c r="C89" i="13"/>
  <c r="B89" i="13"/>
  <c r="A89" i="13"/>
  <c r="E88" i="13"/>
  <c r="D88" i="13"/>
  <c r="C88" i="13"/>
  <c r="B88" i="13"/>
  <c r="A88" i="13"/>
  <c r="E87" i="13"/>
  <c r="D87" i="13"/>
  <c r="C87" i="13"/>
  <c r="B87" i="13"/>
  <c r="A87" i="13"/>
  <c r="E86" i="13"/>
  <c r="D86" i="13"/>
  <c r="C86" i="13"/>
  <c r="B86" i="13"/>
  <c r="A86" i="13"/>
  <c r="E85" i="13"/>
  <c r="D85" i="13"/>
  <c r="C85" i="13"/>
  <c r="B85" i="13"/>
  <c r="A85" i="13"/>
  <c r="E84" i="13"/>
  <c r="D84" i="13"/>
  <c r="C84" i="13"/>
  <c r="B84" i="13"/>
  <c r="A84" i="13"/>
  <c r="E83" i="13"/>
  <c r="D83" i="13"/>
  <c r="C83" i="13"/>
  <c r="B83" i="13"/>
  <c r="A83" i="13"/>
  <c r="E82" i="13"/>
  <c r="D82" i="13"/>
  <c r="C82" i="13"/>
  <c r="B82" i="13"/>
  <c r="A82" i="13"/>
  <c r="E81" i="13"/>
  <c r="D81" i="13"/>
  <c r="C81" i="13"/>
  <c r="B81" i="13"/>
  <c r="A81" i="13"/>
  <c r="E80" i="13"/>
  <c r="D80" i="13"/>
  <c r="C80" i="13"/>
  <c r="B80" i="13"/>
  <c r="A80" i="13"/>
  <c r="E79" i="13"/>
  <c r="D79" i="13"/>
  <c r="C79" i="13"/>
  <c r="B79" i="13"/>
  <c r="A79" i="13"/>
  <c r="E78" i="13"/>
  <c r="D78" i="13"/>
  <c r="C78" i="13"/>
  <c r="B78" i="13"/>
  <c r="A78" i="13"/>
  <c r="E77" i="13"/>
  <c r="D77" i="13"/>
  <c r="C77" i="13"/>
  <c r="B77" i="13"/>
  <c r="A77" i="13"/>
  <c r="E76" i="13"/>
  <c r="D76" i="13"/>
  <c r="C76" i="13"/>
  <c r="B76" i="13"/>
  <c r="A76" i="13"/>
  <c r="E75" i="13"/>
  <c r="D75" i="13"/>
  <c r="C75" i="13"/>
  <c r="B75" i="13"/>
  <c r="A75" i="13"/>
  <c r="E74" i="13"/>
  <c r="D74" i="13"/>
  <c r="C74" i="13"/>
  <c r="B74" i="13"/>
  <c r="A74" i="13"/>
  <c r="E73" i="13"/>
  <c r="D73" i="13"/>
  <c r="C73" i="13"/>
  <c r="B73" i="13"/>
  <c r="A73" i="13"/>
  <c r="E72" i="13"/>
  <c r="D72" i="13"/>
  <c r="C72" i="13"/>
  <c r="B72" i="13"/>
  <c r="A72" i="13"/>
  <c r="E71" i="13"/>
  <c r="D71" i="13"/>
  <c r="C71" i="13"/>
  <c r="B71" i="13"/>
  <c r="A71" i="13"/>
  <c r="E70" i="13"/>
  <c r="D70" i="13"/>
  <c r="C70" i="13"/>
  <c r="B70" i="13"/>
  <c r="A70" i="13"/>
  <c r="E69" i="13"/>
  <c r="D69" i="13"/>
  <c r="C69" i="13"/>
  <c r="B69" i="13"/>
  <c r="A69" i="13"/>
  <c r="E68" i="13"/>
  <c r="D68" i="13"/>
  <c r="C68" i="13"/>
  <c r="B68" i="13"/>
  <c r="A68" i="13"/>
  <c r="E67" i="13"/>
  <c r="D67" i="13"/>
  <c r="C67" i="13"/>
  <c r="B67" i="13"/>
  <c r="A67" i="13"/>
  <c r="E66" i="13"/>
  <c r="D66" i="13"/>
  <c r="C66" i="13"/>
  <c r="B66" i="13"/>
  <c r="A66" i="13"/>
  <c r="E65" i="13"/>
  <c r="D65" i="13"/>
  <c r="C65" i="13"/>
  <c r="B65" i="13"/>
  <c r="A65" i="13"/>
  <c r="E64" i="13"/>
  <c r="D64" i="13"/>
  <c r="C64" i="13"/>
  <c r="B64" i="13"/>
  <c r="A64" i="13"/>
  <c r="E63" i="13"/>
  <c r="D63" i="13"/>
  <c r="C63" i="13"/>
  <c r="B63" i="13"/>
  <c r="A63" i="13"/>
  <c r="E62" i="13"/>
  <c r="D62" i="13"/>
  <c r="C62" i="13"/>
  <c r="B62" i="13"/>
  <c r="A62" i="13"/>
  <c r="E61" i="13"/>
  <c r="D61" i="13"/>
  <c r="C61" i="13"/>
  <c r="B61" i="13"/>
  <c r="A61" i="13"/>
  <c r="E60" i="13"/>
  <c r="D60" i="13"/>
  <c r="C60" i="13"/>
  <c r="B60" i="13"/>
  <c r="A60" i="13"/>
  <c r="E59" i="13"/>
  <c r="D59" i="13"/>
  <c r="C59" i="13"/>
  <c r="B59" i="13"/>
  <c r="A59" i="13"/>
  <c r="E58" i="13"/>
  <c r="D58" i="13"/>
  <c r="C58" i="13"/>
  <c r="B58" i="13"/>
  <c r="A58" i="13"/>
  <c r="E57" i="13"/>
  <c r="D57" i="13"/>
  <c r="C57" i="13"/>
  <c r="B57" i="13"/>
  <c r="A57" i="13"/>
  <c r="E56" i="13"/>
  <c r="D56" i="13"/>
  <c r="C56" i="13"/>
  <c r="B56" i="13"/>
  <c r="A56" i="13"/>
  <c r="E55" i="13"/>
  <c r="D55" i="13"/>
  <c r="C55" i="13"/>
  <c r="B55" i="13"/>
  <c r="A55" i="13"/>
  <c r="E54" i="13"/>
  <c r="D54" i="13"/>
  <c r="C54" i="13"/>
  <c r="B54" i="13"/>
  <c r="A54" i="13"/>
  <c r="E53" i="13"/>
  <c r="D53" i="13"/>
  <c r="C53" i="13"/>
  <c r="B53" i="13"/>
  <c r="A53" i="13"/>
  <c r="E52" i="13"/>
  <c r="D52" i="13"/>
  <c r="C52" i="13"/>
  <c r="B52" i="13"/>
  <c r="A52" i="13"/>
  <c r="E51" i="13"/>
  <c r="D51" i="13"/>
  <c r="C51" i="13"/>
  <c r="B51" i="13"/>
  <c r="A51" i="13"/>
  <c r="E50" i="13"/>
  <c r="D50" i="13"/>
  <c r="C50" i="13"/>
  <c r="B50" i="13"/>
  <c r="A50" i="13"/>
  <c r="E49" i="13"/>
  <c r="D49" i="13"/>
  <c r="C49" i="13"/>
  <c r="B49" i="13"/>
  <c r="A49" i="13"/>
  <c r="E48" i="13"/>
  <c r="D48" i="13"/>
  <c r="C48" i="13"/>
  <c r="B48" i="13"/>
  <c r="A48" i="13"/>
  <c r="E47" i="13"/>
  <c r="D47" i="13"/>
  <c r="C47" i="13"/>
  <c r="B47" i="13"/>
  <c r="A47" i="13"/>
  <c r="E46" i="13"/>
  <c r="D46" i="13"/>
  <c r="C46" i="13"/>
  <c r="B46" i="13"/>
  <c r="A46" i="13"/>
  <c r="E45" i="13"/>
  <c r="D45" i="13"/>
  <c r="C45" i="13"/>
  <c r="B45" i="13"/>
  <c r="A45" i="13"/>
  <c r="E44" i="13"/>
  <c r="D44" i="13"/>
  <c r="C44" i="13"/>
  <c r="B44" i="13"/>
  <c r="A44" i="13"/>
  <c r="E43" i="13"/>
  <c r="D43" i="13"/>
  <c r="C43" i="13"/>
  <c r="B43" i="13"/>
  <c r="A43" i="13"/>
  <c r="E42" i="13"/>
  <c r="D42" i="13"/>
  <c r="C42" i="13"/>
  <c r="B42" i="13"/>
  <c r="A42" i="13"/>
  <c r="E41" i="13"/>
  <c r="D41" i="13"/>
  <c r="C41" i="13"/>
  <c r="B41" i="13"/>
  <c r="A41" i="13"/>
  <c r="E40" i="13"/>
  <c r="D40" i="13"/>
  <c r="C40" i="13"/>
  <c r="B40" i="13"/>
  <c r="A40" i="13"/>
  <c r="E39" i="13"/>
  <c r="D39" i="13"/>
  <c r="C39" i="13"/>
  <c r="B39" i="13"/>
  <c r="A39" i="13"/>
  <c r="E38" i="13"/>
  <c r="D38" i="13"/>
  <c r="C38" i="13"/>
  <c r="B38" i="13"/>
  <c r="A38" i="13"/>
  <c r="E37" i="13"/>
  <c r="D37" i="13"/>
  <c r="C37" i="13"/>
  <c r="B37" i="13"/>
  <c r="A37" i="13"/>
  <c r="E36" i="13"/>
  <c r="D36" i="13"/>
  <c r="C36" i="13"/>
  <c r="B36" i="13"/>
  <c r="A36" i="13"/>
  <c r="E35" i="13"/>
  <c r="D35" i="13"/>
  <c r="C35" i="13"/>
  <c r="B35" i="13"/>
  <c r="A35" i="13"/>
  <c r="E34" i="13"/>
  <c r="D34" i="13"/>
  <c r="C34" i="13"/>
  <c r="B34" i="13"/>
  <c r="A34" i="13"/>
  <c r="E33" i="13"/>
  <c r="D33" i="13"/>
  <c r="C33" i="13"/>
  <c r="B33" i="13"/>
  <c r="A33" i="13"/>
  <c r="E32" i="13"/>
  <c r="D32" i="13"/>
  <c r="C32" i="13"/>
  <c r="B32" i="13"/>
  <c r="A32" i="13"/>
  <c r="E31" i="13"/>
  <c r="D31" i="13"/>
  <c r="C31" i="13"/>
  <c r="B31" i="13"/>
  <c r="A31" i="13"/>
  <c r="E30" i="13"/>
  <c r="D30" i="13"/>
  <c r="C30" i="13"/>
  <c r="B30" i="13"/>
  <c r="A30" i="13"/>
  <c r="E29" i="13"/>
  <c r="D29" i="13"/>
  <c r="C29" i="13"/>
  <c r="B29" i="13"/>
  <c r="A29" i="13"/>
  <c r="E28" i="13"/>
  <c r="D28" i="13"/>
  <c r="C28" i="13"/>
  <c r="B28" i="13"/>
  <c r="A28" i="13"/>
  <c r="E27" i="13"/>
  <c r="D27" i="13"/>
  <c r="C27" i="13"/>
  <c r="B27" i="13"/>
  <c r="A27" i="13"/>
  <c r="E26" i="13"/>
  <c r="D26" i="13"/>
  <c r="C26" i="13"/>
  <c r="B26" i="13"/>
  <c r="A26" i="13"/>
  <c r="E25" i="13"/>
  <c r="D25" i="13"/>
  <c r="C25" i="13"/>
  <c r="B25" i="13"/>
  <c r="A25" i="13"/>
  <c r="E24" i="13"/>
  <c r="D24" i="13"/>
  <c r="C24" i="13"/>
  <c r="B24" i="13"/>
  <c r="A24" i="13"/>
  <c r="E23" i="13"/>
  <c r="D23" i="13"/>
  <c r="C23" i="13"/>
  <c r="B23" i="13"/>
  <c r="A23" i="13"/>
  <c r="E22" i="13"/>
  <c r="D22" i="13"/>
  <c r="C22" i="13"/>
  <c r="B22" i="13"/>
  <c r="A22" i="13"/>
  <c r="E21" i="13"/>
  <c r="D21" i="13"/>
  <c r="C21" i="13"/>
  <c r="B21" i="13"/>
  <c r="A21" i="13"/>
  <c r="E20" i="13"/>
  <c r="D20" i="13"/>
  <c r="C20" i="13"/>
  <c r="B20" i="13"/>
  <c r="A20" i="13"/>
  <c r="E19" i="13"/>
  <c r="D19" i="13"/>
  <c r="C19" i="13"/>
  <c r="B19" i="13"/>
  <c r="A19" i="13"/>
  <c r="E18" i="13"/>
  <c r="D18" i="13"/>
  <c r="C18" i="13"/>
  <c r="B18" i="13"/>
  <c r="A18" i="13"/>
  <c r="E17" i="13"/>
  <c r="D17" i="13"/>
  <c r="C17" i="13"/>
  <c r="B17" i="13"/>
  <c r="A17" i="13"/>
  <c r="E16" i="13"/>
  <c r="D16" i="13"/>
  <c r="C16" i="13"/>
  <c r="B16" i="13"/>
  <c r="A16" i="13"/>
  <c r="E15" i="13"/>
  <c r="D15" i="13"/>
  <c r="C15" i="13"/>
  <c r="B15" i="13"/>
  <c r="A15" i="13"/>
  <c r="E14" i="13"/>
  <c r="D14" i="13"/>
  <c r="C14" i="13"/>
  <c r="B14" i="13"/>
  <c r="A14" i="13"/>
  <c r="E13" i="13"/>
  <c r="D13" i="13"/>
  <c r="C13" i="13"/>
  <c r="B13" i="13"/>
  <c r="A13" i="13"/>
  <c r="E12" i="13"/>
  <c r="D12" i="13"/>
  <c r="C12" i="13"/>
  <c r="B12" i="13"/>
  <c r="A12" i="13"/>
  <c r="E11" i="13"/>
  <c r="D11" i="13"/>
  <c r="C11" i="13"/>
  <c r="B11" i="13"/>
  <c r="A11" i="13"/>
  <c r="E10" i="13"/>
  <c r="D10" i="13"/>
  <c r="C10" i="13"/>
  <c r="B10" i="13"/>
  <c r="A10" i="13"/>
  <c r="E9" i="13"/>
  <c r="D9" i="13"/>
  <c r="C9" i="13"/>
  <c r="B9" i="13"/>
  <c r="A9" i="13"/>
  <c r="E8" i="13"/>
  <c r="D8" i="13"/>
  <c r="C8" i="13"/>
  <c r="B8" i="13"/>
  <c r="A8" i="13"/>
  <c r="E7" i="13"/>
  <c r="D7" i="13"/>
  <c r="C7" i="13"/>
  <c r="B7" i="13"/>
  <c r="A7" i="13"/>
  <c r="E6" i="13"/>
  <c r="D6" i="13"/>
  <c r="C6" i="13"/>
  <c r="B6" i="13"/>
  <c r="A6" i="13"/>
  <c r="E5" i="13"/>
  <c r="D5" i="13"/>
  <c r="C5" i="13"/>
  <c r="B5" i="13"/>
  <c r="A5" i="13"/>
  <c r="E4" i="13"/>
  <c r="D4" i="13"/>
  <c r="C4" i="13"/>
  <c r="B4" i="13"/>
  <c r="A4" i="13"/>
  <c r="E3" i="13"/>
  <c r="D3" i="13"/>
  <c r="C3" i="13"/>
  <c r="B3" i="13"/>
  <c r="A3" i="13"/>
  <c r="E202" i="9"/>
  <c r="D202" i="9"/>
  <c r="C202" i="9"/>
  <c r="B202" i="9"/>
  <c r="A202" i="9"/>
  <c r="E201" i="9"/>
  <c r="D201" i="9"/>
  <c r="C201" i="9"/>
  <c r="B201" i="9"/>
  <c r="A201" i="9"/>
  <c r="E200" i="9"/>
  <c r="D200" i="9"/>
  <c r="C200" i="9"/>
  <c r="B200" i="9"/>
  <c r="A200" i="9"/>
  <c r="E199" i="9"/>
  <c r="D199" i="9"/>
  <c r="C199" i="9"/>
  <c r="B199" i="9"/>
  <c r="A199" i="9"/>
  <c r="E198" i="9"/>
  <c r="D198" i="9"/>
  <c r="C198" i="9"/>
  <c r="B198" i="9"/>
  <c r="A198" i="9"/>
  <c r="E197" i="9"/>
  <c r="D197" i="9"/>
  <c r="C197" i="9"/>
  <c r="B197" i="9"/>
  <c r="A197" i="9"/>
  <c r="E196" i="9"/>
  <c r="D196" i="9"/>
  <c r="C196" i="9"/>
  <c r="B196" i="9"/>
  <c r="A196" i="9"/>
  <c r="E195" i="9"/>
  <c r="D195" i="9"/>
  <c r="C195" i="9"/>
  <c r="B195" i="9"/>
  <c r="A195" i="9"/>
  <c r="E194" i="9"/>
  <c r="D194" i="9"/>
  <c r="C194" i="9"/>
  <c r="B194" i="9"/>
  <c r="A194" i="9"/>
  <c r="E193" i="9"/>
  <c r="D193" i="9"/>
  <c r="C193" i="9"/>
  <c r="B193" i="9"/>
  <c r="A193" i="9"/>
  <c r="E192" i="9"/>
  <c r="D192" i="9"/>
  <c r="C192" i="9"/>
  <c r="B192" i="9"/>
  <c r="A192" i="9"/>
  <c r="E191" i="9"/>
  <c r="D191" i="9"/>
  <c r="C191" i="9"/>
  <c r="B191" i="9"/>
  <c r="A191" i="9"/>
  <c r="E190" i="9"/>
  <c r="D190" i="9"/>
  <c r="C190" i="9"/>
  <c r="B190" i="9"/>
  <c r="A190" i="9"/>
  <c r="E189" i="9"/>
  <c r="D189" i="9"/>
  <c r="C189" i="9"/>
  <c r="B189" i="9"/>
  <c r="A189" i="9"/>
  <c r="E188" i="9"/>
  <c r="D188" i="9"/>
  <c r="C188" i="9"/>
  <c r="B188" i="9"/>
  <c r="A188" i="9"/>
  <c r="E187" i="9"/>
  <c r="D187" i="9"/>
  <c r="C187" i="9"/>
  <c r="B187" i="9"/>
  <c r="A187" i="9"/>
  <c r="E186" i="9"/>
  <c r="D186" i="9"/>
  <c r="C186" i="9"/>
  <c r="B186" i="9"/>
  <c r="A186" i="9"/>
  <c r="E185" i="9"/>
  <c r="D185" i="9"/>
  <c r="C185" i="9"/>
  <c r="B185" i="9"/>
  <c r="A185" i="9"/>
  <c r="E184" i="9"/>
  <c r="D184" i="9"/>
  <c r="C184" i="9"/>
  <c r="B184" i="9"/>
  <c r="A184" i="9"/>
  <c r="E183" i="9"/>
  <c r="D183" i="9"/>
  <c r="C183" i="9"/>
  <c r="B183" i="9"/>
  <c r="A183" i="9"/>
  <c r="E182" i="9"/>
  <c r="D182" i="9"/>
  <c r="C182" i="9"/>
  <c r="B182" i="9"/>
  <c r="A182" i="9"/>
  <c r="E181" i="9"/>
  <c r="D181" i="9"/>
  <c r="C181" i="9"/>
  <c r="B181" i="9"/>
  <c r="A181" i="9"/>
  <c r="E180" i="9"/>
  <c r="D180" i="9"/>
  <c r="C180" i="9"/>
  <c r="B180" i="9"/>
  <c r="A180" i="9"/>
  <c r="E179" i="9"/>
  <c r="D179" i="9"/>
  <c r="C179" i="9"/>
  <c r="B179" i="9"/>
  <c r="A179" i="9"/>
  <c r="E178" i="9"/>
  <c r="D178" i="9"/>
  <c r="C178" i="9"/>
  <c r="B178" i="9"/>
  <c r="A178" i="9"/>
  <c r="E177" i="9"/>
  <c r="D177" i="9"/>
  <c r="C177" i="9"/>
  <c r="B177" i="9"/>
  <c r="A177" i="9"/>
  <c r="E176" i="9"/>
  <c r="D176" i="9"/>
  <c r="C176" i="9"/>
  <c r="B176" i="9"/>
  <c r="A176" i="9"/>
  <c r="E175" i="9"/>
  <c r="D175" i="9"/>
  <c r="C175" i="9"/>
  <c r="B175" i="9"/>
  <c r="A175" i="9"/>
  <c r="E174" i="9"/>
  <c r="D174" i="9"/>
  <c r="C174" i="9"/>
  <c r="B174" i="9"/>
  <c r="A174" i="9"/>
  <c r="E173" i="9"/>
  <c r="D173" i="9"/>
  <c r="C173" i="9"/>
  <c r="B173" i="9"/>
  <c r="A173" i="9"/>
  <c r="E172" i="9"/>
  <c r="D172" i="9"/>
  <c r="C172" i="9"/>
  <c r="B172" i="9"/>
  <c r="A172" i="9"/>
  <c r="E171" i="9"/>
  <c r="D171" i="9"/>
  <c r="C171" i="9"/>
  <c r="B171" i="9"/>
  <c r="A171" i="9"/>
  <c r="E170" i="9"/>
  <c r="D170" i="9"/>
  <c r="C170" i="9"/>
  <c r="B170" i="9"/>
  <c r="A170" i="9"/>
  <c r="E169" i="9"/>
  <c r="D169" i="9"/>
  <c r="C169" i="9"/>
  <c r="B169" i="9"/>
  <c r="A169" i="9"/>
  <c r="E168" i="9"/>
  <c r="D168" i="9"/>
  <c r="C168" i="9"/>
  <c r="B168" i="9"/>
  <c r="A168" i="9"/>
  <c r="E167" i="9"/>
  <c r="D167" i="9"/>
  <c r="C167" i="9"/>
  <c r="B167" i="9"/>
  <c r="A167" i="9"/>
  <c r="E166" i="9"/>
  <c r="D166" i="9"/>
  <c r="C166" i="9"/>
  <c r="B166" i="9"/>
  <c r="A166" i="9"/>
  <c r="E165" i="9"/>
  <c r="D165" i="9"/>
  <c r="C165" i="9"/>
  <c r="B165" i="9"/>
  <c r="A165" i="9"/>
  <c r="E164" i="9"/>
  <c r="D164" i="9"/>
  <c r="C164" i="9"/>
  <c r="B164" i="9"/>
  <c r="A164" i="9"/>
  <c r="E163" i="9"/>
  <c r="D163" i="9"/>
  <c r="C163" i="9"/>
  <c r="B163" i="9"/>
  <c r="A163" i="9"/>
  <c r="E162" i="9"/>
  <c r="D162" i="9"/>
  <c r="C162" i="9"/>
  <c r="B162" i="9"/>
  <c r="A162" i="9"/>
  <c r="E161" i="9"/>
  <c r="D161" i="9"/>
  <c r="C161" i="9"/>
  <c r="B161" i="9"/>
  <c r="A161" i="9"/>
  <c r="E160" i="9"/>
  <c r="D160" i="9"/>
  <c r="C160" i="9"/>
  <c r="B160" i="9"/>
  <c r="A160" i="9"/>
  <c r="E159" i="9"/>
  <c r="D159" i="9"/>
  <c r="C159" i="9"/>
  <c r="B159" i="9"/>
  <c r="A159" i="9"/>
  <c r="E158" i="9"/>
  <c r="D158" i="9"/>
  <c r="C158" i="9"/>
  <c r="B158" i="9"/>
  <c r="A158" i="9"/>
  <c r="E157" i="9"/>
  <c r="D157" i="9"/>
  <c r="C157" i="9"/>
  <c r="B157" i="9"/>
  <c r="A157" i="9"/>
  <c r="E156" i="9"/>
  <c r="D156" i="9"/>
  <c r="C156" i="9"/>
  <c r="B156" i="9"/>
  <c r="A156" i="9"/>
  <c r="E155" i="9"/>
  <c r="D155" i="9"/>
  <c r="C155" i="9"/>
  <c r="B155" i="9"/>
  <c r="A155" i="9"/>
  <c r="E154" i="9"/>
  <c r="D154" i="9"/>
  <c r="C154" i="9"/>
  <c r="B154" i="9"/>
  <c r="A154" i="9"/>
  <c r="E153" i="9"/>
  <c r="D153" i="9"/>
  <c r="C153" i="9"/>
  <c r="B153" i="9"/>
  <c r="A153" i="9"/>
  <c r="E152" i="9"/>
  <c r="D152" i="9"/>
  <c r="C152" i="9"/>
  <c r="B152" i="9"/>
  <c r="A152" i="9"/>
  <c r="E151" i="9"/>
  <c r="D151" i="9"/>
  <c r="C151" i="9"/>
  <c r="B151" i="9"/>
  <c r="A151" i="9"/>
  <c r="E150" i="9"/>
  <c r="D150" i="9"/>
  <c r="C150" i="9"/>
  <c r="B150" i="9"/>
  <c r="A150" i="9"/>
  <c r="E149" i="9"/>
  <c r="D149" i="9"/>
  <c r="C149" i="9"/>
  <c r="B149" i="9"/>
  <c r="A149" i="9"/>
  <c r="E148" i="9"/>
  <c r="D148" i="9"/>
  <c r="C148" i="9"/>
  <c r="B148" i="9"/>
  <c r="A148" i="9"/>
  <c r="E147" i="9"/>
  <c r="D147" i="9"/>
  <c r="C147" i="9"/>
  <c r="B147" i="9"/>
  <c r="A147" i="9"/>
  <c r="E146" i="9"/>
  <c r="D146" i="9"/>
  <c r="C146" i="9"/>
  <c r="B146" i="9"/>
  <c r="A146" i="9"/>
  <c r="E145" i="9"/>
  <c r="D145" i="9"/>
  <c r="C145" i="9"/>
  <c r="B145" i="9"/>
  <c r="A145" i="9"/>
  <c r="E144" i="9"/>
  <c r="D144" i="9"/>
  <c r="C144" i="9"/>
  <c r="B144" i="9"/>
  <c r="A144" i="9"/>
  <c r="E143" i="9"/>
  <c r="D143" i="9"/>
  <c r="C143" i="9"/>
  <c r="B143" i="9"/>
  <c r="A143" i="9"/>
  <c r="E142" i="9"/>
  <c r="D142" i="9"/>
  <c r="C142" i="9"/>
  <c r="B142" i="9"/>
  <c r="A142" i="9"/>
  <c r="E141" i="9"/>
  <c r="D141" i="9"/>
  <c r="C141" i="9"/>
  <c r="B141" i="9"/>
  <c r="A141" i="9"/>
  <c r="E140" i="9"/>
  <c r="D140" i="9"/>
  <c r="C140" i="9"/>
  <c r="B140" i="9"/>
  <c r="A140" i="9"/>
  <c r="E139" i="9"/>
  <c r="D139" i="9"/>
  <c r="C139" i="9"/>
  <c r="B139" i="9"/>
  <c r="A139" i="9"/>
  <c r="E138" i="9"/>
  <c r="D138" i="9"/>
  <c r="C138" i="9"/>
  <c r="B138" i="9"/>
  <c r="A138" i="9"/>
  <c r="E137" i="9"/>
  <c r="D137" i="9"/>
  <c r="C137" i="9"/>
  <c r="B137" i="9"/>
  <c r="A137" i="9"/>
  <c r="E136" i="9"/>
  <c r="D136" i="9"/>
  <c r="C136" i="9"/>
  <c r="B136" i="9"/>
  <c r="A136" i="9"/>
  <c r="E135" i="9"/>
  <c r="D135" i="9"/>
  <c r="C135" i="9"/>
  <c r="B135" i="9"/>
  <c r="A135" i="9"/>
  <c r="E134" i="9"/>
  <c r="D134" i="9"/>
  <c r="C134" i="9"/>
  <c r="B134" i="9"/>
  <c r="A134" i="9"/>
  <c r="E133" i="9"/>
  <c r="D133" i="9"/>
  <c r="C133" i="9"/>
  <c r="B133" i="9"/>
  <c r="A133" i="9"/>
  <c r="E132" i="9"/>
  <c r="D132" i="9"/>
  <c r="C132" i="9"/>
  <c r="B132" i="9"/>
  <c r="A132" i="9"/>
  <c r="E131" i="9"/>
  <c r="D131" i="9"/>
  <c r="C131" i="9"/>
  <c r="B131" i="9"/>
  <c r="A131" i="9"/>
  <c r="E130" i="9"/>
  <c r="D130" i="9"/>
  <c r="C130" i="9"/>
  <c r="B130" i="9"/>
  <c r="A130" i="9"/>
  <c r="E129" i="9"/>
  <c r="D129" i="9"/>
  <c r="C129" i="9"/>
  <c r="B129" i="9"/>
  <c r="A129" i="9"/>
  <c r="E128" i="9"/>
  <c r="D128" i="9"/>
  <c r="C128" i="9"/>
  <c r="B128" i="9"/>
  <c r="A128" i="9"/>
  <c r="E127" i="9"/>
  <c r="D127" i="9"/>
  <c r="C127" i="9"/>
  <c r="B127" i="9"/>
  <c r="A127" i="9"/>
  <c r="E126" i="9"/>
  <c r="D126" i="9"/>
  <c r="C126" i="9"/>
  <c r="B126" i="9"/>
  <c r="A126" i="9"/>
  <c r="E125" i="9"/>
  <c r="D125" i="9"/>
  <c r="C125" i="9"/>
  <c r="B125" i="9"/>
  <c r="A125" i="9"/>
  <c r="E124" i="9"/>
  <c r="D124" i="9"/>
  <c r="C124" i="9"/>
  <c r="B124" i="9"/>
  <c r="A124" i="9"/>
  <c r="E123" i="9"/>
  <c r="D123" i="9"/>
  <c r="C123" i="9"/>
  <c r="B123" i="9"/>
  <c r="A123" i="9"/>
  <c r="E122" i="9"/>
  <c r="D122" i="9"/>
  <c r="C122" i="9"/>
  <c r="B122" i="9"/>
  <c r="A122" i="9"/>
  <c r="E121" i="9"/>
  <c r="D121" i="9"/>
  <c r="C121" i="9"/>
  <c r="B121" i="9"/>
  <c r="A121" i="9"/>
  <c r="E120" i="9"/>
  <c r="D120" i="9"/>
  <c r="C120" i="9"/>
  <c r="B120" i="9"/>
  <c r="A120" i="9"/>
  <c r="E119" i="9"/>
  <c r="D119" i="9"/>
  <c r="C119" i="9"/>
  <c r="B119" i="9"/>
  <c r="A119" i="9"/>
  <c r="E118" i="9"/>
  <c r="D118" i="9"/>
  <c r="C118" i="9"/>
  <c r="B118" i="9"/>
  <c r="A118" i="9"/>
  <c r="E117" i="9"/>
  <c r="D117" i="9"/>
  <c r="C117" i="9"/>
  <c r="B117" i="9"/>
  <c r="A117" i="9"/>
  <c r="E116" i="9"/>
  <c r="D116" i="9"/>
  <c r="C116" i="9"/>
  <c r="B116" i="9"/>
  <c r="A116" i="9"/>
  <c r="E115" i="9"/>
  <c r="D115" i="9"/>
  <c r="C115" i="9"/>
  <c r="B115" i="9"/>
  <c r="A115" i="9"/>
  <c r="E114" i="9"/>
  <c r="D114" i="9"/>
  <c r="C114" i="9"/>
  <c r="B114" i="9"/>
  <c r="A114" i="9"/>
  <c r="E113" i="9"/>
  <c r="D113" i="9"/>
  <c r="C113" i="9"/>
  <c r="B113" i="9"/>
  <c r="A113" i="9"/>
  <c r="E112" i="9"/>
  <c r="D112" i="9"/>
  <c r="C112" i="9"/>
  <c r="B112" i="9"/>
  <c r="A112" i="9"/>
  <c r="E111" i="9"/>
  <c r="D111" i="9"/>
  <c r="C111" i="9"/>
  <c r="B111" i="9"/>
  <c r="A111" i="9"/>
  <c r="E110" i="9"/>
  <c r="D110" i="9"/>
  <c r="C110" i="9"/>
  <c r="B110" i="9"/>
  <c r="A110" i="9"/>
  <c r="E109" i="9"/>
  <c r="D109" i="9"/>
  <c r="C109" i="9"/>
  <c r="B109" i="9"/>
  <c r="A109" i="9"/>
  <c r="E108" i="9"/>
  <c r="D108" i="9"/>
  <c r="C108" i="9"/>
  <c r="B108" i="9"/>
  <c r="A108" i="9"/>
  <c r="E107" i="9"/>
  <c r="D107" i="9"/>
  <c r="C107" i="9"/>
  <c r="B107" i="9"/>
  <c r="A107" i="9"/>
  <c r="E106" i="9"/>
  <c r="D106" i="9"/>
  <c r="C106" i="9"/>
  <c r="B106" i="9"/>
  <c r="A106" i="9"/>
  <c r="E105" i="9"/>
  <c r="D105" i="9"/>
  <c r="C105" i="9"/>
  <c r="B105" i="9"/>
  <c r="A105" i="9"/>
  <c r="E104" i="9"/>
  <c r="D104" i="9"/>
  <c r="C104" i="9"/>
  <c r="B104" i="9"/>
  <c r="A104" i="9"/>
  <c r="E103" i="9"/>
  <c r="D103" i="9"/>
  <c r="C103" i="9"/>
  <c r="B103" i="9"/>
  <c r="A103" i="9"/>
  <c r="E102" i="9"/>
  <c r="D102" i="9"/>
  <c r="C102" i="9"/>
  <c r="B102" i="9"/>
  <c r="A102" i="9"/>
  <c r="E101" i="9"/>
  <c r="D101" i="9"/>
  <c r="C101" i="9"/>
  <c r="B101" i="9"/>
  <c r="A101" i="9"/>
  <c r="E100" i="9"/>
  <c r="D100" i="9"/>
  <c r="C100" i="9"/>
  <c r="B100" i="9"/>
  <c r="A100" i="9"/>
  <c r="E99" i="9"/>
  <c r="D99" i="9"/>
  <c r="C99" i="9"/>
  <c r="B99" i="9"/>
  <c r="A99" i="9"/>
  <c r="E98" i="9"/>
  <c r="D98" i="9"/>
  <c r="C98" i="9"/>
  <c r="B98" i="9"/>
  <c r="A98" i="9"/>
  <c r="E97" i="9"/>
  <c r="D97" i="9"/>
  <c r="C97" i="9"/>
  <c r="B97" i="9"/>
  <c r="A97" i="9"/>
  <c r="E96" i="9"/>
  <c r="D96" i="9"/>
  <c r="C96" i="9"/>
  <c r="B96" i="9"/>
  <c r="A96" i="9"/>
  <c r="E95" i="9"/>
  <c r="D95" i="9"/>
  <c r="C95" i="9"/>
  <c r="B95" i="9"/>
  <c r="A95" i="9"/>
  <c r="E94" i="9"/>
  <c r="D94" i="9"/>
  <c r="C94" i="9"/>
  <c r="B94" i="9"/>
  <c r="A94" i="9"/>
  <c r="E93" i="9"/>
  <c r="D93" i="9"/>
  <c r="C93" i="9"/>
  <c r="B93" i="9"/>
  <c r="A93" i="9"/>
  <c r="E92" i="9"/>
  <c r="D92" i="9"/>
  <c r="C92" i="9"/>
  <c r="B92" i="9"/>
  <c r="A92" i="9"/>
  <c r="E91" i="9"/>
  <c r="D91" i="9"/>
  <c r="C91" i="9"/>
  <c r="B91" i="9"/>
  <c r="A91" i="9"/>
  <c r="E90" i="9"/>
  <c r="D90" i="9"/>
  <c r="C90" i="9"/>
  <c r="B90" i="9"/>
  <c r="A90" i="9"/>
  <c r="E89" i="9"/>
  <c r="D89" i="9"/>
  <c r="C89" i="9"/>
  <c r="B89" i="9"/>
  <c r="A89" i="9"/>
  <c r="E88" i="9"/>
  <c r="D88" i="9"/>
  <c r="C88" i="9"/>
  <c r="B88" i="9"/>
  <c r="A88" i="9"/>
  <c r="E87" i="9"/>
  <c r="D87" i="9"/>
  <c r="C87" i="9"/>
  <c r="B87" i="9"/>
  <c r="A87" i="9"/>
  <c r="E86" i="9"/>
  <c r="D86" i="9"/>
  <c r="C86" i="9"/>
  <c r="B86" i="9"/>
  <c r="A86" i="9"/>
  <c r="E85" i="9"/>
  <c r="D85" i="9"/>
  <c r="C85" i="9"/>
  <c r="B85" i="9"/>
  <c r="A85" i="9"/>
  <c r="E84" i="9"/>
  <c r="D84" i="9"/>
  <c r="C84" i="9"/>
  <c r="B84" i="9"/>
  <c r="A84" i="9"/>
  <c r="E83" i="9"/>
  <c r="D83" i="9"/>
  <c r="C83" i="9"/>
  <c r="B83" i="9"/>
  <c r="A83" i="9"/>
  <c r="E82" i="9"/>
  <c r="D82" i="9"/>
  <c r="C82" i="9"/>
  <c r="B82" i="9"/>
  <c r="A82" i="9"/>
  <c r="E81" i="9"/>
  <c r="D81" i="9"/>
  <c r="C81" i="9"/>
  <c r="B81" i="9"/>
  <c r="A81" i="9"/>
  <c r="E80" i="9"/>
  <c r="D80" i="9"/>
  <c r="C80" i="9"/>
  <c r="B80" i="9"/>
  <c r="A80" i="9"/>
  <c r="E79" i="9"/>
  <c r="D79" i="9"/>
  <c r="C79" i="9"/>
  <c r="B79" i="9"/>
  <c r="A79" i="9"/>
  <c r="E78" i="9"/>
  <c r="D78" i="9"/>
  <c r="C78" i="9"/>
  <c r="B78" i="9"/>
  <c r="A78" i="9"/>
  <c r="E77" i="9"/>
  <c r="D77" i="9"/>
  <c r="C77" i="9"/>
  <c r="B77" i="9"/>
  <c r="A77" i="9"/>
  <c r="E76" i="9"/>
  <c r="D76" i="9"/>
  <c r="C76" i="9"/>
  <c r="B76" i="9"/>
  <c r="A76" i="9"/>
  <c r="E75" i="9"/>
  <c r="D75" i="9"/>
  <c r="C75" i="9"/>
  <c r="B75" i="9"/>
  <c r="A75" i="9"/>
  <c r="E74" i="9"/>
  <c r="D74" i="9"/>
  <c r="C74" i="9"/>
  <c r="B74" i="9"/>
  <c r="A74" i="9"/>
  <c r="E73" i="9"/>
  <c r="D73" i="9"/>
  <c r="C73" i="9"/>
  <c r="B73" i="9"/>
  <c r="A73" i="9"/>
  <c r="E72" i="9"/>
  <c r="D72" i="9"/>
  <c r="C72" i="9"/>
  <c r="B72" i="9"/>
  <c r="A72" i="9"/>
  <c r="E71" i="9"/>
  <c r="D71" i="9"/>
  <c r="C71" i="9"/>
  <c r="B71" i="9"/>
  <c r="A71" i="9"/>
  <c r="E70" i="9"/>
  <c r="D70" i="9"/>
  <c r="C70" i="9"/>
  <c r="B70" i="9"/>
  <c r="A70" i="9"/>
  <c r="E69" i="9"/>
  <c r="D69" i="9"/>
  <c r="C69" i="9"/>
  <c r="B69" i="9"/>
  <c r="A69" i="9"/>
  <c r="E68" i="9"/>
  <c r="D68" i="9"/>
  <c r="C68" i="9"/>
  <c r="B68" i="9"/>
  <c r="A68" i="9"/>
  <c r="E67" i="9"/>
  <c r="D67" i="9"/>
  <c r="C67" i="9"/>
  <c r="B67" i="9"/>
  <c r="A67" i="9"/>
  <c r="E66" i="9"/>
  <c r="D66" i="9"/>
  <c r="C66" i="9"/>
  <c r="B66" i="9"/>
  <c r="A66" i="9"/>
  <c r="E65" i="9"/>
  <c r="D65" i="9"/>
  <c r="C65" i="9"/>
  <c r="B65" i="9"/>
  <c r="A65" i="9"/>
  <c r="E64" i="9"/>
  <c r="D64" i="9"/>
  <c r="C64" i="9"/>
  <c r="B64" i="9"/>
  <c r="A64" i="9"/>
  <c r="E63" i="9"/>
  <c r="D63" i="9"/>
  <c r="C63" i="9"/>
  <c r="B63" i="9"/>
  <c r="A63" i="9"/>
  <c r="E62" i="9"/>
  <c r="D62" i="9"/>
  <c r="C62" i="9"/>
  <c r="B62" i="9"/>
  <c r="A62" i="9"/>
  <c r="E61" i="9"/>
  <c r="D61" i="9"/>
  <c r="C61" i="9"/>
  <c r="B61" i="9"/>
  <c r="A61" i="9"/>
  <c r="E60" i="9"/>
  <c r="D60" i="9"/>
  <c r="C60" i="9"/>
  <c r="B60" i="9"/>
  <c r="A60" i="9"/>
  <c r="E59" i="9"/>
  <c r="D59" i="9"/>
  <c r="C59" i="9"/>
  <c r="B59" i="9"/>
  <c r="A59" i="9"/>
  <c r="E58" i="9"/>
  <c r="D58" i="9"/>
  <c r="C58" i="9"/>
  <c r="B58" i="9"/>
  <c r="A58" i="9"/>
  <c r="E57" i="9"/>
  <c r="D57" i="9"/>
  <c r="C57" i="9"/>
  <c r="B57" i="9"/>
  <c r="A57" i="9"/>
  <c r="E56" i="9"/>
  <c r="D56" i="9"/>
  <c r="C56" i="9"/>
  <c r="B56" i="9"/>
  <c r="A56" i="9"/>
  <c r="E55" i="9"/>
  <c r="D55" i="9"/>
  <c r="C55" i="9"/>
  <c r="B55" i="9"/>
  <c r="A55" i="9"/>
  <c r="E54" i="9"/>
  <c r="D54" i="9"/>
  <c r="C54" i="9"/>
  <c r="B54" i="9"/>
  <c r="A54" i="9"/>
  <c r="E53" i="9"/>
  <c r="D53" i="9"/>
  <c r="C53" i="9"/>
  <c r="B53" i="9"/>
  <c r="A53" i="9"/>
  <c r="E52" i="9"/>
  <c r="D52" i="9"/>
  <c r="C52" i="9"/>
  <c r="B52" i="9"/>
  <c r="A52" i="9"/>
  <c r="E51" i="9"/>
  <c r="D51" i="9"/>
  <c r="C51" i="9"/>
  <c r="B51" i="9"/>
  <c r="A51" i="9"/>
  <c r="E50" i="9"/>
  <c r="D50" i="9"/>
  <c r="C50" i="9"/>
  <c r="B50" i="9"/>
  <c r="A50" i="9"/>
  <c r="E49" i="9"/>
  <c r="D49" i="9"/>
  <c r="C49" i="9"/>
  <c r="B49" i="9"/>
  <c r="A49" i="9"/>
  <c r="E48" i="9"/>
  <c r="D48" i="9"/>
  <c r="C48" i="9"/>
  <c r="B48" i="9"/>
  <c r="A48" i="9"/>
  <c r="E47" i="9"/>
  <c r="D47" i="9"/>
  <c r="C47" i="9"/>
  <c r="B47" i="9"/>
  <c r="A47" i="9"/>
  <c r="E46" i="9"/>
  <c r="D46" i="9"/>
  <c r="C46" i="9"/>
  <c r="B46" i="9"/>
  <c r="A46" i="9"/>
  <c r="E45" i="9"/>
  <c r="D45" i="9"/>
  <c r="C45" i="9"/>
  <c r="B45" i="9"/>
  <c r="A45" i="9"/>
  <c r="E44" i="9"/>
  <c r="D44" i="9"/>
  <c r="C44" i="9"/>
  <c r="B44" i="9"/>
  <c r="A44" i="9"/>
  <c r="E43" i="9"/>
  <c r="D43" i="9"/>
  <c r="C43" i="9"/>
  <c r="B43" i="9"/>
  <c r="A43" i="9"/>
  <c r="E42" i="9"/>
  <c r="D42" i="9"/>
  <c r="C42" i="9"/>
  <c r="B42" i="9"/>
  <c r="A42" i="9"/>
  <c r="E41" i="9"/>
  <c r="D41" i="9"/>
  <c r="C41" i="9"/>
  <c r="B41" i="9"/>
  <c r="A41" i="9"/>
  <c r="E40" i="9"/>
  <c r="D40" i="9"/>
  <c r="C40" i="9"/>
  <c r="B40" i="9"/>
  <c r="A40" i="9"/>
  <c r="E39" i="9"/>
  <c r="D39" i="9"/>
  <c r="C39" i="9"/>
  <c r="B39" i="9"/>
  <c r="A39" i="9"/>
  <c r="E38" i="9"/>
  <c r="D38" i="9"/>
  <c r="C38" i="9"/>
  <c r="B38" i="9"/>
  <c r="A38" i="9"/>
  <c r="E37" i="9"/>
  <c r="D37" i="9"/>
  <c r="C37" i="9"/>
  <c r="B37" i="9"/>
  <c r="A37" i="9"/>
  <c r="E36" i="9"/>
  <c r="D36" i="9"/>
  <c r="C36" i="9"/>
  <c r="B36" i="9"/>
  <c r="A36" i="9"/>
  <c r="E35" i="9"/>
  <c r="D35" i="9"/>
  <c r="C35" i="9"/>
  <c r="B35" i="9"/>
  <c r="A35" i="9"/>
  <c r="E34" i="9"/>
  <c r="D34" i="9"/>
  <c r="C34" i="9"/>
  <c r="B34" i="9"/>
  <c r="A34" i="9"/>
  <c r="E33" i="9"/>
  <c r="D33" i="9"/>
  <c r="C33" i="9"/>
  <c r="B33" i="9"/>
  <c r="A33" i="9"/>
  <c r="E32" i="9"/>
  <c r="D32" i="9"/>
  <c r="C32" i="9"/>
  <c r="B32" i="9"/>
  <c r="A32" i="9"/>
  <c r="E31" i="9"/>
  <c r="D31" i="9"/>
  <c r="C31" i="9"/>
  <c r="B31" i="9"/>
  <c r="A31" i="9"/>
  <c r="E30" i="9"/>
  <c r="D30" i="9"/>
  <c r="C30" i="9"/>
  <c r="B30" i="9"/>
  <c r="A30" i="9"/>
  <c r="E29" i="9"/>
  <c r="D29" i="9"/>
  <c r="C29" i="9"/>
  <c r="B29" i="9"/>
  <c r="A29" i="9"/>
  <c r="E28" i="9"/>
  <c r="D28" i="9"/>
  <c r="C28" i="9"/>
  <c r="B28" i="9"/>
  <c r="A28" i="9"/>
  <c r="E27" i="9"/>
  <c r="D27" i="9"/>
  <c r="C27" i="9"/>
  <c r="B27" i="9"/>
  <c r="A27" i="9"/>
  <c r="E26" i="9"/>
  <c r="D26" i="9"/>
  <c r="C26" i="9"/>
  <c r="B26" i="9"/>
  <c r="A26" i="9"/>
  <c r="E25" i="9"/>
  <c r="D25" i="9"/>
  <c r="C25" i="9"/>
  <c r="B25" i="9"/>
  <c r="A25" i="9"/>
  <c r="E24" i="9"/>
  <c r="D24" i="9"/>
  <c r="C24" i="9"/>
  <c r="B24" i="9"/>
  <c r="A24" i="9"/>
  <c r="E23" i="9"/>
  <c r="D23" i="9"/>
  <c r="C23" i="9"/>
  <c r="B23" i="9"/>
  <c r="A23" i="9"/>
  <c r="E22" i="9"/>
  <c r="D22" i="9"/>
  <c r="C22" i="9"/>
  <c r="B22" i="9"/>
  <c r="A22" i="9"/>
  <c r="E21" i="9"/>
  <c r="D21" i="9"/>
  <c r="C21" i="9"/>
  <c r="B21" i="9"/>
  <c r="A21" i="9"/>
  <c r="E20" i="9"/>
  <c r="D20" i="9"/>
  <c r="C20" i="9"/>
  <c r="B20" i="9"/>
  <c r="A20" i="9"/>
  <c r="E19" i="9"/>
  <c r="D19" i="9"/>
  <c r="C19" i="9"/>
  <c r="B19" i="9"/>
  <c r="A19" i="9"/>
  <c r="E18" i="9"/>
  <c r="D18" i="9"/>
  <c r="C18" i="9"/>
  <c r="B18" i="9"/>
  <c r="A18" i="9"/>
  <c r="E17" i="9"/>
  <c r="D17" i="9"/>
  <c r="C17" i="9"/>
  <c r="B17" i="9"/>
  <c r="A17" i="9"/>
  <c r="E16" i="9"/>
  <c r="D16" i="9"/>
  <c r="C16" i="9"/>
  <c r="B16" i="9"/>
  <c r="A16" i="9"/>
  <c r="E15" i="9"/>
  <c r="D15" i="9"/>
  <c r="C15" i="9"/>
  <c r="B15" i="9"/>
  <c r="A15" i="9"/>
  <c r="E14" i="9"/>
  <c r="D14" i="9"/>
  <c r="C14" i="9"/>
  <c r="B14" i="9"/>
  <c r="A14" i="9"/>
  <c r="E13" i="9"/>
  <c r="D13" i="9"/>
  <c r="C13" i="9"/>
  <c r="B13" i="9"/>
  <c r="A13" i="9"/>
  <c r="E12" i="9"/>
  <c r="D12" i="9"/>
  <c r="C12" i="9"/>
  <c r="B12" i="9"/>
  <c r="A12" i="9"/>
  <c r="E11" i="9"/>
  <c r="D11" i="9"/>
  <c r="C11" i="9"/>
  <c r="B11" i="9"/>
  <c r="A11" i="9"/>
  <c r="E10" i="9"/>
  <c r="D10" i="9"/>
  <c r="C10" i="9"/>
  <c r="B10" i="9"/>
  <c r="A10" i="9"/>
  <c r="E9" i="9"/>
  <c r="D9" i="9"/>
  <c r="C9" i="9"/>
  <c r="B9" i="9"/>
  <c r="A9" i="9"/>
  <c r="E8" i="9"/>
  <c r="D8" i="9"/>
  <c r="C8" i="9"/>
  <c r="B8" i="9"/>
  <c r="A8" i="9"/>
  <c r="E7" i="9"/>
  <c r="D7" i="9"/>
  <c r="C7" i="9"/>
  <c r="B7" i="9"/>
  <c r="A7" i="9"/>
  <c r="E6" i="9"/>
  <c r="D6" i="9"/>
  <c r="C6" i="9"/>
  <c r="B6" i="9"/>
  <c r="A6" i="9"/>
  <c r="E5" i="9"/>
  <c r="D5" i="9"/>
  <c r="C5" i="9"/>
  <c r="B5" i="9"/>
  <c r="A5" i="9"/>
  <c r="E4" i="9"/>
  <c r="D4" i="9"/>
  <c r="C4" i="9"/>
  <c r="B4" i="9"/>
  <c r="A4" i="9"/>
  <c r="E3" i="9"/>
  <c r="D3" i="9"/>
  <c r="C3" i="9"/>
  <c r="B3" i="9"/>
  <c r="A3" i="9"/>
  <c r="E202" i="5"/>
  <c r="D202" i="5"/>
  <c r="C202" i="5"/>
  <c r="B202" i="5"/>
  <c r="A202" i="5"/>
  <c r="E201" i="5"/>
  <c r="D201" i="5"/>
  <c r="C201" i="5"/>
  <c r="B201" i="5"/>
  <c r="A201" i="5"/>
  <c r="E200" i="5"/>
  <c r="D200" i="5"/>
  <c r="C200" i="5"/>
  <c r="B200" i="5"/>
  <c r="A200" i="5"/>
  <c r="E199" i="5"/>
  <c r="D199" i="5"/>
  <c r="C199" i="5"/>
  <c r="B199" i="5"/>
  <c r="A199" i="5"/>
  <c r="E198" i="5"/>
  <c r="D198" i="5"/>
  <c r="C198" i="5"/>
  <c r="B198" i="5"/>
  <c r="A198" i="5"/>
  <c r="E197" i="5"/>
  <c r="D197" i="5"/>
  <c r="C197" i="5"/>
  <c r="B197" i="5"/>
  <c r="A197" i="5"/>
  <c r="E196" i="5"/>
  <c r="D196" i="5"/>
  <c r="C196" i="5"/>
  <c r="B196" i="5"/>
  <c r="A196" i="5"/>
  <c r="E195" i="5"/>
  <c r="D195" i="5"/>
  <c r="C195" i="5"/>
  <c r="B195" i="5"/>
  <c r="A195" i="5"/>
  <c r="E194" i="5"/>
  <c r="D194" i="5"/>
  <c r="C194" i="5"/>
  <c r="B194" i="5"/>
  <c r="A194" i="5"/>
  <c r="E193" i="5"/>
  <c r="D193" i="5"/>
  <c r="C193" i="5"/>
  <c r="B193" i="5"/>
  <c r="A193" i="5"/>
  <c r="E192" i="5"/>
  <c r="D192" i="5"/>
  <c r="C192" i="5"/>
  <c r="B192" i="5"/>
  <c r="A192" i="5"/>
  <c r="E191" i="5"/>
  <c r="D191" i="5"/>
  <c r="C191" i="5"/>
  <c r="B191" i="5"/>
  <c r="A191" i="5"/>
  <c r="E190" i="5"/>
  <c r="D190" i="5"/>
  <c r="C190" i="5"/>
  <c r="B190" i="5"/>
  <c r="A190" i="5"/>
  <c r="E189" i="5"/>
  <c r="D189" i="5"/>
  <c r="C189" i="5"/>
  <c r="B189" i="5"/>
  <c r="A189" i="5"/>
  <c r="E188" i="5"/>
  <c r="D188" i="5"/>
  <c r="C188" i="5"/>
  <c r="B188" i="5"/>
  <c r="A188" i="5"/>
  <c r="E187" i="5"/>
  <c r="D187" i="5"/>
  <c r="C187" i="5"/>
  <c r="B187" i="5"/>
  <c r="A187" i="5"/>
  <c r="E186" i="5"/>
  <c r="D186" i="5"/>
  <c r="C186" i="5"/>
  <c r="B186" i="5"/>
  <c r="A186" i="5"/>
  <c r="E185" i="5"/>
  <c r="D185" i="5"/>
  <c r="C185" i="5"/>
  <c r="B185" i="5"/>
  <c r="A185" i="5"/>
  <c r="E184" i="5"/>
  <c r="D184" i="5"/>
  <c r="C184" i="5"/>
  <c r="B184" i="5"/>
  <c r="A184" i="5"/>
  <c r="E183" i="5"/>
  <c r="D183" i="5"/>
  <c r="C183" i="5"/>
  <c r="B183" i="5"/>
  <c r="A183" i="5"/>
  <c r="E182" i="5"/>
  <c r="D182" i="5"/>
  <c r="C182" i="5"/>
  <c r="B182" i="5"/>
  <c r="A182" i="5"/>
  <c r="E181" i="5"/>
  <c r="D181" i="5"/>
  <c r="C181" i="5"/>
  <c r="B181" i="5"/>
  <c r="A181" i="5"/>
  <c r="E180" i="5"/>
  <c r="D180" i="5"/>
  <c r="C180" i="5"/>
  <c r="B180" i="5"/>
  <c r="A180" i="5"/>
  <c r="E179" i="5"/>
  <c r="D179" i="5"/>
  <c r="C179" i="5"/>
  <c r="B179" i="5"/>
  <c r="A179" i="5"/>
  <c r="E178" i="5"/>
  <c r="D178" i="5"/>
  <c r="C178" i="5"/>
  <c r="B178" i="5"/>
  <c r="A178" i="5"/>
  <c r="E177" i="5"/>
  <c r="D177" i="5"/>
  <c r="C177" i="5"/>
  <c r="B177" i="5"/>
  <c r="A177" i="5"/>
  <c r="E176" i="5"/>
  <c r="D176" i="5"/>
  <c r="C176" i="5"/>
  <c r="B176" i="5"/>
  <c r="A176" i="5"/>
  <c r="E175" i="5"/>
  <c r="D175" i="5"/>
  <c r="C175" i="5"/>
  <c r="B175" i="5"/>
  <c r="A175" i="5"/>
  <c r="E174" i="5"/>
  <c r="D174" i="5"/>
  <c r="C174" i="5"/>
  <c r="B174" i="5"/>
  <c r="A174" i="5"/>
  <c r="E173" i="5"/>
  <c r="D173" i="5"/>
  <c r="C173" i="5"/>
  <c r="B173" i="5"/>
  <c r="A173" i="5"/>
  <c r="E172" i="5"/>
  <c r="D172" i="5"/>
  <c r="C172" i="5"/>
  <c r="B172" i="5"/>
  <c r="A172" i="5"/>
  <c r="E171" i="5"/>
  <c r="D171" i="5"/>
  <c r="C171" i="5"/>
  <c r="B171" i="5"/>
  <c r="A171" i="5"/>
  <c r="E170" i="5"/>
  <c r="D170" i="5"/>
  <c r="C170" i="5"/>
  <c r="B170" i="5"/>
  <c r="A170" i="5"/>
  <c r="E169" i="5"/>
  <c r="D169" i="5"/>
  <c r="C169" i="5"/>
  <c r="B169" i="5"/>
  <c r="A169" i="5"/>
  <c r="E168" i="5"/>
  <c r="D168" i="5"/>
  <c r="C168" i="5"/>
  <c r="B168" i="5"/>
  <c r="A168" i="5"/>
  <c r="E167" i="5"/>
  <c r="D167" i="5"/>
  <c r="C167" i="5"/>
  <c r="B167" i="5"/>
  <c r="A167" i="5"/>
  <c r="E166" i="5"/>
  <c r="D166" i="5"/>
  <c r="C166" i="5"/>
  <c r="B166" i="5"/>
  <c r="A166" i="5"/>
  <c r="E165" i="5"/>
  <c r="D165" i="5"/>
  <c r="C165" i="5"/>
  <c r="B165" i="5"/>
  <c r="A165" i="5"/>
  <c r="E164" i="5"/>
  <c r="D164" i="5"/>
  <c r="C164" i="5"/>
  <c r="B164" i="5"/>
  <c r="A164" i="5"/>
  <c r="E163" i="5"/>
  <c r="D163" i="5"/>
  <c r="C163" i="5"/>
  <c r="B163" i="5"/>
  <c r="A163" i="5"/>
  <c r="E162" i="5"/>
  <c r="D162" i="5"/>
  <c r="C162" i="5"/>
  <c r="B162" i="5"/>
  <c r="A162" i="5"/>
  <c r="E161" i="5"/>
  <c r="D161" i="5"/>
  <c r="C161" i="5"/>
  <c r="B161" i="5"/>
  <c r="A161" i="5"/>
  <c r="E160" i="5"/>
  <c r="D160" i="5"/>
  <c r="C160" i="5"/>
  <c r="B160" i="5"/>
  <c r="A160" i="5"/>
  <c r="E159" i="5"/>
  <c r="D159" i="5"/>
  <c r="C159" i="5"/>
  <c r="B159" i="5"/>
  <c r="A159" i="5"/>
  <c r="E158" i="5"/>
  <c r="D158" i="5"/>
  <c r="C158" i="5"/>
  <c r="B158" i="5"/>
  <c r="A158" i="5"/>
  <c r="E157" i="5"/>
  <c r="D157" i="5"/>
  <c r="C157" i="5"/>
  <c r="B157" i="5"/>
  <c r="A157" i="5"/>
  <c r="E156" i="5"/>
  <c r="D156" i="5"/>
  <c r="C156" i="5"/>
  <c r="B156" i="5"/>
  <c r="A156" i="5"/>
  <c r="E155" i="5"/>
  <c r="D155" i="5"/>
  <c r="C155" i="5"/>
  <c r="B155" i="5"/>
  <c r="A155" i="5"/>
  <c r="E154" i="5"/>
  <c r="D154" i="5"/>
  <c r="C154" i="5"/>
  <c r="B154" i="5"/>
  <c r="A154" i="5"/>
  <c r="E153" i="5"/>
  <c r="D153" i="5"/>
  <c r="C153" i="5"/>
  <c r="B153" i="5"/>
  <c r="A153" i="5"/>
  <c r="E152" i="5"/>
  <c r="D152" i="5"/>
  <c r="C152" i="5"/>
  <c r="B152" i="5"/>
  <c r="A152" i="5"/>
  <c r="E151" i="5"/>
  <c r="D151" i="5"/>
  <c r="C151" i="5"/>
  <c r="B151" i="5"/>
  <c r="A151" i="5"/>
  <c r="E150" i="5"/>
  <c r="D150" i="5"/>
  <c r="C150" i="5"/>
  <c r="B150" i="5"/>
  <c r="A150" i="5"/>
  <c r="E149" i="5"/>
  <c r="D149" i="5"/>
  <c r="C149" i="5"/>
  <c r="B149" i="5"/>
  <c r="A149" i="5"/>
  <c r="E148" i="5"/>
  <c r="D148" i="5"/>
  <c r="C148" i="5"/>
  <c r="B148" i="5"/>
  <c r="A148" i="5"/>
  <c r="E147" i="5"/>
  <c r="D147" i="5"/>
  <c r="C147" i="5"/>
  <c r="B147" i="5"/>
  <c r="A147" i="5"/>
  <c r="E146" i="5"/>
  <c r="D146" i="5"/>
  <c r="C146" i="5"/>
  <c r="B146" i="5"/>
  <c r="A146" i="5"/>
  <c r="E145" i="5"/>
  <c r="D145" i="5"/>
  <c r="C145" i="5"/>
  <c r="B145" i="5"/>
  <c r="A145" i="5"/>
  <c r="E144" i="5"/>
  <c r="D144" i="5"/>
  <c r="C144" i="5"/>
  <c r="B144" i="5"/>
  <c r="A144" i="5"/>
  <c r="E143" i="5"/>
  <c r="D143" i="5"/>
  <c r="C143" i="5"/>
  <c r="B143" i="5"/>
  <c r="A143" i="5"/>
  <c r="E142" i="5"/>
  <c r="D142" i="5"/>
  <c r="C142" i="5"/>
  <c r="B142" i="5"/>
  <c r="A142" i="5"/>
  <c r="E141" i="5"/>
  <c r="D141" i="5"/>
  <c r="C141" i="5"/>
  <c r="B141" i="5"/>
  <c r="A141" i="5"/>
  <c r="E140" i="5"/>
  <c r="D140" i="5"/>
  <c r="C140" i="5"/>
  <c r="B140" i="5"/>
  <c r="A140" i="5"/>
  <c r="E139" i="5"/>
  <c r="D139" i="5"/>
  <c r="C139" i="5"/>
  <c r="B139" i="5"/>
  <c r="A139" i="5"/>
  <c r="E138" i="5"/>
  <c r="D138" i="5"/>
  <c r="C138" i="5"/>
  <c r="B138" i="5"/>
  <c r="A138" i="5"/>
  <c r="E137" i="5"/>
  <c r="D137" i="5"/>
  <c r="C137" i="5"/>
  <c r="B137" i="5"/>
  <c r="A137" i="5"/>
  <c r="E136" i="5"/>
  <c r="D136" i="5"/>
  <c r="C136" i="5"/>
  <c r="B136" i="5"/>
  <c r="A136" i="5"/>
  <c r="E135" i="5"/>
  <c r="D135" i="5"/>
  <c r="C135" i="5"/>
  <c r="B135" i="5"/>
  <c r="A135" i="5"/>
  <c r="E134" i="5"/>
  <c r="D134" i="5"/>
  <c r="C134" i="5"/>
  <c r="B134" i="5"/>
  <c r="A134" i="5"/>
  <c r="E133" i="5"/>
  <c r="D133" i="5"/>
  <c r="C133" i="5"/>
  <c r="B133" i="5"/>
  <c r="A133" i="5"/>
  <c r="E132" i="5"/>
  <c r="D132" i="5"/>
  <c r="C132" i="5"/>
  <c r="B132" i="5"/>
  <c r="A132" i="5"/>
  <c r="E131" i="5"/>
  <c r="D131" i="5"/>
  <c r="C131" i="5"/>
  <c r="B131" i="5"/>
  <c r="A131" i="5"/>
  <c r="E130" i="5"/>
  <c r="D130" i="5"/>
  <c r="C130" i="5"/>
  <c r="B130" i="5"/>
  <c r="A130" i="5"/>
  <c r="E129" i="5"/>
  <c r="D129" i="5"/>
  <c r="C129" i="5"/>
  <c r="B129" i="5"/>
  <c r="A129" i="5"/>
  <c r="E128" i="5"/>
  <c r="D128" i="5"/>
  <c r="C128" i="5"/>
  <c r="B128" i="5"/>
  <c r="A128" i="5"/>
  <c r="E127" i="5"/>
  <c r="D127" i="5"/>
  <c r="C127" i="5"/>
  <c r="B127" i="5"/>
  <c r="A127" i="5"/>
  <c r="E126" i="5"/>
  <c r="D126" i="5"/>
  <c r="C126" i="5"/>
  <c r="B126" i="5"/>
  <c r="A126" i="5"/>
  <c r="E125" i="5"/>
  <c r="D125" i="5"/>
  <c r="C125" i="5"/>
  <c r="B125" i="5"/>
  <c r="A125" i="5"/>
  <c r="E124" i="5"/>
  <c r="D124" i="5"/>
  <c r="C124" i="5"/>
  <c r="B124" i="5"/>
  <c r="A124" i="5"/>
  <c r="E123" i="5"/>
  <c r="D123" i="5"/>
  <c r="C123" i="5"/>
  <c r="B123" i="5"/>
  <c r="A123" i="5"/>
  <c r="E122" i="5"/>
  <c r="D122" i="5"/>
  <c r="C122" i="5"/>
  <c r="B122" i="5"/>
  <c r="A122" i="5"/>
  <c r="E121" i="5"/>
  <c r="D121" i="5"/>
  <c r="C121" i="5"/>
  <c r="B121" i="5"/>
  <c r="A121" i="5"/>
  <c r="E120" i="5"/>
  <c r="D120" i="5"/>
  <c r="C120" i="5"/>
  <c r="B120" i="5"/>
  <c r="A120" i="5"/>
  <c r="E119" i="5"/>
  <c r="D119" i="5"/>
  <c r="C119" i="5"/>
  <c r="B119" i="5"/>
  <c r="A119" i="5"/>
  <c r="E118" i="5"/>
  <c r="D118" i="5"/>
  <c r="C118" i="5"/>
  <c r="B118" i="5"/>
  <c r="A118" i="5"/>
  <c r="E117" i="5"/>
  <c r="D117" i="5"/>
  <c r="C117" i="5"/>
  <c r="B117" i="5"/>
  <c r="A117" i="5"/>
  <c r="E116" i="5"/>
  <c r="D116" i="5"/>
  <c r="C116" i="5"/>
  <c r="B116" i="5"/>
  <c r="A116" i="5"/>
  <c r="E115" i="5"/>
  <c r="D115" i="5"/>
  <c r="C115" i="5"/>
  <c r="B115" i="5"/>
  <c r="A115" i="5"/>
  <c r="E114" i="5"/>
  <c r="D114" i="5"/>
  <c r="C114" i="5"/>
  <c r="B114" i="5"/>
  <c r="A114" i="5"/>
  <c r="E113" i="5"/>
  <c r="D113" i="5"/>
  <c r="C113" i="5"/>
  <c r="B113" i="5"/>
  <c r="A113" i="5"/>
  <c r="E112" i="5"/>
  <c r="D112" i="5"/>
  <c r="C112" i="5"/>
  <c r="B112" i="5"/>
  <c r="A112" i="5"/>
  <c r="E111" i="5"/>
  <c r="D111" i="5"/>
  <c r="C111" i="5"/>
  <c r="B111" i="5"/>
  <c r="A111" i="5"/>
  <c r="E110" i="5"/>
  <c r="D110" i="5"/>
  <c r="C110" i="5"/>
  <c r="B110" i="5"/>
  <c r="A110" i="5"/>
  <c r="E109" i="5"/>
  <c r="D109" i="5"/>
  <c r="C109" i="5"/>
  <c r="B109" i="5"/>
  <c r="A109" i="5"/>
  <c r="E108" i="5"/>
  <c r="D108" i="5"/>
  <c r="C108" i="5"/>
  <c r="B108" i="5"/>
  <c r="A108" i="5"/>
  <c r="E107" i="5"/>
  <c r="D107" i="5"/>
  <c r="C107" i="5"/>
  <c r="B107" i="5"/>
  <c r="A107" i="5"/>
  <c r="E106" i="5"/>
  <c r="D106" i="5"/>
  <c r="C106" i="5"/>
  <c r="B106" i="5"/>
  <c r="A106" i="5"/>
  <c r="E105" i="5"/>
  <c r="D105" i="5"/>
  <c r="C105" i="5"/>
  <c r="B105" i="5"/>
  <c r="A105" i="5"/>
  <c r="E104" i="5"/>
  <c r="D104" i="5"/>
  <c r="C104" i="5"/>
  <c r="B104" i="5"/>
  <c r="A104" i="5"/>
  <c r="E103" i="5"/>
  <c r="D103" i="5"/>
  <c r="C103" i="5"/>
  <c r="B103" i="5"/>
  <c r="A103" i="5"/>
  <c r="E102" i="5"/>
  <c r="D102" i="5"/>
  <c r="C102" i="5"/>
  <c r="B102" i="5"/>
  <c r="A102" i="5"/>
  <c r="E101" i="5"/>
  <c r="D101" i="5"/>
  <c r="C101" i="5"/>
  <c r="B101" i="5"/>
  <c r="A101" i="5"/>
  <c r="E100" i="5"/>
  <c r="D100" i="5"/>
  <c r="C100" i="5"/>
  <c r="B100" i="5"/>
  <c r="A100" i="5"/>
  <c r="E99" i="5"/>
  <c r="D99" i="5"/>
  <c r="C99" i="5"/>
  <c r="B99" i="5"/>
  <c r="A99" i="5"/>
  <c r="E98" i="5"/>
  <c r="D98" i="5"/>
  <c r="C98" i="5"/>
  <c r="B98" i="5"/>
  <c r="A98" i="5"/>
  <c r="E97" i="5"/>
  <c r="D97" i="5"/>
  <c r="C97" i="5"/>
  <c r="B97" i="5"/>
  <c r="A97" i="5"/>
  <c r="E96" i="5"/>
  <c r="D96" i="5"/>
  <c r="C96" i="5"/>
  <c r="B96" i="5"/>
  <c r="A96" i="5"/>
  <c r="E95" i="5"/>
  <c r="D95" i="5"/>
  <c r="C95" i="5"/>
  <c r="B95" i="5"/>
  <c r="A95" i="5"/>
  <c r="E94" i="5"/>
  <c r="D94" i="5"/>
  <c r="C94" i="5"/>
  <c r="B94" i="5"/>
  <c r="A94" i="5"/>
  <c r="E93" i="5"/>
  <c r="D93" i="5"/>
  <c r="C93" i="5"/>
  <c r="B93" i="5"/>
  <c r="A93" i="5"/>
  <c r="E92" i="5"/>
  <c r="D92" i="5"/>
  <c r="C92" i="5"/>
  <c r="B92" i="5"/>
  <c r="A92" i="5"/>
  <c r="E91" i="5"/>
  <c r="D91" i="5"/>
  <c r="C91" i="5"/>
  <c r="B91" i="5"/>
  <c r="A91" i="5"/>
  <c r="E90" i="5"/>
  <c r="D90" i="5"/>
  <c r="C90" i="5"/>
  <c r="B90" i="5"/>
  <c r="A90" i="5"/>
  <c r="E89" i="5"/>
  <c r="D89" i="5"/>
  <c r="C89" i="5"/>
  <c r="B89" i="5"/>
  <c r="A89" i="5"/>
  <c r="E88" i="5"/>
  <c r="D88" i="5"/>
  <c r="C88" i="5"/>
  <c r="B88" i="5"/>
  <c r="A88" i="5"/>
  <c r="E87" i="5"/>
  <c r="D87" i="5"/>
  <c r="C87" i="5"/>
  <c r="B87" i="5"/>
  <c r="A87" i="5"/>
  <c r="E86" i="5"/>
  <c r="D86" i="5"/>
  <c r="C86" i="5"/>
  <c r="B86" i="5"/>
  <c r="A86" i="5"/>
  <c r="E85" i="5"/>
  <c r="D85" i="5"/>
  <c r="C85" i="5"/>
  <c r="B85" i="5"/>
  <c r="A85" i="5"/>
  <c r="E84" i="5"/>
  <c r="D84" i="5"/>
  <c r="C84" i="5"/>
  <c r="B84" i="5"/>
  <c r="A84" i="5"/>
  <c r="E83" i="5"/>
  <c r="D83" i="5"/>
  <c r="C83" i="5"/>
  <c r="B83" i="5"/>
  <c r="A83" i="5"/>
  <c r="E82" i="5"/>
  <c r="D82" i="5"/>
  <c r="C82" i="5"/>
  <c r="B82" i="5"/>
  <c r="A82" i="5"/>
  <c r="E81" i="5"/>
  <c r="D81" i="5"/>
  <c r="C81" i="5"/>
  <c r="B81" i="5"/>
  <c r="A81" i="5"/>
  <c r="E80" i="5"/>
  <c r="D80" i="5"/>
  <c r="C80" i="5"/>
  <c r="B80" i="5"/>
  <c r="A80" i="5"/>
  <c r="E79" i="5"/>
  <c r="D79" i="5"/>
  <c r="C79" i="5"/>
  <c r="B79" i="5"/>
  <c r="A79" i="5"/>
  <c r="E78" i="5"/>
  <c r="D78" i="5"/>
  <c r="C78" i="5"/>
  <c r="B78" i="5"/>
  <c r="A78" i="5"/>
  <c r="E77" i="5"/>
  <c r="D77" i="5"/>
  <c r="C77" i="5"/>
  <c r="B77" i="5"/>
  <c r="A77" i="5"/>
  <c r="E76" i="5"/>
  <c r="D76" i="5"/>
  <c r="C76" i="5"/>
  <c r="B76" i="5"/>
  <c r="A76" i="5"/>
  <c r="E75" i="5"/>
  <c r="D75" i="5"/>
  <c r="C75" i="5"/>
  <c r="B75" i="5"/>
  <c r="A75" i="5"/>
  <c r="E74" i="5"/>
  <c r="D74" i="5"/>
  <c r="C74" i="5"/>
  <c r="B74" i="5"/>
  <c r="A74" i="5"/>
  <c r="E73" i="5"/>
  <c r="D73" i="5"/>
  <c r="C73" i="5"/>
  <c r="B73" i="5"/>
  <c r="A73" i="5"/>
  <c r="E72" i="5"/>
  <c r="D72" i="5"/>
  <c r="C72" i="5"/>
  <c r="B72" i="5"/>
  <c r="A72" i="5"/>
  <c r="E71" i="5"/>
  <c r="D71" i="5"/>
  <c r="C71" i="5"/>
  <c r="B71" i="5"/>
  <c r="A71" i="5"/>
  <c r="E70" i="5"/>
  <c r="D70" i="5"/>
  <c r="C70" i="5"/>
  <c r="B70" i="5"/>
  <c r="A70" i="5"/>
  <c r="E69" i="5"/>
  <c r="D69" i="5"/>
  <c r="C69" i="5"/>
  <c r="B69" i="5"/>
  <c r="A69" i="5"/>
  <c r="E68" i="5"/>
  <c r="D68" i="5"/>
  <c r="C68" i="5"/>
  <c r="B68" i="5"/>
  <c r="A68" i="5"/>
  <c r="E67" i="5"/>
  <c r="D67" i="5"/>
  <c r="C67" i="5"/>
  <c r="B67" i="5"/>
  <c r="A67" i="5"/>
  <c r="E66" i="5"/>
  <c r="D66" i="5"/>
  <c r="C66" i="5"/>
  <c r="B66" i="5"/>
  <c r="A66" i="5"/>
  <c r="E65" i="5"/>
  <c r="D65" i="5"/>
  <c r="C65" i="5"/>
  <c r="B65" i="5"/>
  <c r="A65" i="5"/>
  <c r="E64" i="5"/>
  <c r="D64" i="5"/>
  <c r="C64" i="5"/>
  <c r="B64" i="5"/>
  <c r="A64" i="5"/>
  <c r="E63" i="5"/>
  <c r="D63" i="5"/>
  <c r="C63" i="5"/>
  <c r="B63" i="5"/>
  <c r="A63" i="5"/>
  <c r="E62" i="5"/>
  <c r="D62" i="5"/>
  <c r="C62" i="5"/>
  <c r="B62" i="5"/>
  <c r="A62" i="5"/>
  <c r="E61" i="5"/>
  <c r="D61" i="5"/>
  <c r="C61" i="5"/>
  <c r="B61" i="5"/>
  <c r="A61" i="5"/>
  <c r="E60" i="5"/>
  <c r="D60" i="5"/>
  <c r="C60" i="5"/>
  <c r="B60" i="5"/>
  <c r="A60" i="5"/>
  <c r="E59" i="5"/>
  <c r="D59" i="5"/>
  <c r="C59" i="5"/>
  <c r="B59" i="5"/>
  <c r="A59" i="5"/>
  <c r="E58" i="5"/>
  <c r="D58" i="5"/>
  <c r="C58" i="5"/>
  <c r="B58" i="5"/>
  <c r="A58" i="5"/>
  <c r="E57" i="5"/>
  <c r="D57" i="5"/>
  <c r="C57" i="5"/>
  <c r="B57" i="5"/>
  <c r="A57" i="5"/>
  <c r="E56" i="5"/>
  <c r="D56" i="5"/>
  <c r="C56" i="5"/>
  <c r="B56" i="5"/>
  <c r="A56" i="5"/>
  <c r="E55" i="5"/>
  <c r="D55" i="5"/>
  <c r="C55" i="5"/>
  <c r="B55" i="5"/>
  <c r="A55" i="5"/>
  <c r="E54" i="5"/>
  <c r="D54" i="5"/>
  <c r="C54" i="5"/>
  <c r="B54" i="5"/>
  <c r="A54" i="5"/>
  <c r="E53" i="5"/>
  <c r="D53" i="5"/>
  <c r="C53" i="5"/>
  <c r="B53" i="5"/>
  <c r="A53" i="5"/>
  <c r="E52" i="5"/>
  <c r="D52" i="5"/>
  <c r="C52" i="5"/>
  <c r="B52" i="5"/>
  <c r="A52" i="5"/>
  <c r="E51" i="5"/>
  <c r="D51" i="5"/>
  <c r="C51" i="5"/>
  <c r="B51" i="5"/>
  <c r="A51" i="5"/>
  <c r="E50" i="5"/>
  <c r="D50" i="5"/>
  <c r="C50" i="5"/>
  <c r="B50" i="5"/>
  <c r="A50" i="5"/>
  <c r="E49" i="5"/>
  <c r="D49" i="5"/>
  <c r="C49" i="5"/>
  <c r="B49" i="5"/>
  <c r="A49" i="5"/>
  <c r="E48" i="5"/>
  <c r="D48" i="5"/>
  <c r="C48" i="5"/>
  <c r="B48" i="5"/>
  <c r="A48" i="5"/>
  <c r="E47" i="5"/>
  <c r="D47" i="5"/>
  <c r="C47" i="5"/>
  <c r="B47" i="5"/>
  <c r="A47" i="5"/>
  <c r="E46" i="5"/>
  <c r="D46" i="5"/>
  <c r="C46" i="5"/>
  <c r="B46" i="5"/>
  <c r="A46" i="5"/>
  <c r="E45" i="5"/>
  <c r="D45" i="5"/>
  <c r="C45" i="5"/>
  <c r="B45" i="5"/>
  <c r="A45" i="5"/>
  <c r="E44" i="5"/>
  <c r="D44" i="5"/>
  <c r="C44" i="5"/>
  <c r="B44" i="5"/>
  <c r="A44" i="5"/>
  <c r="E43" i="5"/>
  <c r="D43" i="5"/>
  <c r="C43" i="5"/>
  <c r="B43" i="5"/>
  <c r="A43" i="5"/>
  <c r="E42" i="5"/>
  <c r="D42" i="5"/>
  <c r="C42" i="5"/>
  <c r="B42" i="5"/>
  <c r="A42" i="5"/>
  <c r="E41" i="5"/>
  <c r="D41" i="5"/>
  <c r="C41" i="5"/>
  <c r="B41" i="5"/>
  <c r="A41" i="5"/>
  <c r="E40" i="5"/>
  <c r="D40" i="5"/>
  <c r="C40" i="5"/>
  <c r="B40" i="5"/>
  <c r="A40" i="5"/>
  <c r="E39" i="5"/>
  <c r="D39" i="5"/>
  <c r="C39" i="5"/>
  <c r="B39" i="5"/>
  <c r="A39" i="5"/>
  <c r="E38" i="5"/>
  <c r="D38" i="5"/>
  <c r="C38" i="5"/>
  <c r="B38" i="5"/>
  <c r="A38" i="5"/>
  <c r="E37" i="5"/>
  <c r="D37" i="5"/>
  <c r="C37" i="5"/>
  <c r="B37" i="5"/>
  <c r="A37" i="5"/>
  <c r="E36" i="5"/>
  <c r="D36" i="5"/>
  <c r="C36" i="5"/>
  <c r="B36" i="5"/>
  <c r="A36" i="5"/>
  <c r="E35" i="5"/>
  <c r="D35" i="5"/>
  <c r="C35" i="5"/>
  <c r="B35" i="5"/>
  <c r="A35" i="5"/>
  <c r="E34" i="5"/>
  <c r="D34" i="5"/>
  <c r="C34" i="5"/>
  <c r="B34" i="5"/>
  <c r="A34" i="5"/>
  <c r="E33" i="5"/>
  <c r="D33" i="5"/>
  <c r="C33" i="5"/>
  <c r="B33" i="5"/>
  <c r="A33" i="5"/>
  <c r="E32" i="5"/>
  <c r="D32" i="5"/>
  <c r="C32" i="5"/>
  <c r="B32" i="5"/>
  <c r="A32" i="5"/>
  <c r="E31" i="5"/>
  <c r="D31" i="5"/>
  <c r="C31" i="5"/>
  <c r="B31" i="5"/>
  <c r="A31" i="5"/>
  <c r="E30" i="5"/>
  <c r="D30" i="5"/>
  <c r="C30" i="5"/>
  <c r="B30" i="5"/>
  <c r="A30" i="5"/>
  <c r="E29" i="5"/>
  <c r="D29" i="5"/>
  <c r="C29" i="5"/>
  <c r="B29" i="5"/>
  <c r="A29" i="5"/>
  <c r="E28" i="5"/>
  <c r="D28" i="5"/>
  <c r="C28" i="5"/>
  <c r="B28" i="5"/>
  <c r="A28" i="5"/>
  <c r="E27" i="5"/>
  <c r="D27" i="5"/>
  <c r="C27" i="5"/>
  <c r="B27" i="5"/>
  <c r="A27" i="5"/>
  <c r="E26" i="5"/>
  <c r="D26" i="5"/>
  <c r="C26" i="5"/>
  <c r="B26" i="5"/>
  <c r="A26" i="5"/>
  <c r="E25" i="5"/>
  <c r="D25" i="5"/>
  <c r="C25" i="5"/>
  <c r="B25" i="5"/>
  <c r="A25" i="5"/>
  <c r="E24" i="5"/>
  <c r="D24" i="5"/>
  <c r="C24" i="5"/>
  <c r="B24" i="5"/>
  <c r="A24" i="5"/>
  <c r="E23" i="5"/>
  <c r="D23" i="5"/>
  <c r="C23" i="5"/>
  <c r="B23" i="5"/>
  <c r="A23" i="5"/>
  <c r="E22" i="5"/>
  <c r="D22" i="5"/>
  <c r="C22" i="5"/>
  <c r="B22" i="5"/>
  <c r="A22" i="5"/>
  <c r="E21" i="5"/>
  <c r="D21" i="5"/>
  <c r="C21" i="5"/>
  <c r="B21" i="5"/>
  <c r="A21" i="5"/>
  <c r="E20" i="5"/>
  <c r="D20" i="5"/>
  <c r="C20" i="5"/>
  <c r="B20" i="5"/>
  <c r="A20" i="5"/>
  <c r="E19" i="5"/>
  <c r="D19" i="5"/>
  <c r="C19" i="5"/>
  <c r="B19" i="5"/>
  <c r="A19" i="5"/>
  <c r="E18" i="5"/>
  <c r="D18" i="5"/>
  <c r="C18" i="5"/>
  <c r="B18" i="5"/>
  <c r="A18" i="5"/>
  <c r="E17" i="5"/>
  <c r="D17" i="5"/>
  <c r="C17" i="5"/>
  <c r="B17" i="5"/>
  <c r="A17" i="5"/>
  <c r="E16" i="5"/>
  <c r="D16" i="5"/>
  <c r="C16" i="5"/>
  <c r="B16" i="5"/>
  <c r="A16" i="5"/>
  <c r="E15" i="5"/>
  <c r="D15" i="5"/>
  <c r="C15" i="5"/>
  <c r="B15" i="5"/>
  <c r="A15" i="5"/>
  <c r="E14" i="5"/>
  <c r="D14" i="5"/>
  <c r="C14" i="5"/>
  <c r="B14" i="5"/>
  <c r="A14" i="5"/>
  <c r="E13" i="5"/>
  <c r="D13" i="5"/>
  <c r="C13" i="5"/>
  <c r="B13" i="5"/>
  <c r="A13" i="5"/>
  <c r="E12" i="5"/>
  <c r="D12" i="5"/>
  <c r="C12" i="5"/>
  <c r="B12" i="5"/>
  <c r="A12" i="5"/>
  <c r="E11" i="5"/>
  <c r="D11" i="5"/>
  <c r="C11" i="5"/>
  <c r="B11" i="5"/>
  <c r="A11" i="5"/>
  <c r="E10" i="5"/>
  <c r="D10" i="5"/>
  <c r="C10" i="5"/>
  <c r="B10" i="5"/>
  <c r="A10" i="5"/>
  <c r="E9" i="5"/>
  <c r="D9" i="5"/>
  <c r="C9" i="5"/>
  <c r="B9" i="5"/>
  <c r="A9" i="5"/>
  <c r="E8" i="5"/>
  <c r="D8" i="5"/>
  <c r="C8" i="5"/>
  <c r="B8" i="5"/>
  <c r="A8" i="5"/>
  <c r="E7" i="5"/>
  <c r="D7" i="5"/>
  <c r="C7" i="5"/>
  <c r="B7" i="5"/>
  <c r="A7" i="5"/>
  <c r="E6" i="5"/>
  <c r="D6" i="5"/>
  <c r="C6" i="5"/>
  <c r="B6" i="5"/>
  <c r="A6" i="5"/>
  <c r="E5" i="5"/>
  <c r="D5" i="5"/>
  <c r="C5" i="5"/>
  <c r="B5" i="5"/>
  <c r="A5" i="5"/>
  <c r="E4" i="5"/>
  <c r="D4" i="5"/>
  <c r="C4" i="5"/>
  <c r="B4" i="5"/>
  <c r="A4" i="5"/>
  <c r="E3" i="5"/>
  <c r="D3" i="5"/>
  <c r="C3" i="5"/>
  <c r="B3" i="5"/>
  <c r="A3" i="5"/>
  <c r="A3" i="3"/>
  <c r="B3" i="3"/>
  <c r="C3" i="3"/>
  <c r="D3" i="3"/>
  <c r="E3" i="3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A15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A87" i="3"/>
  <c r="B87" i="3"/>
  <c r="C87" i="3"/>
  <c r="D87" i="3"/>
  <c r="E87" i="3"/>
  <c r="A88" i="3"/>
  <c r="B88" i="3"/>
  <c r="C88" i="3"/>
  <c r="D88" i="3"/>
  <c r="E88" i="3"/>
  <c r="A89" i="3"/>
  <c r="B89" i="3"/>
  <c r="C89" i="3"/>
  <c r="D89" i="3"/>
  <c r="E89" i="3"/>
  <c r="A90" i="3"/>
  <c r="B90" i="3"/>
  <c r="C90" i="3"/>
  <c r="D90" i="3"/>
  <c r="E90" i="3"/>
  <c r="A91" i="3"/>
  <c r="B91" i="3"/>
  <c r="C91" i="3"/>
  <c r="D91" i="3"/>
  <c r="E91" i="3"/>
  <c r="A92" i="3"/>
  <c r="B92" i="3"/>
  <c r="C92" i="3"/>
  <c r="D92" i="3"/>
  <c r="E92" i="3"/>
  <c r="A93" i="3"/>
  <c r="B93" i="3"/>
  <c r="C93" i="3"/>
  <c r="D93" i="3"/>
  <c r="E93" i="3"/>
  <c r="A94" i="3"/>
  <c r="B94" i="3"/>
  <c r="C94" i="3"/>
  <c r="D94" i="3"/>
  <c r="E94" i="3"/>
  <c r="A95" i="3"/>
  <c r="B95" i="3"/>
  <c r="C95" i="3"/>
  <c r="D95" i="3"/>
  <c r="E95" i="3"/>
  <c r="A96" i="3"/>
  <c r="B96" i="3"/>
  <c r="C96" i="3"/>
  <c r="D96" i="3"/>
  <c r="E96" i="3"/>
  <c r="A97" i="3"/>
  <c r="B97" i="3"/>
  <c r="C97" i="3"/>
  <c r="D97" i="3"/>
  <c r="E97" i="3"/>
  <c r="A98" i="3"/>
  <c r="B98" i="3"/>
  <c r="C98" i="3"/>
  <c r="D98" i="3"/>
  <c r="E98" i="3"/>
  <c r="A99" i="3"/>
  <c r="B99" i="3"/>
  <c r="C99" i="3"/>
  <c r="D99" i="3"/>
  <c r="E99" i="3"/>
  <c r="A100" i="3"/>
  <c r="B100" i="3"/>
  <c r="C100" i="3"/>
  <c r="D100" i="3"/>
  <c r="E100" i="3"/>
  <c r="A101" i="3"/>
  <c r="B101" i="3"/>
  <c r="C101" i="3"/>
  <c r="D101" i="3"/>
  <c r="E101" i="3"/>
  <c r="A102" i="3"/>
  <c r="B102" i="3"/>
  <c r="C102" i="3"/>
  <c r="D102" i="3"/>
  <c r="E102" i="3"/>
  <c r="A103" i="3"/>
  <c r="B103" i="3"/>
  <c r="C103" i="3"/>
  <c r="D103" i="3"/>
  <c r="E103" i="3"/>
  <c r="A104" i="3"/>
  <c r="B104" i="3"/>
  <c r="C104" i="3"/>
  <c r="D104" i="3"/>
  <c r="E104" i="3"/>
  <c r="A105" i="3"/>
  <c r="B105" i="3"/>
  <c r="C105" i="3"/>
  <c r="D105" i="3"/>
  <c r="E105" i="3"/>
  <c r="A106" i="3"/>
  <c r="B106" i="3"/>
  <c r="C106" i="3"/>
  <c r="D106" i="3"/>
  <c r="E106" i="3"/>
  <c r="A107" i="3"/>
  <c r="B107" i="3"/>
  <c r="C107" i="3"/>
  <c r="D107" i="3"/>
  <c r="E107" i="3"/>
  <c r="A108" i="3"/>
  <c r="B108" i="3"/>
  <c r="C108" i="3"/>
  <c r="D108" i="3"/>
  <c r="E108" i="3"/>
  <c r="A109" i="3"/>
  <c r="B109" i="3"/>
  <c r="C109" i="3"/>
  <c r="D109" i="3"/>
  <c r="E109" i="3"/>
  <c r="A110" i="3"/>
  <c r="B110" i="3"/>
  <c r="C110" i="3"/>
  <c r="D110" i="3"/>
  <c r="E110" i="3"/>
  <c r="A111" i="3"/>
  <c r="B111" i="3"/>
  <c r="C111" i="3"/>
  <c r="D111" i="3"/>
  <c r="E111" i="3"/>
  <c r="A112" i="3"/>
  <c r="B112" i="3"/>
  <c r="C112" i="3"/>
  <c r="D112" i="3"/>
  <c r="E112" i="3"/>
  <c r="A113" i="3"/>
  <c r="B113" i="3"/>
  <c r="C113" i="3"/>
  <c r="D113" i="3"/>
  <c r="E113" i="3"/>
  <c r="A114" i="3"/>
  <c r="B114" i="3"/>
  <c r="C114" i="3"/>
  <c r="D114" i="3"/>
  <c r="E114" i="3"/>
  <c r="A115" i="3"/>
  <c r="B115" i="3"/>
  <c r="C115" i="3"/>
  <c r="D115" i="3"/>
  <c r="E115" i="3"/>
  <c r="A116" i="3"/>
  <c r="B116" i="3"/>
  <c r="C116" i="3"/>
  <c r="D116" i="3"/>
  <c r="E116" i="3"/>
  <c r="A117" i="3"/>
  <c r="B117" i="3"/>
  <c r="C117" i="3"/>
  <c r="D117" i="3"/>
  <c r="E117" i="3"/>
  <c r="A118" i="3"/>
  <c r="B118" i="3"/>
  <c r="C118" i="3"/>
  <c r="D118" i="3"/>
  <c r="E118" i="3"/>
  <c r="A119" i="3"/>
  <c r="B119" i="3"/>
  <c r="C119" i="3"/>
  <c r="D119" i="3"/>
  <c r="E119" i="3"/>
  <c r="A120" i="3"/>
  <c r="B120" i="3"/>
  <c r="C120" i="3"/>
  <c r="D120" i="3"/>
  <c r="E120" i="3"/>
  <c r="A121" i="3"/>
  <c r="B121" i="3"/>
  <c r="C121" i="3"/>
  <c r="D121" i="3"/>
  <c r="E121" i="3"/>
  <c r="A122" i="3"/>
  <c r="B122" i="3"/>
  <c r="C122" i="3"/>
  <c r="D122" i="3"/>
  <c r="E122" i="3"/>
  <c r="A123" i="3"/>
  <c r="B123" i="3"/>
  <c r="C123" i="3"/>
  <c r="D123" i="3"/>
  <c r="E123" i="3"/>
  <c r="A124" i="3"/>
  <c r="B124" i="3"/>
  <c r="C124" i="3"/>
  <c r="D124" i="3"/>
  <c r="E124" i="3"/>
  <c r="A125" i="3"/>
  <c r="B125" i="3"/>
  <c r="C125" i="3"/>
  <c r="D125" i="3"/>
  <c r="E125" i="3"/>
  <c r="A126" i="3"/>
  <c r="B126" i="3"/>
  <c r="C126" i="3"/>
  <c r="D126" i="3"/>
  <c r="E126" i="3"/>
  <c r="A127" i="3"/>
  <c r="B127" i="3"/>
  <c r="C127" i="3"/>
  <c r="D127" i="3"/>
  <c r="E127" i="3"/>
  <c r="A128" i="3"/>
  <c r="B128" i="3"/>
  <c r="C128" i="3"/>
  <c r="D128" i="3"/>
  <c r="E128" i="3"/>
  <c r="A129" i="3"/>
  <c r="B129" i="3"/>
  <c r="C129" i="3"/>
  <c r="D129" i="3"/>
  <c r="E129" i="3"/>
  <c r="A130" i="3"/>
  <c r="B130" i="3"/>
  <c r="C130" i="3"/>
  <c r="D130" i="3"/>
  <c r="E130" i="3"/>
  <c r="A131" i="3"/>
  <c r="B131" i="3"/>
  <c r="C131" i="3"/>
  <c r="D131" i="3"/>
  <c r="E131" i="3"/>
  <c r="A132" i="3"/>
  <c r="B132" i="3"/>
  <c r="C132" i="3"/>
  <c r="D132" i="3"/>
  <c r="E132" i="3"/>
  <c r="A133" i="3"/>
  <c r="B133" i="3"/>
  <c r="C133" i="3"/>
  <c r="D133" i="3"/>
  <c r="E133" i="3"/>
  <c r="A134" i="3"/>
  <c r="B134" i="3"/>
  <c r="C134" i="3"/>
  <c r="D134" i="3"/>
  <c r="E134" i="3"/>
  <c r="A135" i="3"/>
  <c r="B135" i="3"/>
  <c r="C135" i="3"/>
  <c r="D135" i="3"/>
  <c r="E135" i="3"/>
  <c r="A136" i="3"/>
  <c r="B136" i="3"/>
  <c r="C136" i="3"/>
  <c r="D136" i="3"/>
  <c r="E136" i="3"/>
  <c r="A137" i="3"/>
  <c r="B137" i="3"/>
  <c r="C137" i="3"/>
  <c r="D137" i="3"/>
  <c r="E137" i="3"/>
  <c r="A138" i="3"/>
  <c r="B138" i="3"/>
  <c r="C138" i="3"/>
  <c r="D138" i="3"/>
  <c r="E138" i="3"/>
  <c r="A139" i="3"/>
  <c r="B139" i="3"/>
  <c r="C139" i="3"/>
  <c r="D139" i="3"/>
  <c r="E139" i="3"/>
  <c r="A140" i="3"/>
  <c r="B140" i="3"/>
  <c r="C140" i="3"/>
  <c r="D140" i="3"/>
  <c r="E140" i="3"/>
  <c r="A141" i="3"/>
  <c r="B141" i="3"/>
  <c r="C141" i="3"/>
  <c r="D141" i="3"/>
  <c r="E141" i="3"/>
  <c r="A142" i="3"/>
  <c r="B142" i="3"/>
  <c r="C142" i="3"/>
  <c r="D142" i="3"/>
  <c r="E142" i="3"/>
  <c r="A143" i="3"/>
  <c r="B143" i="3"/>
  <c r="C143" i="3"/>
  <c r="D143" i="3"/>
  <c r="E143" i="3"/>
  <c r="A144" i="3"/>
  <c r="B144" i="3"/>
  <c r="C144" i="3"/>
  <c r="D144" i="3"/>
  <c r="E144" i="3"/>
  <c r="A145" i="3"/>
  <c r="B145" i="3"/>
  <c r="C145" i="3"/>
  <c r="D145" i="3"/>
  <c r="E145" i="3"/>
  <c r="A146" i="3"/>
  <c r="B146" i="3"/>
  <c r="C146" i="3"/>
  <c r="D146" i="3"/>
  <c r="E146" i="3"/>
  <c r="A147" i="3"/>
  <c r="B147" i="3"/>
  <c r="C147" i="3"/>
  <c r="D147" i="3"/>
  <c r="E147" i="3"/>
  <c r="A148" i="3"/>
  <c r="B148" i="3"/>
  <c r="C148" i="3"/>
  <c r="D148" i="3"/>
  <c r="E148" i="3"/>
  <c r="A149" i="3"/>
  <c r="B149" i="3"/>
  <c r="C149" i="3"/>
  <c r="D149" i="3"/>
  <c r="E149" i="3"/>
  <c r="A150" i="3"/>
  <c r="B150" i="3"/>
  <c r="C150" i="3"/>
  <c r="D150" i="3"/>
  <c r="E150" i="3"/>
  <c r="A151" i="3"/>
  <c r="B151" i="3"/>
  <c r="C151" i="3"/>
  <c r="D151" i="3"/>
  <c r="E151" i="3"/>
  <c r="A152" i="3"/>
  <c r="B152" i="3"/>
  <c r="C152" i="3"/>
  <c r="D152" i="3"/>
  <c r="E152" i="3"/>
</calcChain>
</file>

<file path=xl/sharedStrings.xml><?xml version="1.0" encoding="utf-8"?>
<sst xmlns="http://schemas.openxmlformats.org/spreadsheetml/2006/main" count="1908" uniqueCount="1580">
  <si>
    <t>Second Grade Independent Reading Library (includes 150 trade books labeled with IR stickers, 150 conferring cards, and 3 gray plastic bins)</t>
  </si>
  <si>
    <t>Grade</t>
  </si>
  <si>
    <t>Text Set / Title</t>
  </si>
  <si>
    <t>Genre</t>
  </si>
  <si>
    <t>Author</t>
  </si>
  <si>
    <t>ISBN</t>
  </si>
  <si>
    <t>Third Grade Independent Reading Collection (includes 200 texts, 200 conferring cards in a teacher box, and 3 gray bins)</t>
  </si>
  <si>
    <t>Third Grade On-Level Collection (includes 100 trade books)</t>
  </si>
  <si>
    <t>Title</t>
  </si>
  <si>
    <t>BC-3GR 19</t>
  </si>
  <si>
    <t>ON-LEVEL READING GRADE 3 (N-P)</t>
  </si>
  <si>
    <t>BIOGRAPHY</t>
  </si>
  <si>
    <t>9780876141038</t>
  </si>
  <si>
    <t>Bessie Coleman: Daring To Fly</t>
  </si>
  <si>
    <t>Walker, Sally M.</t>
  </si>
  <si>
    <t>9780395778753</t>
  </si>
  <si>
    <t>El Chino</t>
  </si>
  <si>
    <t>Say, Allen</t>
  </si>
  <si>
    <t>9780140507294</t>
  </si>
  <si>
    <t>The Glorious Flight: Across The Channel With Louis Bleriot, July 5, 1909</t>
  </si>
  <si>
    <t>Provensen, Alice and Martin</t>
  </si>
  <si>
    <t>9781515735625</t>
  </si>
  <si>
    <t>Jerry Pinkney</t>
  </si>
  <si>
    <t>Simons, Lisa M. Bolt</t>
  </si>
  <si>
    <t>9780544668287</t>
  </si>
  <si>
    <t>Lincoln Tells A Joke: How Laughter Saved The President (And The Country)</t>
  </si>
  <si>
    <t>Krull, Kathleen and Paul Brewer</t>
  </si>
  <si>
    <t>9781452141237</t>
  </si>
  <si>
    <t>Manfish: A Story Of Jacques Cousteau</t>
  </si>
  <si>
    <t>Berne, Jennifer</t>
  </si>
  <si>
    <t>9781477792865</t>
  </si>
  <si>
    <t>Marching With Martin</t>
  </si>
  <si>
    <t>Pace, Lorenzo</t>
  </si>
  <si>
    <t>9780873589345</t>
  </si>
  <si>
    <t>My Name Is Gabito: The Life Of Gabriel Garcia Marquez</t>
  </si>
  <si>
    <t>Brown, Monica</t>
  </si>
  <si>
    <t>9781250114785</t>
  </si>
  <si>
    <t>Timeless Thomas: How Thomas Edison Changed Our Lives</t>
  </si>
  <si>
    <t>Barretta, Gene</t>
  </si>
  <si>
    <t>9780142403471</t>
  </si>
  <si>
    <t>Uncle Andy's</t>
  </si>
  <si>
    <t>Warhola, James</t>
  </si>
  <si>
    <t>TRADITIONAL LITERATURE</t>
  </si>
  <si>
    <t>9781782853596</t>
  </si>
  <si>
    <t>African Tales: A Barefoot Collection</t>
  </si>
  <si>
    <t>Mhlophe, Gcina</t>
  </si>
  <si>
    <t>9781846868856</t>
  </si>
  <si>
    <t>The Blue Bird's Palace</t>
  </si>
  <si>
    <t>Lallemand, Orianne</t>
  </si>
  <si>
    <t>9781585369652</t>
  </si>
  <si>
    <t>Full Moon Lore</t>
  </si>
  <si>
    <t>Wahi, Ellen</t>
  </si>
  <si>
    <t>9780689716966</t>
  </si>
  <si>
    <t>The Girl Who Loved Wild Horses</t>
  </si>
  <si>
    <t>Goble, Paul</t>
  </si>
  <si>
    <t>9781580138482</t>
  </si>
  <si>
    <t>How Coyote Stole The Summer: A Native American Folktale</t>
  </si>
  <si>
    <t>Krensky, Stephen</t>
  </si>
  <si>
    <t>9781561459162</t>
  </si>
  <si>
    <t>I Am Tama, Lucky Cat</t>
  </si>
  <si>
    <t>Henrichs, Wendy</t>
  </si>
  <si>
    <t>9781580138505</t>
  </si>
  <si>
    <t>Little Sima And The Giant Bowl: A Chinese Folktale</t>
  </si>
  <si>
    <t>Qu, Zhi</t>
  </si>
  <si>
    <t>9781479586257</t>
  </si>
  <si>
    <t>No Lie, Pigs And Their Houses Can Fly!</t>
  </si>
  <si>
    <t>Gunderson, Jessica</t>
  </si>
  <si>
    <t>9781423128649</t>
  </si>
  <si>
    <t>Tales From The Odyssey, Part 1</t>
  </si>
  <si>
    <t>Osborne, Mary Pope</t>
  </si>
  <si>
    <t>9780803706194</t>
  </si>
  <si>
    <t>The Talking Eggs: A Folktale From The American South</t>
  </si>
  <si>
    <t>San Souci, Robert D.</t>
  </si>
  <si>
    <t>FANTASY &amp; SCIENCE FICTION</t>
  </si>
  <si>
    <t>9780316308403</t>
  </si>
  <si>
    <t>B.U.R.P. Strikes Back</t>
  </si>
  <si>
    <t>Mass, Wendy and Michael Brawer</t>
  </si>
  <si>
    <t>9780763672522</t>
  </si>
  <si>
    <t>A Bad Spell For The Worst Witch</t>
  </si>
  <si>
    <t>Murphy, Jill</t>
  </si>
  <si>
    <t>9781459808133</t>
  </si>
  <si>
    <t>The Case Of The Battling Bots</t>
  </si>
  <si>
    <t>O'Donnell, Liam</t>
  </si>
  <si>
    <t>9781683424345</t>
  </si>
  <si>
    <t>Do Robots Get Space Sick?</t>
  </si>
  <si>
    <t>Baker, Theo</t>
  </si>
  <si>
    <t>9781943147090</t>
  </si>
  <si>
    <t>Dragons And Marshmallows</t>
  </si>
  <si>
    <t>Citro, Asia</t>
  </si>
  <si>
    <t>9780763688493</t>
  </si>
  <si>
    <t>The Great Granny Cake Contest!</t>
  </si>
  <si>
    <t>Corderoy, Tracey</t>
  </si>
  <si>
    <t>9780590108393</t>
  </si>
  <si>
    <t>The Hidden Stairs And The Magic Carpet</t>
  </si>
  <si>
    <t>Abbott, Tony</t>
  </si>
  <si>
    <t>9780761374619</t>
  </si>
  <si>
    <t>Marsh Music</t>
  </si>
  <si>
    <t>Berkes, Marianne</t>
  </si>
  <si>
    <t>9780553510928</t>
  </si>
  <si>
    <t>Night Of The Ninth Dragon</t>
  </si>
  <si>
    <t>9780316501125</t>
  </si>
  <si>
    <t>The Super Awful Superheroes Of Classroom 13</t>
  </si>
  <si>
    <t>Lee, Honest and Gilbert, Matthew J.</t>
  </si>
  <si>
    <t>HISTORICAL FICTION</t>
  </si>
  <si>
    <t>9780544339217</t>
  </si>
  <si>
    <t>The Buffalo Storm</t>
  </si>
  <si>
    <t>Applegate, Katherine</t>
  </si>
  <si>
    <t>9780544948846</t>
  </si>
  <si>
    <t>The Case Of The Feathered Mask</t>
  </si>
  <si>
    <t>Webb, Holly</t>
  </si>
  <si>
    <t>9781575054544</t>
  </si>
  <si>
    <t>Danger At Sand Cave</t>
  </si>
  <si>
    <t>Ransom, Candice</t>
  </si>
  <si>
    <t>9780380709236</t>
  </si>
  <si>
    <t>Emily's Runaway Imagination</t>
  </si>
  <si>
    <t>Cleary, Beverly</t>
  </si>
  <si>
    <t>9780590677172</t>
  </si>
  <si>
    <t>The Memory Coat</t>
  </si>
  <si>
    <t>Woodruff, Elvira</t>
  </si>
  <si>
    <t>9780698119901</t>
  </si>
  <si>
    <t>Mieko And The Fifth Treasure</t>
  </si>
  <si>
    <t>Coerr, Eleanor</t>
  </si>
  <si>
    <t>9780823435739</t>
  </si>
  <si>
    <t>New Shoes</t>
  </si>
  <si>
    <t>Meyer, Susan Lynn</t>
  </si>
  <si>
    <t>9780439368988</t>
  </si>
  <si>
    <t>Our Strange New Land: Elizabeth's Jamestown Colony Diary, Book One, 1609</t>
  </si>
  <si>
    <t>Hermes, Patricia</t>
  </si>
  <si>
    <t>9780439087964</t>
  </si>
  <si>
    <t>Riding Freedom</t>
  </si>
  <si>
    <t>Ryan, Pam Munoz</t>
  </si>
  <si>
    <t>9781250129444</t>
  </si>
  <si>
    <t>Skunked</t>
  </si>
  <si>
    <t>Kelly, Jacqueline</t>
  </si>
  <si>
    <t>INFORMATIONAL MATH</t>
  </si>
  <si>
    <t>9781681918327</t>
  </si>
  <si>
    <t>All About Area</t>
  </si>
  <si>
    <t>Piddock, Claire</t>
  </si>
  <si>
    <t>9780761381341</t>
  </si>
  <si>
    <t>The Ancient Formula: A Mystery With Fractions</t>
  </si>
  <si>
    <t>Thielbar, Melinda</t>
  </si>
  <si>
    <t>9781570917745</t>
  </si>
  <si>
    <t>Fractions In Disguise</t>
  </si>
  <si>
    <t>Einhorn, Edward</t>
  </si>
  <si>
    <t>9780439598408</t>
  </si>
  <si>
    <t>The Grapes Of Math: Mind-Stretching Math Riddles</t>
  </si>
  <si>
    <t>Tang, Greg</t>
  </si>
  <si>
    <t>9781429663304</t>
  </si>
  <si>
    <t>How Do You Measure Length And Distance?</t>
  </si>
  <si>
    <t>Adamson, Thomas K. and Heather</t>
  </si>
  <si>
    <t>9780823440177</t>
  </si>
  <si>
    <t>Let's Estimate: A Book About Estimating And Rounding Numbers</t>
  </si>
  <si>
    <t>Adler, David A.</t>
  </si>
  <si>
    <t>9781570917820</t>
  </si>
  <si>
    <t>The Multiplying Menace Divides</t>
  </si>
  <si>
    <t>Calvert, Pam</t>
  </si>
  <si>
    <t>9780312561178</t>
  </si>
  <si>
    <t>Mummy Math: An Adventure In Geometry</t>
  </si>
  <si>
    <t>Neuschwander, Cindy</t>
  </si>
  <si>
    <t>9781477745762</t>
  </si>
  <si>
    <t>Planting A Community Garden: Reason With Shapes And Their Attributes</t>
  </si>
  <si>
    <t>Dee, Gabrielle</t>
  </si>
  <si>
    <t>9780823435746</t>
  </si>
  <si>
    <t>Prices! Prices! Prices!</t>
  </si>
  <si>
    <t>MYSTERY</t>
  </si>
  <si>
    <t>9781534416840</t>
  </si>
  <si>
    <t>Ada Lace And The Impossible Mission</t>
  </si>
  <si>
    <t>Calandrelli, Emily</t>
  </si>
  <si>
    <t>9780761354802</t>
  </si>
  <si>
    <t>And Then There Were Gnomes</t>
  </si>
  <si>
    <t>Venable, Colleen A. F.</t>
  </si>
  <si>
    <t>9781338141580</t>
  </si>
  <si>
    <t>Bear On The Loose!</t>
  </si>
  <si>
    <t>Lysiak, Hilde and Matthew</t>
  </si>
  <si>
    <t>9781771473064</t>
  </si>
  <si>
    <t>The Case Of The Berry Burglars</t>
  </si>
  <si>
    <t>9781250110930</t>
  </si>
  <si>
    <t>The Case Of The Best Pet Ever</t>
  </si>
  <si>
    <t>Preller, James</t>
  </si>
  <si>
    <t>9780399551987</t>
  </si>
  <si>
    <t>Colossal Fossil</t>
  </si>
  <si>
    <t>Roy, Ron</t>
  </si>
  <si>
    <t>9781459814004</t>
  </si>
  <si>
    <t>Lark And The Diamond Caper</t>
  </si>
  <si>
    <t>Deen, Natasha</t>
  </si>
  <si>
    <t>9781681918136</t>
  </si>
  <si>
    <t>Mystery At Camp Kookaburra</t>
  </si>
  <si>
    <t>Steinkraus, Kyla</t>
  </si>
  <si>
    <t>9780763690977</t>
  </si>
  <si>
    <t>Smashie McPerter And The Mystery Of Room 11</t>
  </si>
  <si>
    <t>Griffin, N.</t>
  </si>
  <si>
    <t>9780763697952</t>
  </si>
  <si>
    <t>Smashie Mcperter And The Mystery Of The Missing Goop</t>
  </si>
  <si>
    <t>POETRY</t>
  </si>
  <si>
    <t>9781433356032</t>
  </si>
  <si>
    <t>Flabbergaster</t>
  </si>
  <si>
    <t>Carthew, Mark</t>
  </si>
  <si>
    <t>9781631982804</t>
  </si>
  <si>
    <t>I Can Learn Social Skills! Poems About Getting Along, Being A Good Friend, And Growing Up</t>
  </si>
  <si>
    <t>Farrey-Latz, Benjamin</t>
  </si>
  <si>
    <t>9781467797313</t>
  </si>
  <si>
    <t>I Saw An Invisible Lion Today: Quatrains</t>
  </si>
  <si>
    <t>Cleary, Brian P.</t>
  </si>
  <si>
    <t>9781467744126</t>
  </si>
  <si>
    <t>If It Rains Pancakes: Haiku And Lantern Poems</t>
  </si>
  <si>
    <t>9780152050245</t>
  </si>
  <si>
    <t>Mammalabilia</t>
  </si>
  <si>
    <t>Florian, Douglas</t>
  </si>
  <si>
    <t>9780688154714</t>
  </si>
  <si>
    <t>Meet Danitra Brown</t>
  </si>
  <si>
    <t>Grimes, Nikki</t>
  </si>
  <si>
    <t>9781467744546</t>
  </si>
  <si>
    <t>Ode To A Commode: Concrete Poems</t>
  </si>
  <si>
    <t>9781570917172</t>
  </si>
  <si>
    <t>One Big Rain: Poems For Every Season</t>
  </si>
  <si>
    <t>Gray, Rita, Ed.</t>
  </si>
  <si>
    <t>9781585369577</t>
  </si>
  <si>
    <t>Schnitzel</t>
  </si>
  <si>
    <t>Shaw, Stephanie</t>
  </si>
  <si>
    <t>9781512412109</t>
  </si>
  <si>
    <t>Underneath My Bed: List Poems</t>
  </si>
  <si>
    <t>Cleary, Brian</t>
  </si>
  <si>
    <t>REALISTIC FICTION</t>
  </si>
  <si>
    <t>9780425288559</t>
  </si>
  <si>
    <t>Almost Zero: A Dyamonde Daniel Book</t>
  </si>
  <si>
    <t>9781459812284</t>
  </si>
  <si>
    <t>Blackberry Juice</t>
  </si>
  <si>
    <t>Cassidy, Sara</t>
  </si>
  <si>
    <t>9780763694531</t>
  </si>
  <si>
    <t>Cody And The Mysteries Of The Universe</t>
  </si>
  <si>
    <t>Springstubb, Tricia</t>
  </si>
  <si>
    <t>9780547014401</t>
  </si>
  <si>
    <t>Just Grace</t>
  </si>
  <si>
    <t>Harper, Charise Mericle</t>
  </si>
  <si>
    <t>9780763671655</t>
  </si>
  <si>
    <t>Letters To Leo</t>
  </si>
  <si>
    <t>Hest, Amy</t>
  </si>
  <si>
    <t>9780689802171</t>
  </si>
  <si>
    <t>My Name Is Maria Isabel</t>
  </si>
  <si>
    <t>Ada, Alma Flor</t>
  </si>
  <si>
    <t>9780312563578</t>
  </si>
  <si>
    <t>School, Drool, And Other Daily Disasters</t>
  </si>
  <si>
    <t>Vail, Rachel</t>
  </si>
  <si>
    <t>9780064402286</t>
  </si>
  <si>
    <t>Shoeshine Girl</t>
  </si>
  <si>
    <t>Bulla, Clyde Robert</t>
  </si>
  <si>
    <t>9781771471657</t>
  </si>
  <si>
    <t>What Happens Next</t>
  </si>
  <si>
    <t>Hughes, Susan</t>
  </si>
  <si>
    <t>9781459812116</t>
  </si>
  <si>
    <t>Wild Cards</t>
  </si>
  <si>
    <t>Szpirglas, Jeff</t>
  </si>
  <si>
    <t>INFORMATIONAL SCIENCE</t>
  </si>
  <si>
    <t>9781538211731</t>
  </si>
  <si>
    <t>20 Fun Facts About Astronomy</t>
  </si>
  <si>
    <t>Keppeler, Jill</t>
  </si>
  <si>
    <t>9781541526754</t>
  </si>
  <si>
    <t>Algorithms With Frozen</t>
  </si>
  <si>
    <t>Loya, Allyssa</t>
  </si>
  <si>
    <t>9781484626948</t>
  </si>
  <si>
    <t>All About Magnetism</t>
  </si>
  <si>
    <t>Royston, Angela</t>
  </si>
  <si>
    <t>9780062382023</t>
  </si>
  <si>
    <t>Earthquakes</t>
  </si>
  <si>
    <t>Branley, Franklyn M.</t>
  </si>
  <si>
    <t>9781426332593</t>
  </si>
  <si>
    <t>Face To Face With Sharks</t>
  </si>
  <si>
    <t>Doubilet, David and Jennifer Hayes</t>
  </si>
  <si>
    <t>9781538325858</t>
  </si>
  <si>
    <t>Jellyfish In The Water</t>
  </si>
  <si>
    <t>Coleman, Clara</t>
  </si>
  <si>
    <t>9781534108790</t>
  </si>
  <si>
    <t>Making A Web Page</t>
  </si>
  <si>
    <t>Van Lent, Colleen</t>
  </si>
  <si>
    <t>9781538212141</t>
  </si>
  <si>
    <t>The Modern Nerd's Guide To Robot Battles</t>
  </si>
  <si>
    <t>Shofner, Melissa Rae</t>
  </si>
  <si>
    <t>9781536203240</t>
  </si>
  <si>
    <t>Otters Love To Play</t>
  </si>
  <si>
    <t>London, Jonathan</t>
  </si>
  <si>
    <t>9781426330490</t>
  </si>
  <si>
    <t>Rock Stars!</t>
  </si>
  <si>
    <t>Bramucci, Steve</t>
  </si>
  <si>
    <t>INFORMATIONAL SOCIAL STUDIES</t>
  </si>
  <si>
    <t>9781482450675</t>
  </si>
  <si>
    <t>The Ancient Egyptians</t>
  </si>
  <si>
    <t>West, David</t>
  </si>
  <si>
    <t>9781452165141</t>
  </si>
  <si>
    <t>Everything &amp; Everywhere: A Fact-Filled Adventure For Curious Globe-Trotters</t>
  </si>
  <si>
    <t>Martin, Marc</t>
  </si>
  <si>
    <t>9780753467930</t>
  </si>
  <si>
    <t>I Wonder Why Countries Fly Flags</t>
  </si>
  <si>
    <t>Steele, Philip</t>
  </si>
  <si>
    <t>9781515724834</t>
  </si>
  <si>
    <t>The Life And Times Of The First Americans</t>
  </si>
  <si>
    <t>Kirkman, Marissa</t>
  </si>
  <si>
    <t>9780778704676</t>
  </si>
  <si>
    <t>Life In A Pueblo</t>
  </si>
  <si>
    <t>Kalman, Bobbie</t>
  </si>
  <si>
    <t>9781416994152</t>
  </si>
  <si>
    <t>Locomotive</t>
  </si>
  <si>
    <t>Floca, Brian</t>
  </si>
  <si>
    <t>9780753467657</t>
  </si>
  <si>
    <t>Pirates</t>
  </si>
  <si>
    <t>9780778743323</t>
  </si>
  <si>
    <t>What Are The Levels Of Government?</t>
  </si>
  <si>
    <t>Bedesky, Baron</t>
  </si>
  <si>
    <t>9781534525016</t>
  </si>
  <si>
    <t>Who Are Refugees?</t>
  </si>
  <si>
    <t>Jeffries, Joyce</t>
  </si>
  <si>
    <t>9781425825171</t>
  </si>
  <si>
    <t>Women Who Changed The World</t>
  </si>
  <si>
    <t>Lopez, Elizabeth Anderson</t>
  </si>
  <si>
    <t>Third Grade Below Level Collection (includes 100 trade books)</t>
  </si>
  <si>
    <t>3RD-BL 19</t>
  </si>
  <si>
    <t>BELOW LEVEL READING GRADE 3 (J-M)</t>
  </si>
  <si>
    <t>9780766059740</t>
  </si>
  <si>
    <t>Amazing Arctic Explorer Matthew Henson</t>
  </si>
  <si>
    <t>Wade, Mary Dodson</t>
  </si>
  <si>
    <t>9781426321375</t>
  </si>
  <si>
    <t>Cleopatra</t>
  </si>
  <si>
    <t>Kramer, Barbara</t>
  </si>
  <si>
    <t>9780590203203</t>
  </si>
  <si>
    <t>Frida</t>
  </si>
  <si>
    <t>Winter, Jonah</t>
  </si>
  <si>
    <t>9780766078451</t>
  </si>
  <si>
    <t>Laurence Yep: Newbury Award-Winning Author</t>
  </si>
  <si>
    <t>Nelson, Kristen Rajczak</t>
  </si>
  <si>
    <t>9780152054458</t>
  </si>
  <si>
    <t>The Librarian Of Basra: A True Story From Iraq</t>
  </si>
  <si>
    <t>Winter, Jeanette</t>
  </si>
  <si>
    <t>9780544809055</t>
  </si>
  <si>
    <t>Mister And Lady Day: Billie Holiday And The Dog Who Loved Her</t>
  </si>
  <si>
    <t>Novesky, Amy</t>
  </si>
  <si>
    <t>9781482426922</t>
  </si>
  <si>
    <t>Red Cloud</t>
  </si>
  <si>
    <t>Nelson, Maria</t>
  </si>
  <si>
    <t>9781432959685</t>
  </si>
  <si>
    <t>Roald Dahl</t>
  </si>
  <si>
    <t>Guillain, Charlotte</t>
  </si>
  <si>
    <t>9780766067226</t>
  </si>
  <si>
    <t>Sonia Sotomayor: Supreme Court Justice</t>
  </si>
  <si>
    <t>McPherson, Stephanie Sammartino</t>
  </si>
  <si>
    <t>9781426314766</t>
  </si>
  <si>
    <t>Thomas Edison</t>
  </si>
  <si>
    <t>TRADTIONAL LITERATURE</t>
  </si>
  <si>
    <t>9781927244579</t>
  </si>
  <si>
    <t>Carlos And Diego: A Tale From Peru / Guinea Pigs Galore</t>
  </si>
  <si>
    <t>Mitchell, Sara</t>
  </si>
  <si>
    <t>9781499481228</t>
  </si>
  <si>
    <t>Falfoul's Trunk</t>
  </si>
  <si>
    <t>Nasser, Amal</t>
  </si>
  <si>
    <t>9781927244616</t>
  </si>
  <si>
    <t>The Girl And The Waterfall / Explore China</t>
  </si>
  <si>
    <t>Samson, Lucretia</t>
  </si>
  <si>
    <t>9781404870468</t>
  </si>
  <si>
    <t>Honestly, Red Riding Hood Was Rotten!</t>
  </si>
  <si>
    <t>Shaskan, Trisha Speed</t>
  </si>
  <si>
    <t>9780688109950</t>
  </si>
  <si>
    <t>Ming Lo Moves The Mountain</t>
  </si>
  <si>
    <t>Lobel, Arnold</t>
  </si>
  <si>
    <t>9780439339094</t>
  </si>
  <si>
    <t>Stone Soup</t>
  </si>
  <si>
    <t>Muth, Jon</t>
  </si>
  <si>
    <t>9780395300848</t>
  </si>
  <si>
    <t>The Tailypo: A Ghost Story</t>
  </si>
  <si>
    <t>Galdone, Joanna</t>
  </si>
  <si>
    <t>9780899194639</t>
  </si>
  <si>
    <t>The Teeny-Tiny Woman: A Ghost Story</t>
  </si>
  <si>
    <t>Galdone, Paul</t>
  </si>
  <si>
    <t>9781634401722</t>
  </si>
  <si>
    <t>Ten Missing Princesses</t>
  </si>
  <si>
    <t>Blevins, Wiley</t>
  </si>
  <si>
    <t>9780618152384</t>
  </si>
  <si>
    <t>Throw Your Tooth On The Roof: Tooth Traditions From Around The World</t>
  </si>
  <si>
    <t>Beeler, Selby</t>
  </si>
  <si>
    <t>FANTASY AND SCIENCE FICTION</t>
  </si>
  <si>
    <t>9781634400916</t>
  </si>
  <si>
    <t>Cinderella And The Vampire Prince</t>
  </si>
  <si>
    <t>9781551432908</t>
  </si>
  <si>
    <t>Down The Chimney With Googol And Googolplex</t>
  </si>
  <si>
    <t>Kazenbroot, Nelly</t>
  </si>
  <si>
    <t>9780544867611</t>
  </si>
  <si>
    <t>Lana's World: Let's Go To The Moon</t>
  </si>
  <si>
    <t>Silverman, Erica</t>
  </si>
  <si>
    <t>9781250062758</t>
  </si>
  <si>
    <t>Maybelle In The Soup</t>
  </si>
  <si>
    <t>Speck, Katie</t>
  </si>
  <si>
    <t>9780064441094</t>
  </si>
  <si>
    <t>No More Monsters For Me!</t>
  </si>
  <si>
    <t>Parish, Peggy</t>
  </si>
  <si>
    <t>9781481485951</t>
  </si>
  <si>
    <t>Ready, Set, Blast Off!</t>
  </si>
  <si>
    <t>O'Ryan, Ray</t>
  </si>
  <si>
    <t>9781776541683</t>
  </si>
  <si>
    <t>A Robot's Trick</t>
  </si>
  <si>
    <t>Gabolinscy, Jack</t>
  </si>
  <si>
    <t>9781585369973</t>
  </si>
  <si>
    <t>Roof Octopus</t>
  </si>
  <si>
    <t>Branam, Lucy</t>
  </si>
  <si>
    <t>9781434208576</t>
  </si>
  <si>
    <t>T. Rex Vs. Robo-Dog 3000</t>
  </si>
  <si>
    <t>Nickel, Scott</t>
  </si>
  <si>
    <t>9780064431781</t>
  </si>
  <si>
    <t>Where The Wild Things Are</t>
  </si>
  <si>
    <t>Sendak, Maurice</t>
  </si>
  <si>
    <t>9780876146392</t>
  </si>
  <si>
    <t>Clouds Of Terror</t>
  </si>
  <si>
    <t>Welch, Catherine A.</t>
  </si>
  <si>
    <t>9780064442152</t>
  </si>
  <si>
    <t>First Flight: The Story Of Tom Tate And The Wright Brothers</t>
  </si>
  <si>
    <t>Shea, George</t>
  </si>
  <si>
    <t>9780689878299</t>
  </si>
  <si>
    <t>Freedom Summer</t>
  </si>
  <si>
    <t>Wiles, Deborah</t>
  </si>
  <si>
    <t>9780312367497</t>
  </si>
  <si>
    <t>The Gardener</t>
  </si>
  <si>
    <t>Stewart, Sarah</t>
  </si>
  <si>
    <t>9780064406932</t>
  </si>
  <si>
    <t>Going West</t>
  </si>
  <si>
    <t>Wilder, Laura Ingalls</t>
  </si>
  <si>
    <t>9780689868160</t>
  </si>
  <si>
    <t>John F. Kennedy And The Stormy Sea</t>
  </si>
  <si>
    <t>Goldsmith, Howard</t>
  </si>
  <si>
    <t>9781433355684</t>
  </si>
  <si>
    <t>Sarah's Journal</t>
  </si>
  <si>
    <t>Bethune, Helen</t>
  </si>
  <si>
    <t>9781575056197</t>
  </si>
  <si>
    <t>The Schoolchildren's Blizzard</t>
  </si>
  <si>
    <t>Figley, Marty Rhodes</t>
  </si>
  <si>
    <t>9780544555464</t>
  </si>
  <si>
    <t>These Hands</t>
  </si>
  <si>
    <t>Mason, Margaret H.</t>
  </si>
  <si>
    <t>9780140555066</t>
  </si>
  <si>
    <t>Watch The Stars Come Out</t>
  </si>
  <si>
    <t>Levinson, Riki</t>
  </si>
  <si>
    <t>9780778726340</t>
  </si>
  <si>
    <t>Bar Graphs</t>
  </si>
  <si>
    <t>Sikkens, Crystal</t>
  </si>
  <si>
    <t>9781626174993</t>
  </si>
  <si>
    <t>Counting Money</t>
  </si>
  <si>
    <t>Schuh, Mari</t>
  </si>
  <si>
    <t>9781580138444</t>
  </si>
  <si>
    <t>How Long Or How Wide? A Measuring Guide</t>
  </si>
  <si>
    <t>9780811864831</t>
  </si>
  <si>
    <t>Just A Minute: A Trickster Tale And Counting Book</t>
  </si>
  <si>
    <t>Morales, Yuyi</t>
  </si>
  <si>
    <t>9780439755375</t>
  </si>
  <si>
    <t>Math For All Seasons</t>
  </si>
  <si>
    <t>9781622432363</t>
  </si>
  <si>
    <t>Measure It</t>
  </si>
  <si>
    <t>Heos, Bridget</t>
  </si>
  <si>
    <t>9780778726364</t>
  </si>
  <si>
    <t>Picture Graphs</t>
  </si>
  <si>
    <t>9781570917769</t>
  </si>
  <si>
    <t>Pythagoras And The Ratios: A Math Adventure</t>
  </si>
  <si>
    <t>Ellis, Julie</t>
  </si>
  <si>
    <t>9780618250776</t>
  </si>
  <si>
    <t>A Remainder Of One</t>
  </si>
  <si>
    <t>Pinczes, Elinor J.</t>
  </si>
  <si>
    <t>9781925248654</t>
  </si>
  <si>
    <t>Running An Errand: Addition</t>
  </si>
  <si>
    <t>Kim, In-sook</t>
  </si>
  <si>
    <t>9780763648275</t>
  </si>
  <si>
    <t>Andy Shane And The Barn Sale Mystery</t>
  </si>
  <si>
    <t>Jacobson, Jennifer</t>
  </si>
  <si>
    <t>9780142414323</t>
  </si>
  <si>
    <t>Bones And The Birthday Mystery</t>
  </si>
  <si>
    <t>9780064443067</t>
  </si>
  <si>
    <t>The Case Of The Missing Monkey</t>
  </si>
  <si>
    <t>Rylant, Cynthia</t>
  </si>
  <si>
    <t>9781598891690</t>
  </si>
  <si>
    <t>Curse Of The Red Scorpion</t>
  </si>
  <si>
    <t>9781536200799</t>
  </si>
  <si>
    <t>Judy Moody, Girl Detective</t>
  </si>
  <si>
    <t>McDonald, Megan</t>
  </si>
  <si>
    <t>9781682630181</t>
  </si>
  <si>
    <t>King &amp; Kayla And The Case Of The Lost Tooth</t>
  </si>
  <si>
    <t>Butler, Dori Hillestad</t>
  </si>
  <si>
    <t>9780385371650</t>
  </si>
  <si>
    <t>November Night</t>
  </si>
  <si>
    <t>Roy, Ronald</t>
  </si>
  <si>
    <t>9781328715616</t>
  </si>
  <si>
    <t>Pigeon P.I.</t>
  </si>
  <si>
    <t>Mclaren, Meg</t>
  </si>
  <si>
    <t>9780590847889</t>
  </si>
  <si>
    <t>Poppleton And Friends</t>
  </si>
  <si>
    <t>9780689857515</t>
  </si>
  <si>
    <t>Scared Silly</t>
  </si>
  <si>
    <t>Howe, James</t>
  </si>
  <si>
    <t>9780064443050</t>
  </si>
  <si>
    <t>The Bug In Teacher's Coffee And Other School Poems</t>
  </si>
  <si>
    <t>Dakos, Kalli</t>
  </si>
  <si>
    <t>9780763623142</t>
  </si>
  <si>
    <t>Days Like This: A Collection Of Small Poems</t>
  </si>
  <si>
    <t>James, Simon</t>
  </si>
  <si>
    <t>9780689809651</t>
  </si>
  <si>
    <t>Harriet And The Promised Land</t>
  </si>
  <si>
    <t>Lawrence, Jacob</t>
  </si>
  <si>
    <t>9780152024376</t>
  </si>
  <si>
    <t>In The Swim</t>
  </si>
  <si>
    <t>9780152163358</t>
  </si>
  <si>
    <t>Insectlopedia</t>
  </si>
  <si>
    <t>9781433355677</t>
  </si>
  <si>
    <t>My Foot Fell Asleep</t>
  </si>
  <si>
    <t>Keane, Sarah</t>
  </si>
  <si>
    <t>9780142401958</t>
  </si>
  <si>
    <t>One Leaf Rides The Wind</t>
  </si>
  <si>
    <t>Mannis, Celeste D.</t>
  </si>
  <si>
    <t>9780805098396</t>
  </si>
  <si>
    <t>Orangutanka: A Story In Poems</t>
  </si>
  <si>
    <t>Engle, Margarita</t>
  </si>
  <si>
    <t>9781499483925</t>
  </si>
  <si>
    <t>Poems By The Sea</t>
  </si>
  <si>
    <t>Moses, Brian</t>
  </si>
  <si>
    <t>9781499483918</t>
  </si>
  <si>
    <t>Poems For The Seasons</t>
  </si>
  <si>
    <t>9781459812550</t>
  </si>
  <si>
    <t>Batcat And The Seven Squirrels</t>
  </si>
  <si>
    <t>Walters, Eric</t>
  </si>
  <si>
    <t>9781536202953</t>
  </si>
  <si>
    <t>A Bike Like Sergio's</t>
  </si>
  <si>
    <t>Boelts, Maribeth</t>
  </si>
  <si>
    <t>9780312672829</t>
  </si>
  <si>
    <t>How Oliver Olson Changed The World</t>
  </si>
  <si>
    <t>Mills, Claudia</t>
  </si>
  <si>
    <t>9780544227897</t>
  </si>
  <si>
    <t>Iris And Walter: Lost And Found</t>
  </si>
  <si>
    <t>Guest, Elissa Haden</t>
  </si>
  <si>
    <t>9781536200829</t>
  </si>
  <si>
    <t>Judy Moody And The Bucket List</t>
  </si>
  <si>
    <t>9780547576954</t>
  </si>
  <si>
    <t>Mr. Putter &amp; Tabby Clear The Decks</t>
  </si>
  <si>
    <t>9780763623456</t>
  </si>
  <si>
    <t>Sky Color</t>
  </si>
  <si>
    <t>Reynolds, Peter H.</t>
  </si>
  <si>
    <t>9780544873902</t>
  </si>
  <si>
    <t>Springtime Blossoms</t>
  </si>
  <si>
    <t>Nolen, Jerdine</t>
  </si>
  <si>
    <t>9780763659400</t>
  </si>
  <si>
    <t>Stink And The Attack Of The Slime Mold</t>
  </si>
  <si>
    <t>9781250096036</t>
  </si>
  <si>
    <t>The Worst Gymnast</t>
  </si>
  <si>
    <t>Kalkipsakis, Thalia</t>
  </si>
  <si>
    <t>9781624968259</t>
  </si>
  <si>
    <t>Crystals</t>
  </si>
  <si>
    <t>Pettiford, Rebecca</t>
  </si>
  <si>
    <t>9781508195115</t>
  </si>
  <si>
    <t>Exploring Space</t>
  </si>
  <si>
    <t>Dickmann, Nancy</t>
  </si>
  <si>
    <t>9781620316146</t>
  </si>
  <si>
    <t>Freshwater Food Chains</t>
  </si>
  <si>
    <t>9781512456233</t>
  </si>
  <si>
    <t>From River To Raindrop: The Water Cycle</t>
  </si>
  <si>
    <t>Berne, Emma Carlson</t>
  </si>
  <si>
    <t>9781534527287</t>
  </si>
  <si>
    <t>Life Cycle Of A Honeybee</t>
  </si>
  <si>
    <t>Holmes, Kristy</t>
  </si>
  <si>
    <t>9781426310362</t>
  </si>
  <si>
    <t>Planets</t>
  </si>
  <si>
    <t>Carney, Elizabeth</t>
  </si>
  <si>
    <t>9781624968846</t>
  </si>
  <si>
    <t>Poisonous Plants</t>
  </si>
  <si>
    <t>9781508196204</t>
  </si>
  <si>
    <t>The Seashore</t>
  </si>
  <si>
    <t>Munson, Victoria</t>
  </si>
  <si>
    <t>9780753467633</t>
  </si>
  <si>
    <t>Volcanoes</t>
  </si>
  <si>
    <t>Feldman, Thea and Claire Llewellyn</t>
  </si>
  <si>
    <t>9781534527041</t>
  </si>
  <si>
    <t>What Is Coding?</t>
  </si>
  <si>
    <t>Cavel-Clarke, Steffi</t>
  </si>
  <si>
    <t>9781534520332</t>
  </si>
  <si>
    <t>Ancient Rome</t>
  </si>
  <si>
    <t>Cottrell, George</t>
  </si>
  <si>
    <t>9781482455793</t>
  </si>
  <si>
    <t>Clothing Around The World</t>
  </si>
  <si>
    <t>Murphy, Charles</t>
  </si>
  <si>
    <t>9781771388078</t>
  </si>
  <si>
    <t>Families Around The World</t>
  </si>
  <si>
    <t>Ruurs, Margriet</t>
  </si>
  <si>
    <t>9781482438949</t>
  </si>
  <si>
    <t>The History Of Juneteenth</t>
  </si>
  <si>
    <t>Smith, Maximilian</t>
  </si>
  <si>
    <t>9781482440096</t>
  </si>
  <si>
    <t>My Journey Through Ellis Island</t>
  </si>
  <si>
    <t>Arnez, Lynda</t>
  </si>
  <si>
    <t>9781618102737</t>
  </si>
  <si>
    <t>My Life As An Early Settler</t>
  </si>
  <si>
    <t>Allen, Nancy Kelly</t>
  </si>
  <si>
    <t>9780876149591</t>
  </si>
  <si>
    <t>The Snow Walker</t>
  </si>
  <si>
    <t>Wetterer, Margaret K. and Charles</t>
  </si>
  <si>
    <t>9780778734765</t>
  </si>
  <si>
    <t>Spotlight On Canada</t>
  </si>
  <si>
    <t>9781465428400</t>
  </si>
  <si>
    <t>Titanic: The Disaster That Shocked The World!</t>
  </si>
  <si>
    <t>Dubowski, Mark</t>
  </si>
  <si>
    <t>9780822564003</t>
  </si>
  <si>
    <t>U.S. Symbols</t>
  </si>
  <si>
    <t>Kishel, Ann-Marie</t>
  </si>
  <si>
    <t>Fourth Grade Independent Reading Collection (includes 200 texts, 200 conferring cards in a teacher box, and 3 gray bins</t>
  </si>
  <si>
    <t>Fourth Grade On-Level Collection (includes 100 books levels Q-S)</t>
  </si>
  <si>
    <t>BC-4GR 19</t>
  </si>
  <si>
    <t>ON-LEVEL READING GRADE 4 (Q-S)</t>
  </si>
  <si>
    <t>9781512413373</t>
  </si>
  <si>
    <t>Girls And Goddesses: Stories Of Heroines From Around The World</t>
  </si>
  <si>
    <t>Don, Lari</t>
  </si>
  <si>
    <t>9781419716270</t>
  </si>
  <si>
    <t>Ballots For Belva</t>
  </si>
  <si>
    <t>Bardhan-Quallen, Sudipta</t>
  </si>
  <si>
    <t>9780545828901</t>
  </si>
  <si>
    <t>It Came From Ohio! My Life As A Writer</t>
  </si>
  <si>
    <t>Stine, R. L.</t>
  </si>
  <si>
    <t>9781925234992</t>
  </si>
  <si>
    <t>Joining The Dots: The Art Of Seurat</t>
  </si>
  <si>
    <t>9780778727026</t>
  </si>
  <si>
    <t>Malala Yousafzai: Defender Of Education For Girls</t>
  </si>
  <si>
    <t>Spence, Kelly</t>
  </si>
  <si>
    <t>9781419715167</t>
  </si>
  <si>
    <t>Me, Frida</t>
  </si>
  <si>
    <t>9781508148272</t>
  </si>
  <si>
    <t>Ruth Bader Ginsburg</t>
  </si>
  <si>
    <t>Niver, Heather Moore</t>
  </si>
  <si>
    <t>9780763664589</t>
  </si>
  <si>
    <t>Skit-Scat Raggedy Cat: Ella Fitzgerald</t>
  </si>
  <si>
    <t>Orgill, Roxane</t>
  </si>
  <si>
    <t>9781580892971</t>
  </si>
  <si>
    <t>Whoosh! Lonnie Johnson's Super-Soaking Stream Of Inventions</t>
  </si>
  <si>
    <t>Barton, Chris</t>
  </si>
  <si>
    <t>9780778727019</t>
  </si>
  <si>
    <t>William Kamkwamba: Powering His Village</t>
  </si>
  <si>
    <t>Burns, Kylie</t>
  </si>
  <si>
    <t>9780152020989</t>
  </si>
  <si>
    <t>Wilma Unlimited: How Wilma Rudolph Became The World's Fastest Woman</t>
  </si>
  <si>
    <t>Krull, Kathleen</t>
  </si>
  <si>
    <t>9780140558364</t>
  </si>
  <si>
    <t>And Still The Turtle Watched</t>
  </si>
  <si>
    <t>MacGill-Callahan, Sheila</t>
  </si>
  <si>
    <t>9780679890065</t>
  </si>
  <si>
    <t>The Dark-Thirty: Southern Tales Of The Supernatural</t>
  </si>
  <si>
    <t>McKissack, Patricia</t>
  </si>
  <si>
    <t>9780763670559</t>
  </si>
  <si>
    <t>The Elephant's Friend And Other Tales From Ancient India</t>
  </si>
  <si>
    <t>Williams, Marcia</t>
  </si>
  <si>
    <t>9781512413458</t>
  </si>
  <si>
    <t>Fire And Ice: Stories Of Winter From Around The World</t>
  </si>
  <si>
    <t>9780395779385</t>
  </si>
  <si>
    <t>How The Stars Fell Into The Sky</t>
  </si>
  <si>
    <t>Oughton, Jerrie</t>
  </si>
  <si>
    <t>9780698113824</t>
  </si>
  <si>
    <t>Lon Po Po: A Red-Riding Hood Story From China</t>
  </si>
  <si>
    <t>Young, Ed</t>
  </si>
  <si>
    <t>9781416915553</t>
  </si>
  <si>
    <t>The Magician's Boy</t>
  </si>
  <si>
    <t>Cooper, Susan</t>
  </si>
  <si>
    <t>9781580138253</t>
  </si>
  <si>
    <t>Pigling: A Cinderella Story [A Korean Tale]</t>
  </si>
  <si>
    <t>Jolley, Dan</t>
  </si>
  <si>
    <t>9780544540705</t>
  </si>
  <si>
    <t>The Adventures Of A South Pole Pig: A Novel Of Snow And Courage</t>
  </si>
  <si>
    <t>Kurtz, Chris</t>
  </si>
  <si>
    <t>9781416979548</t>
  </si>
  <si>
    <t>Be SPHDZ, Save The World</t>
  </si>
  <si>
    <t>Scieszka, Jon</t>
  </si>
  <si>
    <t>9780763690960</t>
  </si>
  <si>
    <t>Has Anyone Seen Jessica Jenkins?</t>
  </si>
  <si>
    <t>Kessler, Liz</t>
  </si>
  <si>
    <t>9781681192789</t>
  </si>
  <si>
    <t>How To Capture An Invisible Cat</t>
  </si>
  <si>
    <t>Tobin, Paul</t>
  </si>
  <si>
    <t>9781416933960</t>
  </si>
  <si>
    <t>Jennifer, Hecate, Macbeth, William McKinley, And Me, Elizabeth</t>
  </si>
  <si>
    <t>Konigsburg, E. L.</t>
  </si>
  <si>
    <t>9780316359382</t>
  </si>
  <si>
    <t>Peter Powers And The Rowdy Robot Raiders</t>
  </si>
  <si>
    <t>Clark, Kent and Brandon T. Snider</t>
  </si>
  <si>
    <t>9781681918174</t>
  </si>
  <si>
    <t>Runaway Robot</t>
  </si>
  <si>
    <t>Anderson, J. L.</t>
  </si>
  <si>
    <t>9780439846813</t>
  </si>
  <si>
    <t>The Stonekeeper</t>
  </si>
  <si>
    <t>Kibuishi, Kazu</t>
  </si>
  <si>
    <t>9781681192185</t>
  </si>
  <si>
    <t>Tuesdays At The Castle</t>
  </si>
  <si>
    <t>George, Jessica Day</t>
  </si>
  <si>
    <t>9780547858234</t>
  </si>
  <si>
    <t>The Wyverns' Treasure</t>
  </si>
  <si>
    <t>LaFevers, R. L.</t>
  </si>
  <si>
    <t>9780778727422</t>
  </si>
  <si>
    <t>Cuda Of The Celts</t>
  </si>
  <si>
    <t>Ashe, Susan</t>
  </si>
  <si>
    <t>9781481431262</t>
  </si>
  <si>
    <t>Death Valley: California 1849</t>
  </si>
  <si>
    <t>Duey, Kathleen and Karen A. Bale</t>
  </si>
  <si>
    <t>9781481498326</t>
  </si>
  <si>
    <t>Eliza's Freedom Road: An Underground Railroad Diary</t>
  </si>
  <si>
    <t>9780545331814</t>
  </si>
  <si>
    <t>Glory Be</t>
  </si>
  <si>
    <t>Scattergood, Augusta</t>
  </si>
  <si>
    <t>9780547328638</t>
  </si>
  <si>
    <t>The Kite Fighters</t>
  </si>
  <si>
    <t>Park, Linda Sue</t>
  </si>
  <si>
    <t>9780698118027</t>
  </si>
  <si>
    <t>Sadako And The Thousand Paper Cranes</t>
  </si>
  <si>
    <t>9780547248882</t>
  </si>
  <si>
    <t>Seesaw Girl</t>
  </si>
  <si>
    <t>9780689849275</t>
  </si>
  <si>
    <t>Shadows On The Sea</t>
  </si>
  <si>
    <t>Harlow, Joan Hiatt</t>
  </si>
  <si>
    <t>9780142412381</t>
  </si>
  <si>
    <t>A Song For Harlem</t>
  </si>
  <si>
    <t>9781582463452</t>
  </si>
  <si>
    <t>Sylvia &amp; Aki</t>
  </si>
  <si>
    <t>Conkling, Winifred</t>
  </si>
  <si>
    <t>9781681918372</t>
  </si>
  <si>
    <t>Factors And Multiples</t>
  </si>
  <si>
    <t>Alvarez, Melanie</t>
  </si>
  <si>
    <t>9780778707400</t>
  </si>
  <si>
    <t>A Math Journey Through The Animal Kingdom</t>
  </si>
  <si>
    <t>Rooney, Anne</t>
  </si>
  <si>
    <t>9780778723271</t>
  </si>
  <si>
    <t>A Math Journey Under The Ocean</t>
  </si>
  <si>
    <t>Koll, Hilary and Steve Mills</t>
  </si>
  <si>
    <t>9780439443883</t>
  </si>
  <si>
    <t>Math-terpieces: The Art Of Problem-Solving</t>
  </si>
  <si>
    <t>9781681918341</t>
  </si>
  <si>
    <t>Mixed Numbers</t>
  </si>
  <si>
    <t>9781603574976</t>
  </si>
  <si>
    <t>Mummies In The Library: Divide The Pages</t>
  </si>
  <si>
    <t>Perritano, John</t>
  </si>
  <si>
    <t>9780312377496</t>
  </si>
  <si>
    <t>Polar Bear Math: Learning About Fractions From Klondike And Snow</t>
  </si>
  <si>
    <t>Nagda, Ann W. and Cindy Bickel</t>
  </si>
  <si>
    <t>9781570911644</t>
  </si>
  <si>
    <t>Sir Cumference And The Dragon Of Pi</t>
  </si>
  <si>
    <t>9781570911521</t>
  </si>
  <si>
    <t>Sir Cumference And The First Round Table</t>
  </si>
  <si>
    <t>9781603575010</t>
  </si>
  <si>
    <t>Space Adventures: Where Does The Time Go?</t>
  </si>
  <si>
    <t>9781434296894</t>
  </si>
  <si>
    <t>The Case Of The Portrait Vandal</t>
  </si>
  <si>
    <t>Brezenoff, Steve</t>
  </si>
  <si>
    <t>9781512481884</t>
  </si>
  <si>
    <t>The Egyptian Enchantment</t>
  </si>
  <si>
    <t>Metcalf, Dan</t>
  </si>
  <si>
    <t>9781452138152</t>
  </si>
  <si>
    <t>Ghosts Don't Wear Glasses</t>
  </si>
  <si>
    <t>Farber, E. S.</t>
  </si>
  <si>
    <t>9781426300950</t>
  </si>
  <si>
    <t>The Hunted</t>
  </si>
  <si>
    <t>Skurzynski, Gloria and Alane Ferguson</t>
  </si>
  <si>
    <t>9781481449076</t>
  </si>
  <si>
    <t>Megan's Island</t>
  </si>
  <si>
    <t>Roberts, Wilo Davis</t>
  </si>
  <si>
    <t>9781250004772</t>
  </si>
  <si>
    <t>Missing On Superstition Mountain</t>
  </si>
  <si>
    <t>Broach, Elise</t>
  </si>
  <si>
    <t>9780635124258</t>
  </si>
  <si>
    <t>The Mystery At Plymouth Rock</t>
  </si>
  <si>
    <t>Marsh, Carole</t>
  </si>
  <si>
    <t>9780763680145</t>
  </si>
  <si>
    <t>Now Look What You've Done</t>
  </si>
  <si>
    <t>Pastis, Stephan</t>
  </si>
  <si>
    <t>9781496543516</t>
  </si>
  <si>
    <t>Science Fair Sabotage</t>
  </si>
  <si>
    <t>Terrell, Brandon</t>
  </si>
  <si>
    <t>9780823434534</t>
  </si>
  <si>
    <t>Sleuth On Skates</t>
  </si>
  <si>
    <t>Beauvais, Clementine</t>
  </si>
  <si>
    <t>9781561459209</t>
  </si>
  <si>
    <t>At The Sea Floor Cafe: Odd Ocean Critter Poems</t>
  </si>
  <si>
    <t>Bulion, Leslie</t>
  </si>
  <si>
    <t>9781619302839</t>
  </si>
  <si>
    <t>Explore Poetry! With 25 Great Projects</t>
  </si>
  <si>
    <t>Diehn, Andi</t>
  </si>
  <si>
    <t>9780590543408</t>
  </si>
  <si>
    <t>Harlem</t>
  </si>
  <si>
    <t>Myers, Walter Dean</t>
  </si>
  <si>
    <t>9780064403849</t>
  </si>
  <si>
    <t>Hey World, Here I Am!</t>
  </si>
  <si>
    <t>Little, Jean</t>
  </si>
  <si>
    <t>9781607180418</t>
  </si>
  <si>
    <t>Mother Osprey: Nursery Rhymes For Buoys &amp; Gulls</t>
  </si>
  <si>
    <t>Nolan, Lucy</t>
  </si>
  <si>
    <t>9780618752423</t>
  </si>
  <si>
    <t>Old Elm Speaks</t>
  </si>
  <si>
    <t>George, Kristine O'Connell</t>
  </si>
  <si>
    <t>9780763623760</t>
  </si>
  <si>
    <t>A Poke In The I: A Collection Of Concrete Poems</t>
  </si>
  <si>
    <t>Janeczko, Paul B.</t>
  </si>
  <si>
    <t>9780316247825</t>
  </si>
  <si>
    <t>The Red Pencil</t>
  </si>
  <si>
    <t>Pinkney, Andrea Davis</t>
  </si>
  <si>
    <t>9781512418651</t>
  </si>
  <si>
    <t>Seeing Into Tomorrow</t>
  </si>
  <si>
    <t>Wright, Richard</t>
  </si>
  <si>
    <t>9780763665432</t>
  </si>
  <si>
    <t>Slickety Quick: Poems About Sharks</t>
  </si>
  <si>
    <t>Brown, Skila</t>
  </si>
  <si>
    <t>9781442481756</t>
  </si>
  <si>
    <t>Dancing Home</t>
  </si>
  <si>
    <t>Ada, Alma Flor and Gabriel M. Zubizarreta</t>
  </si>
  <si>
    <t>9781492635925</t>
  </si>
  <si>
    <t>Dream On, Amber</t>
  </si>
  <si>
    <t>Shevah, Emma</t>
  </si>
  <si>
    <t>9780141301693</t>
  </si>
  <si>
    <t>Eagle Song</t>
  </si>
  <si>
    <t>Bruchac, Joseph</t>
  </si>
  <si>
    <t>9780823438785</t>
  </si>
  <si>
    <t>Eliza Bing Is (Not) A Big, Fat Quitter</t>
  </si>
  <si>
    <t>Van Vleet, Carmella</t>
  </si>
  <si>
    <t>9781496504982</t>
  </si>
  <si>
    <t>Hoop Hustle</t>
  </si>
  <si>
    <t>Maddox, Jake</t>
  </si>
  <si>
    <t>9780689860102</t>
  </si>
  <si>
    <t>The Jacket</t>
  </si>
  <si>
    <t>Clements, Andrew</t>
  </si>
  <si>
    <t>9780698119291</t>
  </si>
  <si>
    <t>Last Summer With Maizon</t>
  </si>
  <si>
    <t>Woodson, Jacqueline</t>
  </si>
  <si>
    <t>9780545270120</t>
  </si>
  <si>
    <t>Pie</t>
  </si>
  <si>
    <t>Weeks, Sarah</t>
  </si>
  <si>
    <t>9780439443838</t>
  </si>
  <si>
    <t>Rules</t>
  </si>
  <si>
    <t>Lord, Cynthia</t>
  </si>
  <si>
    <t>9780545846615</t>
  </si>
  <si>
    <t>Save Me A Seat</t>
  </si>
  <si>
    <t>Weeks, Sarah and Gita Varadarajan</t>
  </si>
  <si>
    <t>9781508145134</t>
  </si>
  <si>
    <t>Cave Geologists</t>
  </si>
  <si>
    <t>Honders, Christine</t>
  </si>
  <si>
    <t>9781635170610</t>
  </si>
  <si>
    <t>Detecting Tsunamis</t>
  </si>
  <si>
    <t>Ventura, Marne</t>
  </si>
  <si>
    <t>9781467707916</t>
  </si>
  <si>
    <t>Figuring Out Fossils</t>
  </si>
  <si>
    <t>9781467797030</t>
  </si>
  <si>
    <t>How Can We Reduce Manufacturing Pollution?</t>
  </si>
  <si>
    <t>Hustad, Douglas</t>
  </si>
  <si>
    <t>9780763695156</t>
  </si>
  <si>
    <t>Mesmerized: How Ben Franklin Solved A Mystery That Baffled All Of France</t>
  </si>
  <si>
    <t>Rockliff, Mara</t>
  </si>
  <si>
    <t>9781499421781</t>
  </si>
  <si>
    <t>Military And Police Robots</t>
  </si>
  <si>
    <t>Faust, Daniel R.</t>
  </si>
  <si>
    <t>9781250079602</t>
  </si>
  <si>
    <t>Neo Leo: The Ageless Ideas Of Leonardo Da Vinci</t>
  </si>
  <si>
    <t>9781433348624</t>
  </si>
  <si>
    <t>Strange But True: Tiny Creatures</t>
  </si>
  <si>
    <t>Bradley, Timothy J.</t>
  </si>
  <si>
    <t>9781634706247</t>
  </si>
  <si>
    <t>Top 10: Oddities</t>
  </si>
  <si>
    <t>Loh-Hagan, Virginia</t>
  </si>
  <si>
    <t>9780531224410</t>
  </si>
  <si>
    <t>You Wouldn't Want To Live Without Pain!</t>
  </si>
  <si>
    <t>MacDonald, Fiona</t>
  </si>
  <si>
    <t>9781632353375</t>
  </si>
  <si>
    <t>12 Questions About Slave Narratives</t>
  </si>
  <si>
    <t>Sepahban, Lois</t>
  </si>
  <si>
    <t>9781561459612</t>
  </si>
  <si>
    <t>14 Cows For America</t>
  </si>
  <si>
    <t>Deedy, Carmen Agra</t>
  </si>
  <si>
    <t>9781493830718</t>
  </si>
  <si>
    <t>American Indians Of The East: Woodland People</t>
  </si>
  <si>
    <t>Schwartz, Heather</t>
  </si>
  <si>
    <t>9781499420739</t>
  </si>
  <si>
    <t>Bill Of Rights</t>
  </si>
  <si>
    <t>Kawa, Katie</t>
  </si>
  <si>
    <t>9781433336799</t>
  </si>
  <si>
    <t>History Of Baseball</t>
  </si>
  <si>
    <t>Rice, Dona</t>
  </si>
  <si>
    <t>9780778796664</t>
  </si>
  <si>
    <t>Japan: The Culture</t>
  </si>
  <si>
    <t>9781538323427</t>
  </si>
  <si>
    <t>Life As A Somali American</t>
  </si>
  <si>
    <t>Creager, Ellen</t>
  </si>
  <si>
    <t>9780736896573</t>
  </si>
  <si>
    <t>The Mystery Of The Roanoke Colony</t>
  </si>
  <si>
    <t>Niz, Xavier</t>
  </si>
  <si>
    <t>9781598453522</t>
  </si>
  <si>
    <t>The Secret World Of Spy Agencies</t>
  </si>
  <si>
    <t>Mitchell, Susan K.</t>
  </si>
  <si>
    <t>9780531238523</t>
  </si>
  <si>
    <t>You Wouldn't Want To Be A Pyramid Builder!</t>
  </si>
  <si>
    <t>Morley, Jacqueline</t>
  </si>
  <si>
    <t>Fourth Grade Below-Level Collection (includes 100 titles levels L-P)</t>
  </si>
  <si>
    <t>4TH-BL 19</t>
  </si>
  <si>
    <t>BELOW LEVEL READING GRADE 4 (L-P)</t>
  </si>
  <si>
    <t>9780152052515</t>
  </si>
  <si>
    <t>America's Champion Swimmer: Gertrude Ederle</t>
  </si>
  <si>
    <t>9781426313523</t>
  </si>
  <si>
    <t>Anne Frank</t>
  </si>
  <si>
    <t>Zapruder, Alexandra</t>
  </si>
  <si>
    <t>9780763662158</t>
  </si>
  <si>
    <t>Footwork: The Story Of Fred And Adele Astaire</t>
  </si>
  <si>
    <t>9781464403453</t>
  </si>
  <si>
    <t>Microwave Man: Percy Spencer And His Sizzling Invention</t>
  </si>
  <si>
    <t>Latta, Sara L.</t>
  </si>
  <si>
    <t>9780448461922</t>
  </si>
  <si>
    <t>Who Is Jane Goodall?</t>
  </si>
  <si>
    <t>Edwards, Roberta</t>
  </si>
  <si>
    <t>9780448455853</t>
  </si>
  <si>
    <t>Who Was Dr. Seuss?</t>
  </si>
  <si>
    <t>Pascal, Janet</t>
  </si>
  <si>
    <t>9780448455570</t>
  </si>
  <si>
    <t>Who Was Jackie Robinson?</t>
  </si>
  <si>
    <t>Herman, Gail</t>
  </si>
  <si>
    <t>9780152163501</t>
  </si>
  <si>
    <t>The Crane Wife</t>
  </si>
  <si>
    <t>Bodkin, Odds</t>
  </si>
  <si>
    <t>9780064435185</t>
  </si>
  <si>
    <t>The Dragon Prince: A Chinese Beauty And The Beast Tale</t>
  </si>
  <si>
    <t>Yep, Laurence</t>
  </si>
  <si>
    <t>9781434217448</t>
  </si>
  <si>
    <t>The Emperor's New Clothes (Graphic Adaptation)</t>
  </si>
  <si>
    <t>Andersen, Hans Christian and Stephanie True Peters</t>
  </si>
  <si>
    <t>9780316203814</t>
  </si>
  <si>
    <t>The First Adventures Of Spider</t>
  </si>
  <si>
    <t>Arkhurst, Joyce Cooper</t>
  </si>
  <si>
    <t>9781628552164</t>
  </si>
  <si>
    <t>First Fire: A Cherokee Folktale</t>
  </si>
  <si>
    <t>9780823415137</t>
  </si>
  <si>
    <t>The Golden Sandal: A Middle Eastern Cinderella Story</t>
  </si>
  <si>
    <t>Hickox, Rebecca</t>
  </si>
  <si>
    <t>9781551433561</t>
  </si>
  <si>
    <t>The Paper Wagon: A Folktale From Friesland</t>
  </si>
  <si>
    <t>Attema, Martha</t>
  </si>
  <si>
    <t>9781434217417</t>
  </si>
  <si>
    <t>Thumbelina (Graphic Adaptation)</t>
  </si>
  <si>
    <t>Andersen, Hans Christian</t>
  </si>
  <si>
    <t>9781467795715</t>
  </si>
  <si>
    <t>Believe Your Eyes</t>
  </si>
  <si>
    <t>Doerrfeld, Cori</t>
  </si>
  <si>
    <t>9781459812581</t>
  </si>
  <si>
    <t>The Case Of The Missing Mage</t>
  </si>
  <si>
    <t>9780763642945</t>
  </si>
  <si>
    <t>Daisy Dawson Is On Her Way!</t>
  </si>
  <si>
    <t>Voake, Steve</t>
  </si>
  <si>
    <t>9780763668150</t>
  </si>
  <si>
    <t>Doggie Duties</t>
  </si>
  <si>
    <t>Candlewick Press</t>
  </si>
  <si>
    <t>9781416902348</t>
  </si>
  <si>
    <t>The Frandidate</t>
  </si>
  <si>
    <t>Benton, Jim</t>
  </si>
  <si>
    <t>9781416928157</t>
  </si>
  <si>
    <t>Howliday Inn</t>
  </si>
  <si>
    <t>9780439377096</t>
  </si>
  <si>
    <t>Ricky Ricotta's Mighty Robot Vs. The Naughty Nightcrawlers From Neptune</t>
  </si>
  <si>
    <t>Pilkey, Dav</t>
  </si>
  <si>
    <t>9780763694661</t>
  </si>
  <si>
    <t>The Worst Witch And The Wishing Star</t>
  </si>
  <si>
    <t>9780689839689</t>
  </si>
  <si>
    <t>Children Of The Fire</t>
  </si>
  <si>
    <t>Robinet, Harriette G.</t>
  </si>
  <si>
    <t>9780399237485</t>
  </si>
  <si>
    <t>Coming On Home Soon</t>
  </si>
  <si>
    <t>9780689715402</t>
  </si>
  <si>
    <t>The Courage Of Sarah Noble</t>
  </si>
  <si>
    <t>Dalgliesh, Alice</t>
  </si>
  <si>
    <t>9781434208477</t>
  </si>
  <si>
    <t>Mystery At Manzanar: A WWII Internment Camp Story</t>
  </si>
  <si>
    <t>Fein, Eric</t>
  </si>
  <si>
    <t>9780761378082</t>
  </si>
  <si>
    <t>The Prairie Adventure Of Sarah And Annie, Blizzard Survivors</t>
  </si>
  <si>
    <t>9780761381358</t>
  </si>
  <si>
    <t>The Fishy Fountain: A Mystery With Multiplication And Division</t>
  </si>
  <si>
    <t>9781404852020</t>
  </si>
  <si>
    <t>If You Were A Minute</t>
  </si>
  <si>
    <t>9780439210461</t>
  </si>
  <si>
    <t>Math Appeal: Mind-Stretching Math Riddles</t>
  </si>
  <si>
    <t>9780823430499</t>
  </si>
  <si>
    <t>Millions, Billions, &amp; Trillions: Understanding Big Numbers</t>
  </si>
  <si>
    <t>9780881063394</t>
  </si>
  <si>
    <t>The Pizza Counting Book</t>
  </si>
  <si>
    <t>Dobson, Christina</t>
  </si>
  <si>
    <t>9780778705130</t>
  </si>
  <si>
    <t>Stone Age Geometry: Circles</t>
  </si>
  <si>
    <t>Bailey, Gerry and Felicia Law</t>
  </si>
  <si>
    <t>9781575656410</t>
  </si>
  <si>
    <t>The Case Of The Buried Bones</t>
  </si>
  <si>
    <t>Montgomery, Lewis B.</t>
  </si>
  <si>
    <t>9780761356301</t>
  </si>
  <si>
    <t>Fish You Were Here</t>
  </si>
  <si>
    <t>9781434227720</t>
  </si>
  <si>
    <t>The Ghost Who Haunted The Capitol</t>
  </si>
  <si>
    <t>9781459807273</t>
  </si>
  <si>
    <t>Lark Holds The Key</t>
  </si>
  <si>
    <t>9780545822046</t>
  </si>
  <si>
    <t>The Mysterious Moonstone</t>
  </si>
  <si>
    <t>Luper, Eric</t>
  </si>
  <si>
    <t>9780316133630</t>
  </si>
  <si>
    <t>The Mystery Of The Stolen Bike</t>
  </si>
  <si>
    <t>Brown, Marc</t>
  </si>
  <si>
    <t>9780763658182</t>
  </si>
  <si>
    <t>African Acrostics: A Word In Edgeways</t>
  </si>
  <si>
    <t>Harley, Avis</t>
  </si>
  <si>
    <t>9781467781077</t>
  </si>
  <si>
    <t>Bow-Tie Pasta</t>
  </si>
  <si>
    <t>9781433355646</t>
  </si>
  <si>
    <t>Footprints On The Moon: Poems About Space</t>
  </si>
  <si>
    <t>9781482421552</t>
  </si>
  <si>
    <t>The Four Princesses And Other Poems</t>
  </si>
  <si>
    <t>Thomas, Tig, Ed.</t>
  </si>
  <si>
    <t>9780064430975</t>
  </si>
  <si>
    <t>Honey, I Love And Other Poems</t>
  </si>
  <si>
    <t>Greenfield, Eloise</t>
  </si>
  <si>
    <t>9780763659547</t>
  </si>
  <si>
    <t>Bink And Gollie</t>
  </si>
  <si>
    <t>DiCamillo, Kate and Alison McGhee</t>
  </si>
  <si>
    <t>9780544339125</t>
  </si>
  <si>
    <t>Dog Days</t>
  </si>
  <si>
    <t>English, Karen</t>
  </si>
  <si>
    <t>9781584300144</t>
  </si>
  <si>
    <t>Gettin' Through Thursday</t>
  </si>
  <si>
    <t>Cooper, Melrose</t>
  </si>
  <si>
    <t>9781536200843</t>
  </si>
  <si>
    <t>Judy Moody And The Not Bummer Summer</t>
  </si>
  <si>
    <t>9781496526205</t>
  </si>
  <si>
    <t>Pool Panic</t>
  </si>
  <si>
    <t>9781416950035</t>
  </si>
  <si>
    <t>Ruby Lu, Empress Of Everything</t>
  </si>
  <si>
    <t>Look, Lenore</t>
  </si>
  <si>
    <t>9780544003248</t>
  </si>
  <si>
    <t>Wedding Drama</t>
  </si>
  <si>
    <t>9781534523098</t>
  </si>
  <si>
    <t>Dazzling Diamonds</t>
  </si>
  <si>
    <t>Harrison, Lorraine</t>
  </si>
  <si>
    <t>9781426329104</t>
  </si>
  <si>
    <t>Erupt!</t>
  </si>
  <si>
    <t>Galat, Joan</t>
  </si>
  <si>
    <t>9781681918693</t>
  </si>
  <si>
    <t>Gross Foods</t>
  </si>
  <si>
    <t>Jenkins, Pete</t>
  </si>
  <si>
    <t>9781482439151</t>
  </si>
  <si>
    <t>How A Ship Is Built</t>
  </si>
  <si>
    <t>Aloian, Sam</t>
  </si>
  <si>
    <t>9780766072787</t>
  </si>
  <si>
    <t>A Look At Erosion And Weathering</t>
  </si>
  <si>
    <t>Brannon, Cecelia</t>
  </si>
  <si>
    <t>9781680484892</t>
  </si>
  <si>
    <t>Mirages And Other Marvels Of Light And Air</t>
  </si>
  <si>
    <t>Penne, Barbra</t>
  </si>
  <si>
    <t>9781534520493</t>
  </si>
  <si>
    <t>Recycling Materials</t>
  </si>
  <si>
    <t>McMullen, Gemma</t>
  </si>
  <si>
    <t>9781620314234</t>
  </si>
  <si>
    <t>Robots At Home</t>
  </si>
  <si>
    <t>VanVoorst, Jenny F.</t>
  </si>
  <si>
    <t>9781464401497</t>
  </si>
  <si>
    <t>The Stormy Southern Ocean</t>
  </si>
  <si>
    <t>Gonzales, Doreen</t>
  </si>
  <si>
    <t>9781681918297</t>
  </si>
  <si>
    <t>Why Do Animals Sound Like That?</t>
  </si>
  <si>
    <t>Koontz, Robin</t>
  </si>
  <si>
    <t>9781426330421</t>
  </si>
  <si>
    <t>Ancient Egypt</t>
  </si>
  <si>
    <t>Drimmer, Stephanie Warren</t>
  </si>
  <si>
    <t>9781433984303</t>
  </si>
  <si>
    <t>Life During The Gold Rush</t>
  </si>
  <si>
    <t>Levy, Janey</t>
  </si>
  <si>
    <t>9781598451962</t>
  </si>
  <si>
    <t>The Louisiana Purchase: Would You Close The Deal?</t>
  </si>
  <si>
    <t>Landau, Elaine</t>
  </si>
  <si>
    <t>9781622432417</t>
  </si>
  <si>
    <t>Machu Picchu</t>
  </si>
  <si>
    <t>Raum, Elizabeth</t>
  </si>
  <si>
    <t>9781482405996</t>
  </si>
  <si>
    <t>The Transcontinental Railroad</t>
  </si>
  <si>
    <t>Rajczak, Michael</t>
  </si>
  <si>
    <t>9781328499226</t>
  </si>
  <si>
    <t>Vote!</t>
  </si>
  <si>
    <t>Christelow, Eileen</t>
  </si>
  <si>
    <t>9781680484137</t>
  </si>
  <si>
    <t>What Are Saving And Spending?</t>
  </si>
  <si>
    <t>Hollander, Barbara Gottfried</t>
  </si>
  <si>
    <t>9781680487336</t>
  </si>
  <si>
    <t>What Is A Community?</t>
  </si>
  <si>
    <t>Nagle, Jeanne</t>
  </si>
  <si>
    <t>Fifth Grade Independent Reading Collection (includes 200 texts, 200 conferring cards in a teacher box, and 4 gray bins)</t>
  </si>
  <si>
    <t>Fifth Grade On-Level Collection (includes 100 books levels T-V)</t>
  </si>
  <si>
    <t>BC-5GR 19</t>
  </si>
  <si>
    <t>ON-LEVEL READING GRADE 5 (T-V)</t>
  </si>
  <si>
    <t>9781536202960</t>
  </si>
  <si>
    <t>The Boy Who Fell Off The Mayflower, Or John Howland's Good Fortune</t>
  </si>
  <si>
    <t>Lynch, P. J.</t>
  </si>
  <si>
    <t>9781515713364</t>
  </si>
  <si>
    <t>J. K. Rowling: Author Of The Harry Potter Series</t>
  </si>
  <si>
    <t>Hunsicker, Jennifer</t>
  </si>
  <si>
    <t>9780395797266</t>
  </si>
  <si>
    <t>Kids At Work: Lewis Hine And The Crusade Against Child Labor</t>
  </si>
  <si>
    <t>Freedman, Russell</t>
  </si>
  <si>
    <t>9780544247604</t>
  </si>
  <si>
    <t>Lives Of The Athletes: Thrills, Spills (And What The Neighbors Thought)</t>
  </si>
  <si>
    <t>9781575423500</t>
  </si>
  <si>
    <t>Real Kids, Real Stories, Real Change: Courageous Actions Around The World</t>
  </si>
  <si>
    <t>Sundem, Garth</t>
  </si>
  <si>
    <t>9780547417295</t>
  </si>
  <si>
    <t>Soldier Athletes</t>
  </si>
  <si>
    <t>Stout, Glenn</t>
  </si>
  <si>
    <t>9780590425605</t>
  </si>
  <si>
    <t>Stealing Home: The Story Of Jackie Robinson</t>
  </si>
  <si>
    <t>Denenberg, Barry</t>
  </si>
  <si>
    <t>9781467797191</t>
  </si>
  <si>
    <t>Urban Biologist Danielle Lee</t>
  </si>
  <si>
    <t>Cornell, Kari</t>
  </si>
  <si>
    <t>9781538214695</t>
  </si>
  <si>
    <t>Women Scientists In Math And Coding</t>
  </si>
  <si>
    <t>Brereton, Catherine</t>
  </si>
  <si>
    <t>9781580138871</t>
  </si>
  <si>
    <t>Ali Baba: Fooling The Forty Thieves [An Arabian Tale]</t>
  </si>
  <si>
    <t>Croall, Marie P.</t>
  </si>
  <si>
    <t>9780698118119</t>
  </si>
  <si>
    <t>Cut From The Same Cloth</t>
  </si>
  <si>
    <t>9781404208124</t>
  </si>
  <si>
    <t>Egyptian Myths</t>
  </si>
  <si>
    <t>Jeffrey, Gary</t>
  </si>
  <si>
    <t>9781619304505</t>
  </si>
  <si>
    <t>Explore Greek Myths! With 25 Great Projects</t>
  </si>
  <si>
    <t>Yasuda, Anita</t>
  </si>
  <si>
    <t>9781512413397</t>
  </si>
  <si>
    <t>Ghosts And Goblins: Scary Stories From Around The World</t>
  </si>
  <si>
    <t>Pearson, Maggie</t>
  </si>
  <si>
    <t>9781580138925</t>
  </si>
  <si>
    <t>The Hero Twins: Against The Lords Of Death [A Mayan Myth]</t>
  </si>
  <si>
    <t>9780823410637</t>
  </si>
  <si>
    <t>The Kitchen Knight: A Tale Of King Arthur</t>
  </si>
  <si>
    <t>Hodges, Margaret</t>
  </si>
  <si>
    <t>9781502634474</t>
  </si>
  <si>
    <t>The Myths And Legends Of India</t>
  </si>
  <si>
    <t>Randolph, Joanne</t>
  </si>
  <si>
    <t>9781502634498</t>
  </si>
  <si>
    <t>The Myths And Legends Of The Middle East</t>
  </si>
  <si>
    <t>9780064404419</t>
  </si>
  <si>
    <t>The Rainbow People</t>
  </si>
  <si>
    <t>9781619634893</t>
  </si>
  <si>
    <t>Blue In The Face</t>
  </si>
  <si>
    <t>Swallow, Gerry</t>
  </si>
  <si>
    <t>9781492647959</t>
  </si>
  <si>
    <t>The Changelings</t>
  </si>
  <si>
    <t>Soontornvat, Christina</t>
  </si>
  <si>
    <t>9780545316484</t>
  </si>
  <si>
    <t>Dragon Rider</t>
  </si>
  <si>
    <t>Funke, Cornelia</t>
  </si>
  <si>
    <t>9781416997122</t>
  </si>
  <si>
    <t>Dragon's Milk</t>
  </si>
  <si>
    <t>Fletcher, Susan</t>
  </si>
  <si>
    <t>9780763687649</t>
  </si>
  <si>
    <t>Flora And Ulysses: The Illuminated Adventures</t>
  </si>
  <si>
    <t>DiCamillo, Kate</t>
  </si>
  <si>
    <t>9780544671720</t>
  </si>
  <si>
    <t>Half Magic</t>
  </si>
  <si>
    <t>Eager, Edward</t>
  </si>
  <si>
    <t>9780316346795</t>
  </si>
  <si>
    <t>House Of Robots</t>
  </si>
  <si>
    <t>Patterson, James and Chris Grabenstein</t>
  </si>
  <si>
    <t>9781101935880</t>
  </si>
  <si>
    <t>The Sand Warrior</t>
  </si>
  <si>
    <t>Siegel, Mark and Alexis</t>
  </si>
  <si>
    <t>9780316125949</t>
  </si>
  <si>
    <t>When The Sea Turned To Silver</t>
  </si>
  <si>
    <t>Lin, Grace</t>
  </si>
  <si>
    <t>9781481414777</t>
  </si>
  <si>
    <t>The White Mountains</t>
  </si>
  <si>
    <t>Christopher, John</t>
  </si>
  <si>
    <t>9781536200263</t>
  </si>
  <si>
    <t>Dolls Of Hope</t>
  </si>
  <si>
    <t>Parenteau, Shirley</t>
  </si>
  <si>
    <t>9780544936966</t>
  </si>
  <si>
    <t>Isabel Feeney, Star Reporter</t>
  </si>
  <si>
    <t>Fantaskey, Beth</t>
  </si>
  <si>
    <t>9781524766542</t>
  </si>
  <si>
    <t>Lily</t>
  </si>
  <si>
    <t>Sanderson, Whitney</t>
  </si>
  <si>
    <t>9780525643975</t>
  </si>
  <si>
    <t>Lucy &amp; Andy Neanderthal</t>
  </si>
  <si>
    <t>Brown, Jeffrey</t>
  </si>
  <si>
    <t>9781250104144</t>
  </si>
  <si>
    <t>Paper Wishes</t>
  </si>
  <si>
    <t>9780763696917</t>
  </si>
  <si>
    <t>Raymie Nightingale</t>
  </si>
  <si>
    <t>9780316043069</t>
  </si>
  <si>
    <t>Sugar</t>
  </si>
  <si>
    <t>Rhodes, Jewell Parker</t>
  </si>
  <si>
    <t>9781328740953</t>
  </si>
  <si>
    <t>Tru And Nelle</t>
  </si>
  <si>
    <t>Neri, G.</t>
  </si>
  <si>
    <t>9780545477116</t>
  </si>
  <si>
    <t>The True Confessions Of Charlotte Doyle</t>
  </si>
  <si>
    <t>Avi</t>
  </si>
  <si>
    <t>9780545123310</t>
  </si>
  <si>
    <t>Unsinkable</t>
  </si>
  <si>
    <t>Korman, Gordon</t>
  </si>
  <si>
    <t>9781410968821</t>
  </si>
  <si>
    <t>70 Thousand Million, Million, Million Stars In Space</t>
  </si>
  <si>
    <t>Rockett, Paul</t>
  </si>
  <si>
    <t>9780778729716</t>
  </si>
  <si>
    <t>Dream Jobs In Math</t>
  </si>
  <si>
    <t>Hynson, Colin</t>
  </si>
  <si>
    <t>9781425855598</t>
  </si>
  <si>
    <t>Engineering Marvels: The Eiffel Tower: Measurement</t>
  </si>
  <si>
    <t>Rice, Dona Herweck</t>
  </si>
  <si>
    <t>9781619302594</t>
  </si>
  <si>
    <t>Explore Money! With 25 Great Projects</t>
  </si>
  <si>
    <t>Blobaum, Cindy</t>
  </si>
  <si>
    <t>9781619305861</t>
  </si>
  <si>
    <t>Explore Shapes And Angles! With 25 Great Projects</t>
  </si>
  <si>
    <t>Moore, Jeanette</t>
  </si>
  <si>
    <t>9781425855499</t>
  </si>
  <si>
    <t>On The Job: Podcast Producer: Multiplication</t>
  </si>
  <si>
    <t>Beth, George</t>
  </si>
  <si>
    <t>9781681918334</t>
  </si>
  <si>
    <t>Patterns</t>
  </si>
  <si>
    <t>9781410968876</t>
  </si>
  <si>
    <t>Seven Quintillion, Five Hundred Quadrillion Grains Of Sand On Planet Earth</t>
  </si>
  <si>
    <t>9781621697459</t>
  </si>
  <si>
    <t>STEM Guides To Calculating Time</t>
  </si>
  <si>
    <t>Robertson, Kay</t>
  </si>
  <si>
    <t>9781621697411</t>
  </si>
  <si>
    <t>STEM Guides To Space</t>
  </si>
  <si>
    <t>9781534420113</t>
  </si>
  <si>
    <t>The Boggart</t>
  </si>
  <si>
    <t>9780439852081</t>
  </si>
  <si>
    <t>The Calder Game</t>
  </si>
  <si>
    <t>Balliett, Blue</t>
  </si>
  <si>
    <t>9780545419741</t>
  </si>
  <si>
    <t>Capture The Flag</t>
  </si>
  <si>
    <t>Messner, Kate</t>
  </si>
  <si>
    <t>9780545783880</t>
  </si>
  <si>
    <t>The Harlem Charade</t>
  </si>
  <si>
    <t>Tarpley, Natasha</t>
  </si>
  <si>
    <t>9781551436203</t>
  </si>
  <si>
    <t>Jumper</t>
  </si>
  <si>
    <t>Bossley, Michele Martin</t>
  </si>
  <si>
    <t>9781536200478</t>
  </si>
  <si>
    <t>Look Into My Eyes</t>
  </si>
  <si>
    <t>Child, Lauren</t>
  </si>
  <si>
    <t>9780316355575</t>
  </si>
  <si>
    <t>The Magic Misfits</t>
  </si>
  <si>
    <t>Harris, Neil Patrick and Al A. Kazam</t>
  </si>
  <si>
    <t>9780553536096</t>
  </si>
  <si>
    <t>Mr. Lemoncello's Great Library Race</t>
  </si>
  <si>
    <t>Grabenstein, Chris</t>
  </si>
  <si>
    <t>9780810984196</t>
  </si>
  <si>
    <t>The Secrets Of The Cicada Summer</t>
  </si>
  <si>
    <t>Beaty, Andrea</t>
  </si>
  <si>
    <t>9780142417225</t>
  </si>
  <si>
    <t>Theodore Boone: Kid Lawyer</t>
  </si>
  <si>
    <t>Grisham, John</t>
  </si>
  <si>
    <t>9780763650025</t>
  </si>
  <si>
    <t>12 Rounds To Glory: The Story Of Muhammad Ali</t>
  </si>
  <si>
    <t>Smith, Charles R. Jr.</t>
  </si>
  <si>
    <t>9781596438200</t>
  </si>
  <si>
    <t>28 Days: Moments In Black History That Changed The World</t>
  </si>
  <si>
    <t>9781452118956</t>
  </si>
  <si>
    <t>Bigfoot Is Missing!</t>
  </si>
  <si>
    <t>Lewis, J. Patrick and Kenn Nesbitt</t>
  </si>
  <si>
    <t>9781512404425</t>
  </si>
  <si>
    <t>Can I Touch Your Hair? Poems Of Race, Mistakes, And Friendship</t>
  </si>
  <si>
    <t>Latham, Irene and Charles Waters</t>
  </si>
  <si>
    <t>9781590781722</t>
  </si>
  <si>
    <t>Color Me A Rhyme: Nature Poems For Young People</t>
  </si>
  <si>
    <t>Yolen, Jane</t>
  </si>
  <si>
    <t>9780698116474</t>
  </si>
  <si>
    <t>The Earth Under Sky Bear's Feet</t>
  </si>
  <si>
    <t>9781580893404</t>
  </si>
  <si>
    <t>Hey There, Stink Bug!</t>
  </si>
  <si>
    <t>9780553521405</t>
  </si>
  <si>
    <t>The Last Fifth Grade Of Emerson Elementary</t>
  </si>
  <si>
    <t>Shovan, Laura</t>
  </si>
  <si>
    <t>9780152061487</t>
  </si>
  <si>
    <t>Laugh-eteria</t>
  </si>
  <si>
    <t>9780385374149</t>
  </si>
  <si>
    <t>May B.</t>
  </si>
  <si>
    <t>Rose, Caroline</t>
  </si>
  <si>
    <t>9781496538215</t>
  </si>
  <si>
    <t>Dance Fever</t>
  </si>
  <si>
    <t>Bowe, Julie</t>
  </si>
  <si>
    <t>9780316245135</t>
  </si>
  <si>
    <t>The End Of The Wild</t>
  </si>
  <si>
    <t>Helget, Nicole</t>
  </si>
  <si>
    <t>9781101997253</t>
  </si>
  <si>
    <t>The Epic Fail Of Arturo Zamora</t>
  </si>
  <si>
    <t>Cartaya, Pablo</t>
  </si>
  <si>
    <t>9780425290422</t>
  </si>
  <si>
    <t>The First Rule Of Punk</t>
  </si>
  <si>
    <t>Perez, Celia C.</t>
  </si>
  <si>
    <t>9781250061683</t>
  </si>
  <si>
    <t>Joey Pigza Swallowed The Key</t>
  </si>
  <si>
    <t>Gantos, Jack</t>
  </si>
  <si>
    <t>9780316298575</t>
  </si>
  <si>
    <t>Look Out For The Fitzgerald-Trouts</t>
  </si>
  <si>
    <t>Spalding, Esta</t>
  </si>
  <si>
    <t>9781484798447</t>
  </si>
  <si>
    <t>No More Dead Dogs</t>
  </si>
  <si>
    <t>9781250073976</t>
  </si>
  <si>
    <t>Rain Reign</t>
  </si>
  <si>
    <t>Martin, Ann M.</t>
  </si>
  <si>
    <t>9780544540309</t>
  </si>
  <si>
    <t>The Same Stuff As Stars</t>
  </si>
  <si>
    <t>Paterson, Katherine</t>
  </si>
  <si>
    <t>9780545782272</t>
  </si>
  <si>
    <t>Unidentified Suburban Object</t>
  </si>
  <si>
    <t>Jung, Mike</t>
  </si>
  <si>
    <t>9781632350954</t>
  </si>
  <si>
    <t>12 Things To Know About Wild Weather</t>
  </si>
  <si>
    <t>Kallio, Jamie</t>
  </si>
  <si>
    <t>9781459805828</t>
  </si>
  <si>
    <t>Deep Roots: How Trees Sustain Our Planet</t>
  </si>
  <si>
    <t>Tate, Nikki</t>
  </si>
  <si>
    <t>9781512412833</t>
  </si>
  <si>
    <t>Discover Bionics</t>
  </si>
  <si>
    <t>Bethea, Nikole</t>
  </si>
  <si>
    <t>9781459814127</t>
  </si>
  <si>
    <t>Down To Earth: How Kids Help Feed The World</t>
  </si>
  <si>
    <t>9781619303454</t>
  </si>
  <si>
    <t>Engineering: Cool Women Who Design</t>
  </si>
  <si>
    <t>May, Vicki V.</t>
  </si>
  <si>
    <t>9781538323601</t>
  </si>
  <si>
    <t>Evil Ecosystems</t>
  </si>
  <si>
    <t>Clark, Michael</t>
  </si>
  <si>
    <t>9781681918723</t>
  </si>
  <si>
    <t>Gross Places</t>
  </si>
  <si>
    <t>9781681917924</t>
  </si>
  <si>
    <t>Insects As Healers</t>
  </si>
  <si>
    <t>McNeilly, Linden</t>
  </si>
  <si>
    <t>9780544809086</t>
  </si>
  <si>
    <t>The Tapir Scientist: Saving South America's Largest Mammal</t>
  </si>
  <si>
    <t>Montgomery, Sy</t>
  </si>
  <si>
    <t>9780823440443</t>
  </si>
  <si>
    <t>Up Close With Spiders</t>
  </si>
  <si>
    <t>Siy, Alexandra</t>
  </si>
  <si>
    <t>9781493830794</t>
  </si>
  <si>
    <t>The American Revolution: Fighting For Freedom</t>
  </si>
  <si>
    <t>Maloof, Torrey</t>
  </si>
  <si>
    <t>9781493836017</t>
  </si>
  <si>
    <t>Ancient China 305 BC</t>
  </si>
  <si>
    <t>Slepian, Curtis</t>
  </si>
  <si>
    <t>9781684040698</t>
  </si>
  <si>
    <t>Country Money</t>
  </si>
  <si>
    <t>Whitehead, William, et al.</t>
  </si>
  <si>
    <t>9781534132504</t>
  </si>
  <si>
    <t>Fake News</t>
  </si>
  <si>
    <t>Mara, Wil</t>
  </si>
  <si>
    <t>9781433315190</t>
  </si>
  <si>
    <t>The Fight For Freedom: Ending Slavery In America</t>
  </si>
  <si>
    <t>Carosella, Melissa and Stephanie Kuligowski</t>
  </si>
  <si>
    <t>9781493830831</t>
  </si>
  <si>
    <t>Forming A New Government</t>
  </si>
  <si>
    <t>Paris, Stephanie</t>
  </si>
  <si>
    <t>9781534108295</t>
  </si>
  <si>
    <t>The Ladybug Foundation</t>
  </si>
  <si>
    <t>Pearl, Melissa Sherman</t>
  </si>
  <si>
    <t>9781433986048</t>
  </si>
  <si>
    <t>Machines And Weaponry Of World War I</t>
  </si>
  <si>
    <t>Samuels, Charlie</t>
  </si>
  <si>
    <t>9781534132887</t>
  </si>
  <si>
    <t>Viewpoints On The Sinking Of The Titanic</t>
  </si>
  <si>
    <t>Russo, Kristin J.</t>
  </si>
  <si>
    <t>9780766098732</t>
  </si>
  <si>
    <t>What Does A Protester Do?</t>
  </si>
  <si>
    <t>Heing, Bridey</t>
  </si>
  <si>
    <t>Fifth Grade Below-Level Collection (includes 100 titles levels O-S</t>
  </si>
  <si>
    <t>5TH-BL 19</t>
  </si>
  <si>
    <t>BELOW LEVEL READING GRADE 5 (O-S)</t>
  </si>
  <si>
    <t>9781502636843</t>
  </si>
  <si>
    <t>Bonnie And Clyde: A Deadly Duo</t>
  </si>
  <si>
    <t>Sullivan, Laura L.</t>
  </si>
  <si>
    <t>9781502622006</t>
  </si>
  <si>
    <t>Calamity Jane: Frontierswoman</t>
  </si>
  <si>
    <t>Klepeis, Alicia Z.</t>
  </si>
  <si>
    <t>9780531221716</t>
  </si>
  <si>
    <t>Cixi: Evil Empress Of China?</t>
  </si>
  <si>
    <t>Price, Sean Stewart</t>
  </si>
  <si>
    <t>9781508160588</t>
  </si>
  <si>
    <t>Ibtihaj Muhammad: Muslim American Champion Fencer And Olympian</t>
  </si>
  <si>
    <t>9781508160625</t>
  </si>
  <si>
    <t>The Inventors Of Minecraft: Markus ~~Notch~~ Persson And His Coding Team</t>
  </si>
  <si>
    <t>9780152061036</t>
  </si>
  <si>
    <t>Puppies, Dogs, And Blue Northers: Reflections On Being Raised By A Pack Of Sled Dogs</t>
  </si>
  <si>
    <t>Paulsen, Gary</t>
  </si>
  <si>
    <t>9780778727033</t>
  </si>
  <si>
    <t>Rick Hansen: Improving Life For People With Disabilities</t>
  </si>
  <si>
    <t>Morganelli, Adrianna</t>
  </si>
  <si>
    <t>9780590447713</t>
  </si>
  <si>
    <t>Shark Lady: True Adventures Of Eugenie Clark</t>
  </si>
  <si>
    <t>McGovern, Ann</t>
  </si>
  <si>
    <t>9780766090651</t>
  </si>
  <si>
    <t>Squanto: Native American Translator And Guide</t>
  </si>
  <si>
    <t>Isbell, Hannah</t>
  </si>
  <si>
    <t>9781482440317</t>
  </si>
  <si>
    <t>America's Oddest Legends</t>
  </si>
  <si>
    <t>McAneney, Caitie</t>
  </si>
  <si>
    <t>9781846869419</t>
  </si>
  <si>
    <t>The Barefoot Book Of Earth Tales</t>
  </si>
  <si>
    <t>Casey, Dawn</t>
  </si>
  <si>
    <t>9781598892826</t>
  </si>
  <si>
    <t>The Curse Of The Wendigo: An Agate And Buck Adventure</t>
  </si>
  <si>
    <t>Welvaert, Scott R.</t>
  </si>
  <si>
    <t>9780778715245</t>
  </si>
  <si>
    <t>Hard As Nails In Myths And Legends</t>
  </si>
  <si>
    <t>Turner, Tracey and Jamie Lenman</t>
  </si>
  <si>
    <t>9780064420907</t>
  </si>
  <si>
    <t>The King's Equal (Digest Edition)</t>
  </si>
  <si>
    <t>9781555910945</t>
  </si>
  <si>
    <t>Native American Stories</t>
  </si>
  <si>
    <t>9781941460375</t>
  </si>
  <si>
    <t>Tales Of Enchantment</t>
  </si>
  <si>
    <t>DeSpain, Pleasant</t>
  </si>
  <si>
    <t>9780761372974</t>
  </si>
  <si>
    <t>Alien Contact</t>
  </si>
  <si>
    <t>Service, Pamela F.</t>
  </si>
  <si>
    <t>9780544935242</t>
  </si>
  <si>
    <t>Battle Of The Bots</t>
  </si>
  <si>
    <t>Richards, C. J.</t>
  </si>
  <si>
    <t>9781459812611</t>
  </si>
  <si>
    <t>The Case Of Firebane's Folly</t>
  </si>
  <si>
    <t>9781419724923</t>
  </si>
  <si>
    <t>Frank Einstein And The Antimatter Motor</t>
  </si>
  <si>
    <t>9780590108416</t>
  </si>
  <si>
    <t>Journey To The Volcano Palace</t>
  </si>
  <si>
    <t>9781467795739</t>
  </si>
  <si>
    <t>On The Sapphire's Trail</t>
  </si>
  <si>
    <t>Ferrier, Katherine and Florian</t>
  </si>
  <si>
    <t>9780316464628</t>
  </si>
  <si>
    <t>The Unlucky Lottery Winners Of Classroom 13</t>
  </si>
  <si>
    <t>Lee, Honest and Matthew J. Gilbert</t>
  </si>
  <si>
    <t>9780316382045</t>
  </si>
  <si>
    <t>The Wild Robot Escapes</t>
  </si>
  <si>
    <t>Brown, Peter</t>
  </si>
  <si>
    <t>9780312558062</t>
  </si>
  <si>
    <t>Hachiko Waits</t>
  </si>
  <si>
    <t>Newman, Leslea</t>
  </si>
  <si>
    <t>9780545206945</t>
  </si>
  <si>
    <t>I Survived The Sinking Of The Titanic, 1912</t>
  </si>
  <si>
    <t>Tarshis, Lauren</t>
  </si>
  <si>
    <t>9780689716720</t>
  </si>
  <si>
    <t>A Jar Of Dreams</t>
  </si>
  <si>
    <t>Uchida, Yoshiko</t>
  </si>
  <si>
    <t>9781561459797</t>
  </si>
  <si>
    <t>Marching With Aunt Susan: Susan B. Anthony And The Fight For Women's Rights</t>
  </si>
  <si>
    <t>Murphy, Claire Rudolf</t>
  </si>
  <si>
    <t>9780761370758</t>
  </si>
  <si>
    <t>The Prison-Ship Adventure Of James Forten, Revolutionary War Captive</t>
  </si>
  <si>
    <t>9781551435992</t>
  </si>
  <si>
    <t>Secret Signs</t>
  </si>
  <si>
    <t>Guest, Jacqueline</t>
  </si>
  <si>
    <t>9780316477833</t>
  </si>
  <si>
    <t>Titanic</t>
  </si>
  <si>
    <t>Charman, Katrina</t>
  </si>
  <si>
    <t>9781681917757</t>
  </si>
  <si>
    <t>War Torn</t>
  </si>
  <si>
    <t>9781598453218</t>
  </si>
  <si>
    <t>Fraction And Decimal Smarts!</t>
  </si>
  <si>
    <t>Caron, Lucille and Philip M. St. Jacques</t>
  </si>
  <si>
    <t>9781425858223</t>
  </si>
  <si>
    <t>The History Of The First Moon Landing: Dividing Decimals</t>
  </si>
  <si>
    <t>Sipe, Nicole</t>
  </si>
  <si>
    <t>9781538211373</t>
  </si>
  <si>
    <t>Hockey: Stats, Facts, And Figures</t>
  </si>
  <si>
    <t>MIkoley, Kate</t>
  </si>
  <si>
    <t>9781603575003</t>
  </si>
  <si>
    <t>Looking For Blackbeard's Treasure: Measuring The Distance</t>
  </si>
  <si>
    <t>9780778707363</t>
  </si>
  <si>
    <t>A Math Journey Through Planet Earth</t>
  </si>
  <si>
    <t>9781464400094</t>
  </si>
  <si>
    <t>Pre-Algebra And Algebra</t>
  </si>
  <si>
    <t>Wingard-Nelson, Rebecca</t>
  </si>
  <si>
    <t>9781570911507</t>
  </si>
  <si>
    <t>What's Your Angle, Pythagoras? A Math Adventure</t>
  </si>
  <si>
    <t>9781416928171</t>
  </si>
  <si>
    <t>Bunnicula: A Rabbit-Tale Of Mystery</t>
  </si>
  <si>
    <t>9781442427099</t>
  </si>
  <si>
    <t>The Buried Bones Mystery</t>
  </si>
  <si>
    <t>Draper, Sharon M.</t>
  </si>
  <si>
    <t>9781771470704</t>
  </si>
  <si>
    <t>The Case Of Maker Mischief</t>
  </si>
  <si>
    <t>9780823439911</t>
  </si>
  <si>
    <t>Christina's Ghost</t>
  </si>
  <si>
    <t>Wright, Betty Ren</t>
  </si>
  <si>
    <t>9780545174763</t>
  </si>
  <si>
    <t>Claudia And The Phantom Phone Calls</t>
  </si>
  <si>
    <t>9781512481877</t>
  </si>
  <si>
    <t>The Eagle Of Rome</t>
  </si>
  <si>
    <t>9780152025090</t>
  </si>
  <si>
    <t>The Hamster Of The Baskervilles</t>
  </si>
  <si>
    <t>Hale, Bruce</t>
  </si>
  <si>
    <t>9780307980793</t>
  </si>
  <si>
    <t>Lunch Lady And The Video Game Villain</t>
  </si>
  <si>
    <t>Krosoczka, Jarrett J.</t>
  </si>
  <si>
    <t>9780763649203</t>
  </si>
  <si>
    <t>Bartholomew Biddle And The Very Big Wind</t>
  </si>
  <si>
    <t>Ross, Gary</t>
  </si>
  <si>
    <t>9781561455751</t>
  </si>
  <si>
    <t>Grow: A Novel In Verse</t>
  </si>
  <si>
    <t>Havill, Juanita</t>
  </si>
  <si>
    <t>9780147509178</t>
  </si>
  <si>
    <t>Poem Depot: Aisles Of Smiles</t>
  </si>
  <si>
    <t>9780062292643</t>
  </si>
  <si>
    <t>The Poet's Dog</t>
  </si>
  <si>
    <t>MacLachlan, Patricia</t>
  </si>
  <si>
    <t>9781467760355</t>
  </si>
  <si>
    <t>Something Sure Smells Around Here</t>
  </si>
  <si>
    <t>9781590782514</t>
  </si>
  <si>
    <t>Water Music</t>
  </si>
  <si>
    <t>9780544582354</t>
  </si>
  <si>
    <t>All About Sam</t>
  </si>
  <si>
    <t>Lowry, Lois</t>
  </si>
  <si>
    <t>9781536200546</t>
  </si>
  <si>
    <t>Cody And The Rules Of Life</t>
  </si>
  <si>
    <t>9780763629939</t>
  </si>
  <si>
    <t>The Gold-Threaded Dress</t>
  </si>
  <si>
    <t>Marsden, Carolyn</t>
  </si>
  <si>
    <t>9780061964190</t>
  </si>
  <si>
    <t>Junonia</t>
  </si>
  <si>
    <t>Henkes, Kevin</t>
  </si>
  <si>
    <t>9780547722405</t>
  </si>
  <si>
    <t>On My Honor</t>
  </si>
  <si>
    <t>Bauer, Marion Dane</t>
  </si>
  <si>
    <t>9780380709564</t>
  </si>
  <si>
    <t>Ramona Quimby, Age 8</t>
  </si>
  <si>
    <t>9781328750877</t>
  </si>
  <si>
    <t>Switcharound</t>
  </si>
  <si>
    <t>9780766097070</t>
  </si>
  <si>
    <t>21st-Century Spaceships</t>
  </si>
  <si>
    <t>Adams, Gloria G.</t>
  </si>
  <si>
    <t>9780531240632</t>
  </si>
  <si>
    <t>Discovering New Planets</t>
  </si>
  <si>
    <t>Jemison, Mae Dr. and Dana Meachen Rau</t>
  </si>
  <si>
    <t>9781534108776</t>
  </si>
  <si>
    <t>Filming Stop-Motion Animation</t>
  </si>
  <si>
    <t>Saldana, Zoe</t>
  </si>
  <si>
    <t>9781538328392</t>
  </si>
  <si>
    <t>Flying With Feathers And Wings</t>
  </si>
  <si>
    <t>9781534132320</t>
  </si>
  <si>
    <t>Hedy Lamarr And Classified Communication</t>
  </si>
  <si>
    <t>9781632353542</t>
  </si>
  <si>
    <t>Nutrition Myths, Busted!</t>
  </si>
  <si>
    <t>9781561457632</t>
  </si>
  <si>
    <t>A Place For Bats</t>
  </si>
  <si>
    <t>Stewart, Melissa</t>
  </si>
  <si>
    <t>9781561457847</t>
  </si>
  <si>
    <t>A Place For Butterflies</t>
  </si>
  <si>
    <t>9781538214558</t>
  </si>
  <si>
    <t>Surviving The Yellowstone Supervolcano</t>
  </si>
  <si>
    <t>Ogden, Charlie</t>
  </si>
  <si>
    <t>9781633624214</t>
  </si>
  <si>
    <t>Understanding Sound</t>
  </si>
  <si>
    <t>Orr, Tamra B.</t>
  </si>
  <si>
    <t>9781632356185</t>
  </si>
  <si>
    <t>12 Epic Archaeological Adventures</t>
  </si>
  <si>
    <t>Mooney, Carla</t>
  </si>
  <si>
    <t>9780544455955</t>
  </si>
  <si>
    <t>The Cowgirl Way: Hats Off To America's Women Of The West</t>
  </si>
  <si>
    <t>George-Warren, Holly</t>
  </si>
  <si>
    <t>9781538338261</t>
  </si>
  <si>
    <t>Cultural Contributions From India: Decimals, Shampoo, And More</t>
  </si>
  <si>
    <t>Duhig, Holly</t>
  </si>
  <si>
    <t>9781538323861</t>
  </si>
  <si>
    <t>Endangered Places</t>
  </si>
  <si>
    <t>Ganeri, Anita</t>
  </si>
  <si>
    <t>9781627178068</t>
  </si>
  <si>
    <t>Government In Your City Or Town</t>
  </si>
  <si>
    <t>Kenney, Karen</t>
  </si>
  <si>
    <t>9781508168485</t>
  </si>
  <si>
    <t>HMS Beagle Voyage And The Galapagos Islands</t>
  </si>
  <si>
    <t>Morlock, Theresa</t>
  </si>
  <si>
    <t>9781538330654</t>
  </si>
  <si>
    <t>Identifying Bias, Propaganda, And Misinformation Surrounding The Boston Tea Party</t>
  </si>
  <si>
    <t>Morlock, Jeremy</t>
  </si>
  <si>
    <t>9781502630155</t>
  </si>
  <si>
    <t>Ireland</t>
  </si>
  <si>
    <t>Poeschel, Ann</t>
  </si>
  <si>
    <t>9781771380232</t>
  </si>
  <si>
    <t>The Red Bicycle: The Extraordinary Story Of One Ordinary Bicycle</t>
  </si>
  <si>
    <t>Isabella, Jude</t>
  </si>
  <si>
    <t>9781502629364</t>
  </si>
  <si>
    <t>Respecting Opposing Viewpoints</t>
  </si>
  <si>
    <t>Ford, Jeanne 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</si>
</sst>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\-000\-00000\-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2" fillId="0" borderId="0" xfId="2"/>
    <xf numFmtId="0" fontId="3" fillId="0" borderId="0" xfId="2" applyFont="1" applyAlignment="1">
      <alignment vertical="top"/>
    </xf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vertical="top" wrapText="1"/>
    </xf>
    <xf numFmtId="164" fontId="3" fillId="0" borderId="0" xfId="2" applyNumberFormat="1" applyFont="1" applyAlignment="1">
      <alignment horizontal="center" vertical="top"/>
    </xf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wrapText="1"/>
    </xf>
    <xf numFmtId="0" fontId="3" fillId="0" borderId="0" xfId="3"/>
    <xf numFmtId="0" fontId="2" fillId="0" borderId="0" xfId="4"/>
    <xf numFmtId="0" fontId="4" fillId="0" borderId="0" xfId="4" applyFont="1" applyAlignment="1">
      <alignment horizontal="center" wrapText="1"/>
    </xf>
    <xf numFmtId="0" fontId="4" fillId="0" borderId="0" xfId="4" applyFont="1" applyAlignment="1">
      <alignment wrapText="1"/>
    </xf>
    <xf numFmtId="0" fontId="4" fillId="0" borderId="0" xfId="4" applyFont="1" applyAlignment="1">
      <alignment horizontal="center"/>
    </xf>
    <xf numFmtId="0" fontId="4" fillId="0" borderId="0" xfId="4" applyFont="1"/>
    <xf numFmtId="0" fontId="3" fillId="0" borderId="0" xfId="4" applyFont="1" applyAlignment="1">
      <alignment horizontal="center" vertical="top"/>
    </xf>
    <xf numFmtId="0" fontId="3" fillId="0" borderId="0" xfId="4" applyFont="1" applyAlignment="1">
      <alignment vertical="top" wrapText="1"/>
    </xf>
    <xf numFmtId="164" fontId="3" fillId="0" borderId="0" xfId="4" applyNumberFormat="1" applyFont="1" applyAlignment="1">
      <alignment horizontal="center" vertical="top"/>
    </xf>
    <xf numFmtId="0" fontId="3" fillId="0" borderId="0" xfId="4" applyFont="1" applyAlignment="1">
      <alignment vertical="top"/>
    </xf>
    <xf numFmtId="0" fontId="3" fillId="0" borderId="0" xfId="5"/>
    <xf numFmtId="0" fontId="5" fillId="0" borderId="0" xfId="2" applyFont="1" applyAlignment="1">
      <alignment vertical="top"/>
    </xf>
    <xf numFmtId="0" fontId="5" fillId="0" borderId="0" xfId="4" applyFont="1" applyAlignment="1">
      <alignment vertical="top"/>
    </xf>
    <xf numFmtId="0" fontId="4" fillId="0" borderId="0" xfId="3" applyFont="1" applyAlignment="1"/>
    <xf numFmtId="0" fontId="5" fillId="0" borderId="0" xfId="5" applyFont="1" applyAlignment="1"/>
    <xf numFmtId="0" fontId="4" fillId="0" borderId="0" xfId="5" applyFont="1" applyAlignment="1"/>
  </cellXfs>
  <cellStyles count="6">
    <cellStyle name="Normal" xfId="0" builtinId="0"/>
    <cellStyle name="Normal 2" xfId="1" xr:uid="{1C3DA6EB-3A68-4E08-9F45-7768FDC3A9C2}"/>
    <cellStyle name="Normal 2 2" xfId="4" xr:uid="{956E0406-133D-4F62-8C2E-D06011514C9D}"/>
    <cellStyle name="Normal 3" xfId="2" xr:uid="{63FD9D81-EFDE-4A57-B4B5-52B5A12E53E0}"/>
    <cellStyle name="Normal 3 2" xfId="5" xr:uid="{8187EA8E-4CB8-4886-8B10-AE0B00F8CBF3}"/>
    <cellStyle name="Normal 4" xfId="3" xr:uid="{2B561DF8-C44E-4B09-880F-0DC7BA82CAC9}"/>
  </cellStyles>
  <dxfs count="12">
    <dxf>
      <font>
        <b/>
        <color rgb="FF6D9EEB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6D9EEB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6D9EEB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6D9EEB"/>
      </font>
      <fill>
        <patternFill patternType="none"/>
      </fill>
    </dxf>
    <dxf>
      <font>
        <b/>
        <color rgb="FF1155CC"/>
      </font>
      <fill>
        <patternFill patternType="none"/>
      </fill>
    </dxf>
    <dxf>
      <font>
        <b/>
        <color rgb="FF1155CC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AAB5-E2CF-478C-BB3B-19815B6E662E}">
  <sheetPr>
    <tabColor rgb="FFFF0000"/>
    <outlinePr summaryBelow="0" summaryRight="0"/>
  </sheetPr>
  <dimension ref="A1:H152"/>
  <sheetViews>
    <sheetView workbookViewId="0">
      <pane ySplit="2" topLeftCell="B90" activePane="bottomLeft" state="frozen"/>
      <selection pane="bottomLeft" activeCell="B90" sqref="B90"/>
    </sheetView>
  </sheetViews>
  <sheetFormatPr defaultColWidth="14.42578125" defaultRowHeight="15.75" customHeight="1"/>
  <cols>
    <col min="1" max="1" width="9.140625" style="1" customWidth="1"/>
    <col min="2" max="2" width="48.42578125" style="1" customWidth="1"/>
    <col min="3" max="3" width="9.42578125" style="1" customWidth="1"/>
    <col min="4" max="4" width="25.7109375" style="1" customWidth="1"/>
    <col min="5" max="5" width="18.42578125" style="1" customWidth="1"/>
    <col min="6" max="16384" width="14.42578125" style="1"/>
  </cols>
  <sheetData>
    <row r="1" spans="1:8" ht="15.75" customHeight="1">
      <c r="A1" s="21" t="s">
        <v>0</v>
      </c>
      <c r="B1" s="21"/>
      <c r="C1" s="21"/>
      <c r="D1" s="21"/>
      <c r="E1" s="21"/>
      <c r="F1" s="21"/>
      <c r="G1" s="21"/>
      <c r="H1" s="21"/>
    </row>
    <row r="2" spans="1:8" ht="15.75" customHeight="1">
      <c r="A2" s="9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6"/>
      <c r="G2" s="6"/>
      <c r="H2" s="6"/>
    </row>
    <row r="3" spans="1:8" ht="13.15">
      <c r="A3" s="3" t="str">
        <f ca="1">IFERROR(__xludf.DUMMYFUNCTION("""COMPUTED_VALUE"""),"2")</f>
        <v>2</v>
      </c>
      <c r="B3" s="4" t="str">
        <f ca="1">IFERROR(__xludf.DUMMYFUNCTION("""COMPUTED_VALUE"""),"About Amphibians: A Guide for Children")</f>
        <v>About Amphibians: A Guide for Children</v>
      </c>
      <c r="C3" s="3" t="str">
        <f ca="1">IFERROR(__xludf.DUMMYFUNCTION("""COMPUTED_VALUE"""),"N")</f>
        <v>N</v>
      </c>
      <c r="D3" s="4" t="str">
        <f ca="1">IFERROR(__xludf.DUMMYFUNCTION("""COMPUTED_VALUE"""),"Sill, Cathryn")</f>
        <v>Sill, Cathryn</v>
      </c>
      <c r="E3" s="5">
        <f ca="1">IFERROR(__xludf.DUMMYFUNCTION("""COMPUTED_VALUE"""),9781561453122)</f>
        <v>9781561453122</v>
      </c>
      <c r="F3" s="2"/>
      <c r="G3" s="2"/>
      <c r="H3" s="2"/>
    </row>
    <row r="4" spans="1:8" ht="13.15">
      <c r="A4" s="3" t="str">
        <f ca="1">IFERROR(__xludf.DUMMYFUNCTION("""COMPUTED_VALUE"""),"2")</f>
        <v>2</v>
      </c>
      <c r="B4" s="4" t="str">
        <f ca="1">IFERROR(__xludf.DUMMYFUNCTION("""COMPUTED_VALUE"""),"About Hummingbirds: A Guide for Children")</f>
        <v>About Hummingbirds: A Guide for Children</v>
      </c>
      <c r="C4" s="3" t="str">
        <f ca="1">IFERROR(__xludf.DUMMYFUNCTION("""COMPUTED_VALUE"""),"N")</f>
        <v>N</v>
      </c>
      <c r="D4" s="4" t="str">
        <f ca="1">IFERROR(__xludf.DUMMYFUNCTION("""COMPUTED_VALUE"""),"Sill, Cathryn")</f>
        <v>Sill, Cathryn</v>
      </c>
      <c r="E4" s="5">
        <f ca="1">IFERROR(__xludf.DUMMYFUNCTION("""COMPUTED_VALUE"""),9781561458370)</f>
        <v>9781561458370</v>
      </c>
      <c r="F4" s="2"/>
      <c r="G4" s="2"/>
      <c r="H4" s="2"/>
    </row>
    <row r="5" spans="1:8" ht="13.15">
      <c r="A5" s="3" t="str">
        <f ca="1">IFERROR(__xludf.DUMMYFUNCTION("""COMPUTED_VALUE"""),"2")</f>
        <v>2</v>
      </c>
      <c r="B5" s="4" t="str">
        <f ca="1">IFERROR(__xludf.DUMMYFUNCTION("""COMPUTED_VALUE"""),"About Reptiles: A Guide for Children")</f>
        <v>About Reptiles: A Guide for Children</v>
      </c>
      <c r="C5" s="3" t="str">
        <f ca="1">IFERROR(__xludf.DUMMYFUNCTION("""COMPUTED_VALUE"""),"N")</f>
        <v>N</v>
      </c>
      <c r="D5" s="4" t="str">
        <f ca="1">IFERROR(__xludf.DUMMYFUNCTION("""COMPUTED_VALUE"""),"Sill, Cathryn")</f>
        <v>Sill, Cathryn</v>
      </c>
      <c r="E5" s="5" t="str">
        <f ca="1">IFERROR(__xludf.DUMMYFUNCTION("""COMPUTED_VALUE"""),"")</f>
        <v/>
      </c>
      <c r="F5" s="2"/>
      <c r="G5" s="2"/>
      <c r="H5" s="2"/>
    </row>
    <row r="6" spans="1:8" ht="26.45">
      <c r="A6" s="3" t="str">
        <f ca="1">IFERROR(__xludf.DUMMYFUNCTION("""COMPUTED_VALUE"""),"2")</f>
        <v>2</v>
      </c>
      <c r="B6" s="4" t="str">
        <f ca="1">IFERROR(__xludf.DUMMYFUNCTION("""COMPUTED_VALUE"""),"Alvin Ho: Allergic to Girls, School, and Other Scary Things")</f>
        <v>Alvin Ho: Allergic to Girls, School, and Other Scary Things</v>
      </c>
      <c r="C6" s="3" t="str">
        <f ca="1">IFERROR(__xludf.DUMMYFUNCTION("""COMPUTED_VALUE"""),"F")</f>
        <v>F</v>
      </c>
      <c r="D6" s="4" t="str">
        <f ca="1">IFERROR(__xludf.DUMMYFUNCTION("""COMPUTED_VALUE"""),"Look, Lenore")</f>
        <v>Look, Lenore</v>
      </c>
      <c r="E6" s="5">
        <f ca="1">IFERROR(__xludf.DUMMYFUNCTION("""COMPUTED_VALUE"""),9780375849305)</f>
        <v>9780375849305</v>
      </c>
      <c r="F6" s="2"/>
      <c r="G6" s="2"/>
      <c r="H6" s="2"/>
    </row>
    <row r="7" spans="1:8" ht="26.45">
      <c r="A7" s="3" t="str">
        <f ca="1">IFERROR(__xludf.DUMMYFUNCTION("""COMPUTED_VALUE"""),"2")</f>
        <v>2</v>
      </c>
      <c r="B7" s="4" t="str">
        <f ca="1">IFERROR(__xludf.DUMMYFUNCTION("""COMPUTED_VALUE"""),"Ancient Rome and Pompeii: A Nonfiction Companion to ""Vacation Under the Volcano""")</f>
        <v>Ancient Rome and Pompeii: A Nonfiction Companion to "Vacation Under the Volcano"</v>
      </c>
      <c r="C7" s="3" t="str">
        <f ca="1">IFERROR(__xludf.DUMMYFUNCTION("""COMPUTED_VALUE"""),"N")</f>
        <v>N</v>
      </c>
      <c r="D7" s="4" t="str">
        <f ca="1">IFERROR(__xludf.DUMMYFUNCTION("""COMPUTED_VALUE"""),"Osborne, Mary Pope &amp; Natalie Pope Boyce")</f>
        <v>Osborne, Mary Pope &amp; Natalie Pope Boyce</v>
      </c>
      <c r="E7" s="5">
        <f ca="1">IFERROR(__xludf.DUMMYFUNCTION("""COMPUTED_VALUE"""),9780375832208)</f>
        <v>9780375832208</v>
      </c>
      <c r="F7" s="2"/>
      <c r="G7" s="2"/>
      <c r="H7" s="2"/>
    </row>
    <row r="8" spans="1:8" ht="13.15">
      <c r="A8" s="3" t="str">
        <f ca="1">IFERROR(__xludf.DUMMYFUNCTION("""COMPUTED_VALUE"""),"2")</f>
        <v>2</v>
      </c>
      <c r="B8" s="4" t="str">
        <f ca="1">IFERROR(__xludf.DUMMYFUNCTION("""COMPUTED_VALUE"""),"Andy Shane and the Pumpkin Trick")</f>
        <v>Andy Shane and the Pumpkin Trick</v>
      </c>
      <c r="C8" s="3" t="str">
        <f ca="1">IFERROR(__xludf.DUMMYFUNCTION("""COMPUTED_VALUE"""),"F")</f>
        <v>F</v>
      </c>
      <c r="D8" s="4" t="str">
        <f ca="1">IFERROR(__xludf.DUMMYFUNCTION("""COMPUTED_VALUE"""),"Jacobson, Jennifer")</f>
        <v>Jacobson, Jennifer</v>
      </c>
      <c r="E8" s="5">
        <f ca="1">IFERROR(__xludf.DUMMYFUNCTION("""COMPUTED_VALUE"""),9780763633066)</f>
        <v>9780763633066</v>
      </c>
      <c r="F8" s="2"/>
      <c r="G8" s="2"/>
      <c r="H8" s="2"/>
    </row>
    <row r="9" spans="1:8" ht="13.15">
      <c r="A9" s="3" t="str">
        <f ca="1">IFERROR(__xludf.DUMMYFUNCTION("""COMPUTED_VALUE"""),"2")</f>
        <v>2</v>
      </c>
      <c r="B9" s="4" t="str">
        <f ca="1">IFERROR(__xludf.DUMMYFUNCTION("""COMPUTED_VALUE"""),"Andy Shane, Hero at Last")</f>
        <v>Andy Shane, Hero at Last</v>
      </c>
      <c r="C9" s="3" t="str">
        <f ca="1">IFERROR(__xludf.DUMMYFUNCTION("""COMPUTED_VALUE"""),"F")</f>
        <v>F</v>
      </c>
      <c r="D9" s="4" t="str">
        <f ca="1">IFERROR(__xludf.DUMMYFUNCTION("""COMPUTED_VALUE"""),"Jacobson, Jennifer")</f>
        <v>Jacobson, Jennifer</v>
      </c>
      <c r="E9" s="5">
        <f ca="1">IFERROR(__xludf.DUMMYFUNCTION("""COMPUTED_VALUE"""),9780763652937)</f>
        <v>9780763652937</v>
      </c>
      <c r="F9" s="2"/>
      <c r="G9" s="2"/>
      <c r="H9" s="2"/>
    </row>
    <row r="10" spans="1:8" ht="13.15">
      <c r="A10" s="3" t="str">
        <f ca="1">IFERROR(__xludf.DUMMYFUNCTION("""COMPUTED_VALUE"""),"2")</f>
        <v>2</v>
      </c>
      <c r="B10" s="4" t="str">
        <f ca="1">IFERROR(__xludf.DUMMYFUNCTION("""COMPUTED_VALUE"""),"Animal Adaptations")</f>
        <v>Animal Adaptations</v>
      </c>
      <c r="C10" s="3" t="str">
        <f ca="1">IFERROR(__xludf.DUMMYFUNCTION("""COMPUTED_VALUE"""),"N")</f>
        <v>N</v>
      </c>
      <c r="D10" s="4" t="str">
        <f ca="1">IFERROR(__xludf.DUMMYFUNCTION("""COMPUTED_VALUE"""),"Lundgren, Julie K")</f>
        <v>Lundgren, Julie K</v>
      </c>
      <c r="E10" s="5">
        <f ca="1">IFERROR(__xludf.DUMMYFUNCTION("""COMPUTED_VALUE"""),9781617419355)</f>
        <v>9781617419355</v>
      </c>
      <c r="F10" s="2"/>
      <c r="G10" s="2"/>
      <c r="H10" s="2"/>
    </row>
    <row r="11" spans="1:8" ht="13.15">
      <c r="A11" s="3" t="str">
        <f ca="1">IFERROR(__xludf.DUMMYFUNCTION("""COMPUTED_VALUE"""),"2")</f>
        <v>2</v>
      </c>
      <c r="B11" s="4" t="str">
        <f ca="1">IFERROR(__xludf.DUMMYFUNCTION("""COMPUTED_VALUE"""),"Ant Cities")</f>
        <v>Ant Cities</v>
      </c>
      <c r="C11" s="3" t="str">
        <f ca="1">IFERROR(__xludf.DUMMYFUNCTION("""COMPUTED_VALUE"""),"N")</f>
        <v>N</v>
      </c>
      <c r="D11" s="4" t="str">
        <f ca="1">IFERROR(__xludf.DUMMYFUNCTION("""COMPUTED_VALUE"""),"Dorros, Arthur")</f>
        <v>Dorros, Arthur</v>
      </c>
      <c r="E11" s="5">
        <f ca="1">IFERROR(__xludf.DUMMYFUNCTION("""COMPUTED_VALUE"""),9780064450799)</f>
        <v>9780064450799</v>
      </c>
      <c r="F11" s="2"/>
      <c r="G11" s="2"/>
      <c r="H11" s="2"/>
    </row>
    <row r="12" spans="1:8" ht="26.45">
      <c r="A12" s="3" t="str">
        <f ca="1">IFERROR(__xludf.DUMMYFUNCTION("""COMPUTED_VALUE"""),"2")</f>
        <v>2</v>
      </c>
      <c r="B12" s="4" t="str">
        <f ca="1">IFERROR(__xludf.DUMMYFUNCTION("""COMPUTED_VALUE"""),"The Arctic Habitat")</f>
        <v>The Arctic Habitat</v>
      </c>
      <c r="C12" s="3" t="str">
        <f ca="1">IFERROR(__xludf.DUMMYFUNCTION("""COMPUTED_VALUE"""),"N")</f>
        <v>N</v>
      </c>
      <c r="D12" s="4" t="str">
        <f ca="1">IFERROR(__xludf.DUMMYFUNCTION("""COMPUTED_VALUE"""),"Aloian, Molly &amp; Kalman, Bobbie")</f>
        <v>Aloian, Molly &amp; Kalman, Bobbie</v>
      </c>
      <c r="E12" s="5">
        <f ca="1">IFERROR(__xludf.DUMMYFUNCTION("""COMPUTED_VALUE"""),9780778729815)</f>
        <v>9780778729815</v>
      </c>
      <c r="F12" s="2"/>
      <c r="G12" s="2"/>
      <c r="H12" s="2"/>
    </row>
    <row r="13" spans="1:8" ht="13.15">
      <c r="A13" s="3" t="str">
        <f ca="1">IFERROR(__xludf.DUMMYFUNCTION("""COMPUTED_VALUE"""),"2")</f>
        <v>2</v>
      </c>
      <c r="B13" s="4" t="str">
        <f ca="1">IFERROR(__xludf.DUMMYFUNCTION("""COMPUTED_VALUE"""),"Baby Animals of the Mountains")</f>
        <v>Baby Animals of the Mountains</v>
      </c>
      <c r="C13" s="3" t="str">
        <f ca="1">IFERROR(__xludf.DUMMYFUNCTION("""COMPUTED_VALUE"""),"N")</f>
        <v>N</v>
      </c>
      <c r="D13" s="4" t="str">
        <f ca="1">IFERROR(__xludf.DUMMYFUNCTION("""COMPUTED_VALUE"""),"Bredeson, Carmen")</f>
        <v>Bredeson, Carmen</v>
      </c>
      <c r="E13" s="5">
        <f ca="1">IFERROR(__xludf.DUMMYFUNCTION("""COMPUTED_VALUE"""),9781598452259)</f>
        <v>9781598452259</v>
      </c>
      <c r="F13" s="2"/>
      <c r="G13" s="2"/>
      <c r="H13" s="2"/>
    </row>
    <row r="14" spans="1:8" ht="13.15">
      <c r="A14" s="3" t="str">
        <f ca="1">IFERROR(__xludf.DUMMYFUNCTION("""COMPUTED_VALUE"""),"2")</f>
        <v>2</v>
      </c>
      <c r="B14" s="4" t="str">
        <f ca="1">IFERROR(__xludf.DUMMYFUNCTION("""COMPUTED_VALUE"""),"Baby Animals of the Ocean")</f>
        <v>Baby Animals of the Ocean</v>
      </c>
      <c r="C14" s="3" t="str">
        <f ca="1">IFERROR(__xludf.DUMMYFUNCTION("""COMPUTED_VALUE"""),"N")</f>
        <v>N</v>
      </c>
      <c r="D14" s="4" t="str">
        <f ca="1">IFERROR(__xludf.DUMMYFUNCTION("""COMPUTED_VALUE"""),"Bredeson, Carmen")</f>
        <v>Bredeson, Carmen</v>
      </c>
      <c r="E14" s="5">
        <f ca="1">IFERROR(__xludf.DUMMYFUNCTION("""COMPUTED_VALUE"""),9781598454079)</f>
        <v>9781598454079</v>
      </c>
      <c r="F14" s="2"/>
      <c r="G14" s="2"/>
      <c r="H14" s="2"/>
    </row>
    <row r="15" spans="1:8" ht="13.15">
      <c r="A15" s="3" t="str">
        <f ca="1">IFERROR(__xludf.DUMMYFUNCTION("""COMPUTED_VALUE"""),"2")</f>
        <v>2</v>
      </c>
      <c r="B15" s="4" t="str">
        <f ca="1">IFERROR(__xludf.DUMMYFUNCTION("""COMPUTED_VALUE"""),"Baby Animals of the Wetlands")</f>
        <v>Baby Animals of the Wetlands</v>
      </c>
      <c r="C15" s="3" t="str">
        <f ca="1">IFERROR(__xludf.DUMMYFUNCTION("""COMPUTED_VALUE"""),"N")</f>
        <v>N</v>
      </c>
      <c r="D15" s="4" t="str">
        <f ca="1">IFERROR(__xludf.DUMMYFUNCTION("""COMPUTED_VALUE"""),"Bredeson, Carmen")</f>
        <v>Bredeson, Carmen</v>
      </c>
      <c r="E15" s="5">
        <f ca="1">IFERROR(__xludf.DUMMYFUNCTION("""COMPUTED_VALUE"""),9781598452273)</f>
        <v>9781598452273</v>
      </c>
      <c r="F15" s="2"/>
      <c r="G15" s="2"/>
      <c r="H15" s="2"/>
    </row>
    <row r="16" spans="1:8" ht="13.15">
      <c r="A16" s="3" t="str">
        <f ca="1">IFERROR(__xludf.DUMMYFUNCTION("""COMPUTED_VALUE"""),"2")</f>
        <v>2</v>
      </c>
      <c r="B16" s="4" t="str">
        <f ca="1">IFERROR(__xludf.DUMMYFUNCTION("""COMPUTED_VALUE"""),"Baby Animals of the Woodland Forest")</f>
        <v>Baby Animals of the Woodland Forest</v>
      </c>
      <c r="C16" s="3" t="str">
        <f ca="1">IFERROR(__xludf.DUMMYFUNCTION("""COMPUTED_VALUE"""),"N")</f>
        <v>N</v>
      </c>
      <c r="D16" s="4" t="str">
        <f ca="1">IFERROR(__xludf.DUMMYFUNCTION("""COMPUTED_VALUE"""),"Bredeson, Carmen")</f>
        <v>Bredeson, Carmen</v>
      </c>
      <c r="E16" s="5">
        <f ca="1">IFERROR(__xludf.DUMMYFUNCTION("""COMPUTED_VALUE"""),9781598454093)</f>
        <v>9781598454093</v>
      </c>
      <c r="F16" s="2"/>
      <c r="G16" s="2"/>
      <c r="H16" s="2"/>
    </row>
    <row r="17" spans="1:8" ht="13.15">
      <c r="A17" s="3" t="str">
        <f ca="1">IFERROR(__xludf.DUMMYFUNCTION("""COMPUTED_VALUE"""),"2")</f>
        <v>2</v>
      </c>
      <c r="B17" s="4" t="str">
        <f ca="1">IFERROR(__xludf.DUMMYFUNCTION("""COMPUTED_VALUE"""),"The Backyard Animal Show")</f>
        <v>The Backyard Animal Show</v>
      </c>
      <c r="C17" s="3" t="str">
        <f ca="1">IFERROR(__xludf.DUMMYFUNCTION("""COMPUTED_VALUE"""),"F")</f>
        <v>F</v>
      </c>
      <c r="D17" s="4" t="str">
        <f ca="1">IFERROR(__xludf.DUMMYFUNCTION("""COMPUTED_VALUE"""),"Draper, Sharon")</f>
        <v>Draper, Sharon</v>
      </c>
      <c r="E17" s="5">
        <f ca="1">IFERROR(__xludf.DUMMYFUNCTION("""COMPUTED_VALUE"""),9781442450226)</f>
        <v>9781442450226</v>
      </c>
      <c r="F17" s="2"/>
      <c r="G17" s="2"/>
      <c r="H17" s="2"/>
    </row>
    <row r="18" spans="1:8" ht="13.15">
      <c r="A18" s="3" t="str">
        <f ca="1">IFERROR(__xludf.DUMMYFUNCTION("""COMPUTED_VALUE"""),"2")</f>
        <v>2</v>
      </c>
      <c r="B18" s="4" t="str">
        <f ca="1">IFERROR(__xludf.DUMMYFUNCTION("""COMPUTED_VALUE"""),"Best Friends: The True Story of Owen and Mzee")</f>
        <v>Best Friends: The True Story of Owen and Mzee</v>
      </c>
      <c r="C18" s="3" t="str">
        <f ca="1">IFERROR(__xludf.DUMMYFUNCTION("""COMPUTED_VALUE"""),"N")</f>
        <v>N</v>
      </c>
      <c r="D18" s="4" t="str">
        <f ca="1">IFERROR(__xludf.DUMMYFUNCTION("""COMPUTED_VALUE"""),"Edwards, Roberta")</f>
        <v>Edwards, Roberta</v>
      </c>
      <c r="E18" s="5">
        <f ca="1">IFERROR(__xludf.DUMMYFUNCTION("""COMPUTED_VALUE"""),9780448445670)</f>
        <v>9780448445670</v>
      </c>
      <c r="F18" s="2"/>
      <c r="G18" s="2"/>
      <c r="H18" s="2"/>
    </row>
    <row r="19" spans="1:8" ht="13.15">
      <c r="A19" s="3" t="str">
        <f ca="1">IFERROR(__xludf.DUMMYFUNCTION("""COMPUTED_VALUE"""),"2")</f>
        <v>2</v>
      </c>
      <c r="B19" s="4" t="str">
        <f ca="1">IFERROR(__xludf.DUMMYFUNCTION("""COMPUTED_VALUE"""),"The Big Fib")</f>
        <v>The Big Fib</v>
      </c>
      <c r="C19" s="3" t="str">
        <f ca="1">IFERROR(__xludf.DUMMYFUNCTION("""COMPUTED_VALUE"""),"F")</f>
        <v>F</v>
      </c>
      <c r="D19" s="4" t="str">
        <f ca="1">IFERROR(__xludf.DUMMYFUNCTION("""COMPUTED_VALUE"""),"Hamilton, Tim")</f>
        <v>Hamilton, Tim</v>
      </c>
      <c r="E19" s="5">
        <f ca="1">IFERROR(__xludf.DUMMYFUNCTION("""COMPUTED_VALUE"""),9780823433124)</f>
        <v>9780823433124</v>
      </c>
      <c r="F19" s="2"/>
      <c r="G19" s="2"/>
      <c r="H19" s="2"/>
    </row>
    <row r="20" spans="1:8" ht="13.15">
      <c r="A20" s="3" t="str">
        <f ca="1">IFERROR(__xludf.DUMMYFUNCTION("""COMPUTED_VALUE"""),"2")</f>
        <v>2</v>
      </c>
      <c r="B20" s="4" t="str">
        <f ca="1">IFERROR(__xludf.DUMMYFUNCTION("""COMPUTED_VALUE"""),"Bobby the Brave (Sometimes)")</f>
        <v>Bobby the Brave (Sometimes)</v>
      </c>
      <c r="C20" s="3" t="str">
        <f ca="1">IFERROR(__xludf.DUMMYFUNCTION("""COMPUTED_VALUE"""),"F")</f>
        <v>F</v>
      </c>
      <c r="D20" s="4" t="str">
        <f ca="1">IFERROR(__xludf.DUMMYFUNCTION("""COMPUTED_VALUE"""),"Yee, Lisa")</f>
        <v>Yee, Lisa</v>
      </c>
      <c r="E20" s="5">
        <f ca="1">IFERROR(__xludf.DUMMYFUNCTION("""COMPUTED_VALUE"""),9780545055956)</f>
        <v>9780545055956</v>
      </c>
      <c r="F20" s="2"/>
      <c r="G20" s="2"/>
      <c r="H20" s="2"/>
    </row>
    <row r="21" spans="1:8" ht="13.15">
      <c r="A21" s="3" t="str">
        <f ca="1">IFERROR(__xludf.DUMMYFUNCTION("""COMPUTED_VALUE"""),"2")</f>
        <v>2</v>
      </c>
      <c r="B21" s="4" t="str">
        <f ca="1">IFERROR(__xludf.DUMMYFUNCTION("""COMPUTED_VALUE"""),"Boris for the Win")</f>
        <v>Boris for the Win</v>
      </c>
      <c r="C21" s="3" t="str">
        <f ca="1">IFERROR(__xludf.DUMMYFUNCTION("""COMPUTED_VALUE"""),"F")</f>
        <v>F</v>
      </c>
      <c r="D21" s="4" t="str">
        <f ca="1">IFERROR(__xludf.DUMMYFUNCTION("""COMPUTED_VALUE"""),"Joyner, Andrew")</f>
        <v>Joyner, Andrew</v>
      </c>
      <c r="E21" s="5">
        <f ca="1">IFERROR(__xludf.DUMMYFUNCTION("""COMPUTED_VALUE"""),9780545484497)</f>
        <v>9780545484497</v>
      </c>
      <c r="F21" s="2"/>
      <c r="G21" s="2"/>
      <c r="H21" s="2"/>
    </row>
    <row r="22" spans="1:8" ht="13.15">
      <c r="A22" s="3" t="str">
        <f ca="1">IFERROR(__xludf.DUMMYFUNCTION("""COMPUTED_VALUE"""),"2")</f>
        <v>2</v>
      </c>
      <c r="B22" s="4" t="str">
        <f ca="1">IFERROR(__xludf.DUMMYFUNCTION("""COMPUTED_VALUE"""),"Boris Gets a Lizard")</f>
        <v>Boris Gets a Lizard</v>
      </c>
      <c r="C22" s="3" t="str">
        <f ca="1">IFERROR(__xludf.DUMMYFUNCTION("""COMPUTED_VALUE"""),"F")</f>
        <v>F</v>
      </c>
      <c r="D22" s="4" t="str">
        <f ca="1">IFERROR(__xludf.DUMMYFUNCTION("""COMPUTED_VALUE"""),"Joyner, Andrew")</f>
        <v>Joyner, Andrew</v>
      </c>
      <c r="E22" s="5">
        <f ca="1">IFERROR(__xludf.DUMMYFUNCTION("""COMPUTED_VALUE"""),9780545484473)</f>
        <v>9780545484473</v>
      </c>
      <c r="F22" s="2"/>
      <c r="G22" s="2"/>
      <c r="H22" s="2"/>
    </row>
    <row r="23" spans="1:8" ht="13.15">
      <c r="A23" s="3" t="str">
        <f ca="1">IFERROR(__xludf.DUMMYFUNCTION("""COMPUTED_VALUE"""),"2")</f>
        <v>2</v>
      </c>
      <c r="B23" s="4" t="str">
        <f ca="1">IFERROR(__xludf.DUMMYFUNCTION("""COMPUTED_VALUE"""),"Boris on the Move")</f>
        <v>Boris on the Move</v>
      </c>
      <c r="C23" s="3" t="str">
        <f ca="1">IFERROR(__xludf.DUMMYFUNCTION("""COMPUTED_VALUE"""),"F")</f>
        <v>F</v>
      </c>
      <c r="D23" s="4" t="str">
        <f ca="1">IFERROR(__xludf.DUMMYFUNCTION("""COMPUTED_VALUE"""),"Joyner, Andrew")</f>
        <v>Joyner, Andrew</v>
      </c>
      <c r="E23" s="5">
        <f ca="1">IFERROR(__xludf.DUMMYFUNCTION("""COMPUTED_VALUE"""),9780545484435)</f>
        <v>9780545484435</v>
      </c>
      <c r="F23" s="2"/>
      <c r="G23" s="2"/>
      <c r="H23" s="2"/>
    </row>
    <row r="24" spans="1:8" ht="13.15">
      <c r="A24" s="3" t="str">
        <f ca="1">IFERROR(__xludf.DUMMYFUNCTION("""COMPUTED_VALUE"""),"2")</f>
        <v>2</v>
      </c>
      <c r="B24" s="4" t="str">
        <f ca="1">IFERROR(__xludf.DUMMYFUNCTION("""COMPUTED_VALUE"""),"Boris Sees the Light")</f>
        <v>Boris Sees the Light</v>
      </c>
      <c r="C24" s="3" t="str">
        <f ca="1">IFERROR(__xludf.DUMMYFUNCTION("""COMPUTED_VALUE"""),"F")</f>
        <v>F</v>
      </c>
      <c r="D24" s="4" t="str">
        <f ca="1">IFERROR(__xludf.DUMMYFUNCTION("""COMPUTED_VALUE"""),"Joyner, Andrew")</f>
        <v>Joyner, Andrew</v>
      </c>
      <c r="E24" s="5">
        <f ca="1">IFERROR(__xludf.DUMMYFUNCTION("""COMPUTED_VALUE"""),9780545484541)</f>
        <v>9780545484541</v>
      </c>
      <c r="F24" s="2"/>
      <c r="G24" s="2"/>
      <c r="H24" s="2"/>
    </row>
    <row r="25" spans="1:8" ht="13.15">
      <c r="A25" s="3" t="str">
        <f ca="1">IFERROR(__xludf.DUMMYFUNCTION("""COMPUTED_VALUE"""),"2")</f>
        <v>2</v>
      </c>
      <c r="B25" s="4" t="str">
        <f ca="1">IFERROR(__xludf.DUMMYFUNCTION("""COMPUTED_VALUE"""),"Butterfly or Moth? How Do You Know?")</f>
        <v>Butterfly or Moth? How Do You Know?</v>
      </c>
      <c r="C25" s="3" t="str">
        <f ca="1">IFERROR(__xludf.DUMMYFUNCTION("""COMPUTED_VALUE"""),"N")</f>
        <v>N</v>
      </c>
      <c r="D25" s="4" t="str">
        <f ca="1">IFERROR(__xludf.DUMMYFUNCTION("""COMPUTED_VALUE"""),"Stewart, Melissa")</f>
        <v>Stewart, Melissa</v>
      </c>
      <c r="E25" s="5">
        <f ca="1">IFERROR(__xludf.DUMMYFUNCTION("""COMPUTED_VALUE"""),9781598452358)</f>
        <v>9781598452358</v>
      </c>
      <c r="F25" s="2"/>
      <c r="G25" s="2"/>
      <c r="H25" s="2"/>
    </row>
    <row r="26" spans="1:8" ht="13.15">
      <c r="A26" s="3" t="str">
        <f ca="1">IFERROR(__xludf.DUMMYFUNCTION("""COMPUTED_VALUE"""),"2")</f>
        <v>2</v>
      </c>
      <c r="B26" s="4" t="str">
        <f ca="1">IFERROR(__xludf.DUMMYFUNCTION("""COMPUTED_VALUE"""),"Cam Jansen: The Basketball Mystery")</f>
        <v>Cam Jansen: The Basketball Mystery</v>
      </c>
      <c r="C26" s="3" t="str">
        <f ca="1">IFERROR(__xludf.DUMMYFUNCTION("""COMPUTED_VALUE"""),"F")</f>
        <v>F</v>
      </c>
      <c r="D26" s="4" t="str">
        <f ca="1">IFERROR(__xludf.DUMMYFUNCTION("""COMPUTED_VALUE"""),"Adler, David")</f>
        <v>Adler, David</v>
      </c>
      <c r="E26" s="5">
        <f ca="1">IFERROR(__xludf.DUMMYFUNCTION("""COMPUTED_VALUE"""),9780142416716)</f>
        <v>9780142416716</v>
      </c>
      <c r="F26" s="2"/>
      <c r="G26" s="2"/>
      <c r="H26" s="2"/>
    </row>
    <row r="27" spans="1:8" ht="13.15">
      <c r="A27" s="3" t="str">
        <f ca="1">IFERROR(__xludf.DUMMYFUNCTION("""COMPUTED_VALUE"""),"2")</f>
        <v>2</v>
      </c>
      <c r="B27" s="4" t="str">
        <f ca="1">IFERROR(__xludf.DUMMYFUNCTION("""COMPUTED_VALUE"""),"Cam Jansen: The Catnapping Mystery")</f>
        <v>Cam Jansen: The Catnapping Mystery</v>
      </c>
      <c r="C27" s="3" t="str">
        <f ca="1">IFERROR(__xludf.DUMMYFUNCTION("""COMPUTED_VALUE"""),"F")</f>
        <v>F</v>
      </c>
      <c r="D27" s="4" t="str">
        <f ca="1">IFERROR(__xludf.DUMMYFUNCTION("""COMPUTED_VALUE"""),"Adler, David")</f>
        <v>Adler, David</v>
      </c>
      <c r="E27" s="5">
        <f ca="1">IFERROR(__xludf.DUMMYFUNCTION("""COMPUTED_VALUE"""),9780142402894)</f>
        <v>9780142402894</v>
      </c>
      <c r="F27" s="2"/>
      <c r="G27" s="2"/>
      <c r="H27" s="2"/>
    </row>
    <row r="28" spans="1:8" ht="13.15">
      <c r="A28" s="3" t="str">
        <f ca="1">IFERROR(__xludf.DUMMYFUNCTION("""COMPUTED_VALUE"""),"2")</f>
        <v>2</v>
      </c>
      <c r="B28" s="4" t="str">
        <f ca="1">IFERROR(__xludf.DUMMYFUNCTION("""COMPUTED_VALUE"""),"Cam Jansen: The Green School Mystery")</f>
        <v>Cam Jansen: The Green School Mystery</v>
      </c>
      <c r="C28" s="3" t="str">
        <f ca="1">IFERROR(__xludf.DUMMYFUNCTION("""COMPUTED_VALUE"""),"F")</f>
        <v>F</v>
      </c>
      <c r="D28" s="4" t="str">
        <f ca="1">IFERROR(__xludf.DUMMYFUNCTION("""COMPUTED_VALUE"""),"Adler, David")</f>
        <v>Adler, David</v>
      </c>
      <c r="E28" s="5">
        <f ca="1">IFERROR(__xludf.DUMMYFUNCTION("""COMPUTED_VALUE"""),9780142414569)</f>
        <v>9780142414569</v>
      </c>
      <c r="F28" s="2"/>
      <c r="G28" s="2"/>
      <c r="H28" s="2"/>
    </row>
    <row r="29" spans="1:8" ht="13.15">
      <c r="A29" s="3" t="str">
        <f ca="1">IFERROR(__xludf.DUMMYFUNCTION("""COMPUTED_VALUE"""),"2")</f>
        <v>2</v>
      </c>
      <c r="B29" s="4" t="str">
        <f ca="1">IFERROR(__xludf.DUMMYFUNCTION("""COMPUTED_VALUE"""),"Cam Jansen: The Mystery of the Monster Movie")</f>
        <v>Cam Jansen: The Mystery of the Monster Movie</v>
      </c>
      <c r="C29" s="3" t="str">
        <f ca="1">IFERROR(__xludf.DUMMYFUNCTION("""COMPUTED_VALUE"""),"F")</f>
        <v>F</v>
      </c>
      <c r="D29" s="4" t="str">
        <f ca="1">IFERROR(__xludf.DUMMYFUNCTION("""COMPUTED_VALUE"""),"Adler, David")</f>
        <v>Adler, David</v>
      </c>
      <c r="E29" s="5">
        <f ca="1">IFERROR(__xludf.DUMMYFUNCTION("""COMPUTED_VALUE"""),9780142400173)</f>
        <v>9780142400173</v>
      </c>
      <c r="F29" s="2"/>
      <c r="G29" s="2"/>
      <c r="H29" s="2"/>
    </row>
    <row r="30" spans="1:8" ht="13.15">
      <c r="A30" s="3" t="str">
        <f ca="1">IFERROR(__xludf.DUMMYFUNCTION("""COMPUTED_VALUE"""),"2")</f>
        <v>2</v>
      </c>
      <c r="B30" s="4" t="str">
        <f ca="1">IFERROR(__xludf.DUMMYFUNCTION("""COMPUTED_VALUE"""),"Cats!")</f>
        <v>Cats!</v>
      </c>
      <c r="C30" s="3" t="str">
        <f ca="1">IFERROR(__xludf.DUMMYFUNCTION("""COMPUTED_VALUE"""),"F")</f>
        <v>F</v>
      </c>
      <c r="D30" s="4" t="str">
        <f ca="1">IFERROR(__xludf.DUMMYFUNCTION("""COMPUTED_VALUE"""),"Brimner, Larry D.")</f>
        <v>Brimner, Larry D.</v>
      </c>
      <c r="E30" s="5">
        <f ca="1">IFERROR(__xludf.DUMMYFUNCTION("""COMPUTED_VALUE"""),9780516270753)</f>
        <v>9780516270753</v>
      </c>
      <c r="F30" s="2"/>
      <c r="G30" s="2"/>
      <c r="H30" s="2"/>
    </row>
    <row r="31" spans="1:8" ht="13.15">
      <c r="A31" s="3" t="str">
        <f ca="1">IFERROR(__xludf.DUMMYFUNCTION("""COMPUTED_VALUE"""),"2")</f>
        <v>2</v>
      </c>
      <c r="B31" s="4" t="str">
        <f ca="1">IFERROR(__xludf.DUMMYFUNCTION("""COMPUTED_VALUE"""),"Chameleons Are Cool")</f>
        <v>Chameleons Are Cool</v>
      </c>
      <c r="C31" s="3" t="str">
        <f ca="1">IFERROR(__xludf.DUMMYFUNCTION("""COMPUTED_VALUE"""),"N")</f>
        <v>N</v>
      </c>
      <c r="D31" s="4" t="str">
        <f ca="1">IFERROR(__xludf.DUMMYFUNCTION("""COMPUTED_VALUE"""),"Jenkins, Martin")</f>
        <v>Jenkins, Martin</v>
      </c>
      <c r="E31" s="5">
        <f ca="1">IFERROR(__xludf.DUMMYFUNCTION("""COMPUTED_VALUE"""),9780763611392)</f>
        <v>9780763611392</v>
      </c>
      <c r="F31" s="2"/>
      <c r="G31" s="2"/>
      <c r="H31" s="2"/>
    </row>
    <row r="32" spans="1:8" ht="13.15">
      <c r="A32" s="3" t="str">
        <f ca="1">IFERROR(__xludf.DUMMYFUNCTION("""COMPUTED_VALUE"""),"2")</f>
        <v>2</v>
      </c>
      <c r="B32" s="4" t="str">
        <f ca="1">IFERROR(__xludf.DUMMYFUNCTION("""COMPUTED_VALUE"""),"Class President")</f>
        <v>Class President</v>
      </c>
      <c r="C32" s="3" t="str">
        <f ca="1">IFERROR(__xludf.DUMMYFUNCTION("""COMPUTED_VALUE"""),"F")</f>
        <v>F</v>
      </c>
      <c r="D32" s="4" t="str">
        <f ca="1">IFERROR(__xludf.DUMMYFUNCTION("""COMPUTED_VALUE"""),"Sachar, Louis")</f>
        <v>Sachar, Louis</v>
      </c>
      <c r="E32" s="5">
        <f ca="1">IFERROR(__xludf.DUMMYFUNCTION("""COMPUTED_VALUE"""),9780679889991)</f>
        <v>9780679889991</v>
      </c>
      <c r="F32" s="2"/>
      <c r="G32" s="2"/>
      <c r="H32" s="2"/>
    </row>
    <row r="33" spans="1:8" ht="13.15">
      <c r="A33" s="3" t="str">
        <f ca="1">IFERROR(__xludf.DUMMYFUNCTION("""COMPUTED_VALUE"""),"2")</f>
        <v>2</v>
      </c>
      <c r="B33" s="4" t="str">
        <f ca="1">IFERROR(__xludf.DUMMYFUNCTION("""COMPUTED_VALUE"""),"Clownfish")</f>
        <v>Clownfish</v>
      </c>
      <c r="C33" s="3" t="str">
        <f ca="1">IFERROR(__xludf.DUMMYFUNCTION("""COMPUTED_VALUE"""),"N")</f>
        <v>N</v>
      </c>
      <c r="D33" s="4" t="str">
        <f ca="1">IFERROR(__xludf.DUMMYFUNCTION("""COMPUTED_VALUE"""),"Nagelhout, Ryan")</f>
        <v>Nagelhout, Ryan</v>
      </c>
      <c r="E33" s="5">
        <f ca="1">IFERROR(__xludf.DUMMYFUNCTION("""COMPUTED_VALUE"""),9781433985645)</f>
        <v>9781433985645</v>
      </c>
      <c r="F33" s="2"/>
      <c r="G33" s="2"/>
      <c r="H33" s="2"/>
    </row>
    <row r="34" spans="1:8" ht="13.15">
      <c r="A34" s="3" t="str">
        <f ca="1">IFERROR(__xludf.DUMMYFUNCTION("""COMPUTED_VALUE"""),"2")</f>
        <v>2</v>
      </c>
      <c r="B34" s="4" t="str">
        <f ca="1">IFERROR(__xludf.DUMMYFUNCTION("""COMPUTED_VALUE"""),"Cork &amp; Fuzz: Best Friends")</f>
        <v>Cork &amp; Fuzz: Best Friends</v>
      </c>
      <c r="C34" s="3" t="str">
        <f ca="1">IFERROR(__xludf.DUMMYFUNCTION("""COMPUTED_VALUE"""),"F")</f>
        <v>F</v>
      </c>
      <c r="D34" s="4" t="str">
        <f ca="1">IFERROR(__xludf.DUMMYFUNCTION("""COMPUTED_VALUE"""),"Chaconas, Dori")</f>
        <v>Chaconas, Dori</v>
      </c>
      <c r="E34" s="5">
        <f ca="1">IFERROR(__xludf.DUMMYFUNCTION("""COMPUTED_VALUE"""),9780142415931)</f>
        <v>9780142415931</v>
      </c>
      <c r="F34" s="2"/>
      <c r="G34" s="2"/>
      <c r="H34" s="2"/>
    </row>
    <row r="35" spans="1:8" ht="13.15">
      <c r="A35" s="3" t="str">
        <f ca="1">IFERROR(__xludf.DUMMYFUNCTION("""COMPUTED_VALUE"""),"2")</f>
        <v>2</v>
      </c>
      <c r="B35" s="4" t="str">
        <f ca="1">IFERROR(__xludf.DUMMYFUNCTION("""COMPUTED_VALUE"""),"Cork &amp; Fuzz: The Swimming Lesson")</f>
        <v>Cork &amp; Fuzz: The Swimming Lesson</v>
      </c>
      <c r="C35" s="3" t="str">
        <f ca="1">IFERROR(__xludf.DUMMYFUNCTION("""COMPUTED_VALUE"""),"F")</f>
        <v>F</v>
      </c>
      <c r="D35" s="4" t="str">
        <f ca="1">IFERROR(__xludf.DUMMYFUNCTION("""COMPUTED_VALUE"""),"Chaconas, Dori")</f>
        <v>Chaconas, Dori</v>
      </c>
      <c r="E35" s="5">
        <f ca="1">IFERROR(__xludf.DUMMYFUNCTION("""COMPUTED_VALUE"""),9780448480510)</f>
        <v>9780448480510</v>
      </c>
      <c r="F35" s="2"/>
      <c r="G35" s="2"/>
      <c r="H35" s="2"/>
    </row>
    <row r="36" spans="1:8" ht="13.15">
      <c r="A36" s="3" t="str">
        <f ca="1">IFERROR(__xludf.DUMMYFUNCTION("""COMPUTED_VALUE"""),"2")</f>
        <v>2</v>
      </c>
      <c r="B36" s="4" t="str">
        <f ca="1">IFERROR(__xludf.DUMMYFUNCTION("""COMPUTED_VALUE"""),"Crow Made a Friend")</f>
        <v>Crow Made a Friend</v>
      </c>
      <c r="C36" s="3" t="str">
        <f ca="1">IFERROR(__xludf.DUMMYFUNCTION("""COMPUTED_VALUE"""),"F")</f>
        <v>F</v>
      </c>
      <c r="D36" s="4" t="str">
        <f ca="1">IFERROR(__xludf.DUMMYFUNCTION("""COMPUTED_VALUE"""),"Peot, Margaret")</f>
        <v>Peot, Margaret</v>
      </c>
      <c r="E36" s="5">
        <f ca="1">IFERROR(__xludf.DUMMYFUNCTION("""COMPUTED_VALUE"""),9780823434206)</f>
        <v>9780823434206</v>
      </c>
      <c r="F36" s="2"/>
      <c r="G36" s="2"/>
      <c r="H36" s="2"/>
    </row>
    <row r="37" spans="1:8" ht="13.15">
      <c r="A37" s="3" t="str">
        <f ca="1">IFERROR(__xludf.DUMMYFUNCTION("""COMPUTED_VALUE"""),"2")</f>
        <v>2</v>
      </c>
      <c r="B37" s="4" t="str">
        <f ca="1">IFERROR(__xludf.DUMMYFUNCTION("""COMPUTED_VALUE"""),"A Dark Dark Tale")</f>
        <v>A Dark Dark Tale</v>
      </c>
      <c r="C37" s="3" t="str">
        <f ca="1">IFERROR(__xludf.DUMMYFUNCTION("""COMPUTED_VALUE"""),"F")</f>
        <v>F</v>
      </c>
      <c r="D37" s="4" t="str">
        <f ca="1">IFERROR(__xludf.DUMMYFUNCTION("""COMPUTED_VALUE"""),"Brown, Ruth")</f>
        <v>Brown, Ruth</v>
      </c>
      <c r="E37" s="5">
        <f ca="1">IFERROR(__xludf.DUMMYFUNCTION("""COMPUTED_VALUE"""),9780140546217)</f>
        <v>9780140546217</v>
      </c>
      <c r="F37" s="2"/>
      <c r="G37" s="2"/>
      <c r="H37" s="2"/>
    </row>
    <row r="38" spans="1:8" ht="13.15">
      <c r="A38" s="3" t="str">
        <f ca="1">IFERROR(__xludf.DUMMYFUNCTION("""COMPUTED_VALUE"""),"2")</f>
        <v>2</v>
      </c>
      <c r="B38" s="4" t="str">
        <f ca="1">IFERROR(__xludf.DUMMYFUNCTION("""COMPUTED_VALUE"""),"Dodsworth in Rome")</f>
        <v>Dodsworth in Rome</v>
      </c>
      <c r="C38" s="3" t="str">
        <f ca="1">IFERROR(__xludf.DUMMYFUNCTION("""COMPUTED_VALUE"""),"F")</f>
        <v>F</v>
      </c>
      <c r="D38" s="4" t="str">
        <f ca="1">IFERROR(__xludf.DUMMYFUNCTION("""COMPUTED_VALUE"""),"Egan, Tim")</f>
        <v>Egan, Tim</v>
      </c>
      <c r="E38" s="5">
        <f ca="1">IFERROR(__xludf.DUMMYFUNCTION("""COMPUTED_VALUE"""),9780547722108)</f>
        <v>9780547722108</v>
      </c>
      <c r="F38" s="2"/>
      <c r="G38" s="2"/>
      <c r="H38" s="2"/>
    </row>
    <row r="39" spans="1:8" ht="13.15">
      <c r="A39" s="3" t="str">
        <f ca="1">IFERROR(__xludf.DUMMYFUNCTION("""COMPUTED_VALUE"""),"2")</f>
        <v>2</v>
      </c>
      <c r="B39" s="4" t="str">
        <f ca="1">IFERROR(__xludf.DUMMYFUNCTION("""COMPUTED_VALUE"""),"The Dog that Dug for Dinosaurs")</f>
        <v>The Dog that Dug for Dinosaurs</v>
      </c>
      <c r="C39" s="3" t="str">
        <f ca="1">IFERROR(__xludf.DUMMYFUNCTION("""COMPUTED_VALUE"""),"N")</f>
        <v>N</v>
      </c>
      <c r="D39" s="4" t="str">
        <f ca="1">IFERROR(__xludf.DUMMYFUNCTION("""COMPUTED_VALUE"""),"Redmond, Shirley Raye")</f>
        <v>Redmond, Shirley Raye</v>
      </c>
      <c r="E39" s="5">
        <f ca="1">IFERROR(__xludf.DUMMYFUNCTION("""COMPUTED_VALUE"""),9780689857089)</f>
        <v>9780689857089</v>
      </c>
      <c r="F39" s="2"/>
      <c r="G39" s="2"/>
      <c r="H39" s="2"/>
    </row>
    <row r="40" spans="1:8" ht="13.15">
      <c r="A40" s="3" t="str">
        <f ca="1">IFERROR(__xludf.DUMMYFUNCTION("""COMPUTED_VALUE"""),"2")</f>
        <v>2</v>
      </c>
      <c r="B40" s="4" t="str">
        <f ca="1">IFERROR(__xludf.DUMMYFUNCTION("""COMPUTED_VALUE"""),"Ducks Don't Get Wet")</f>
        <v>Ducks Don't Get Wet</v>
      </c>
      <c r="C40" s="3" t="str">
        <f ca="1">IFERROR(__xludf.DUMMYFUNCTION("""COMPUTED_VALUE"""),"N")</f>
        <v>N</v>
      </c>
      <c r="D40" s="4" t="str">
        <f ca="1">IFERROR(__xludf.DUMMYFUNCTION("""COMPUTED_VALUE"""),"Goldin, Augusta")</f>
        <v>Goldin, Augusta</v>
      </c>
      <c r="E40" s="5">
        <f ca="1">IFERROR(__xludf.DUMMYFUNCTION("""COMPUTED_VALUE"""),9780064451871)</f>
        <v>9780064451871</v>
      </c>
      <c r="F40" s="2"/>
      <c r="G40" s="2"/>
      <c r="H40" s="2"/>
    </row>
    <row r="41" spans="1:8" ht="13.15">
      <c r="A41" s="3" t="str">
        <f ca="1">IFERROR(__xludf.DUMMYFUNCTION("""COMPUTED_VALUE"""),"2")</f>
        <v>2</v>
      </c>
      <c r="B41" s="4" t="str">
        <f ca="1">IFERROR(__xludf.DUMMYFUNCTION("""COMPUTED_VALUE"""),"Electrical Wizard: How Nikola Tesla Lit Up the World")</f>
        <v>Electrical Wizard: How Nikola Tesla Lit Up the World</v>
      </c>
      <c r="C41" s="3" t="str">
        <f ca="1">IFERROR(__xludf.DUMMYFUNCTION("""COMPUTED_VALUE"""),"N")</f>
        <v>N</v>
      </c>
      <c r="D41" s="4" t="str">
        <f ca="1">IFERROR(__xludf.DUMMYFUNCTION("""COMPUTED_VALUE"""),"Rusch, Elizabeth")</f>
        <v>Rusch, Elizabeth</v>
      </c>
      <c r="E41" s="5">
        <f ca="1">IFERROR(__xludf.DUMMYFUNCTION("""COMPUTED_VALUE"""),9780763679798)</f>
        <v>9780763679798</v>
      </c>
      <c r="F41" s="2"/>
      <c r="G41" s="2"/>
      <c r="H41" s="2"/>
    </row>
    <row r="42" spans="1:8" ht="13.15">
      <c r="A42" s="3" t="str">
        <f ca="1">IFERROR(__xludf.DUMMYFUNCTION("""COMPUTED_VALUE"""),"2")</f>
        <v>2</v>
      </c>
      <c r="B42" s="4" t="str">
        <f ca="1">IFERROR(__xludf.DUMMYFUNCTION("""COMPUTED_VALUE"""),"An Elephant Grows Up")</f>
        <v>An Elephant Grows Up</v>
      </c>
      <c r="C42" s="3" t="str">
        <f ca="1">IFERROR(__xludf.DUMMYFUNCTION("""COMPUTED_VALUE"""),"N")</f>
        <v>N</v>
      </c>
      <c r="D42" s="4" t="str">
        <f ca="1">IFERROR(__xludf.DUMMYFUNCTION("""COMPUTED_VALUE"""),"Suen, Anastasia")</f>
        <v>Suen, Anastasia</v>
      </c>
      <c r="E42" s="5">
        <f ca="1">IFERROR(__xludf.DUMMYFUNCTION("""COMPUTED_VALUE"""),9781404818026)</f>
        <v>9781404818026</v>
      </c>
      <c r="F42" s="2"/>
      <c r="G42" s="2"/>
      <c r="H42" s="2"/>
    </row>
    <row r="43" spans="1:8" ht="13.15">
      <c r="A43" s="3" t="str">
        <f ca="1">IFERROR(__xludf.DUMMYFUNCTION("""COMPUTED_VALUE"""),"2")</f>
        <v>2</v>
      </c>
      <c r="B43" s="4" t="str">
        <f ca="1">IFERROR(__xludf.DUMMYFUNCTION("""COMPUTED_VALUE"""),"The End of the Rainbow")</f>
        <v>The End of the Rainbow</v>
      </c>
      <c r="C43" s="3" t="str">
        <f ca="1">IFERROR(__xludf.DUMMYFUNCTION("""COMPUTED_VALUE"""),"F")</f>
        <v>F</v>
      </c>
      <c r="D43" s="4" t="str">
        <f ca="1">IFERROR(__xludf.DUMMYFUNCTION("""COMPUTED_VALUE"""),"Donnelly, Liza")</f>
        <v>Donnelly, Liza</v>
      </c>
      <c r="E43" s="5">
        <f ca="1">IFERROR(__xludf.DUMMYFUNCTION("""COMPUTED_VALUE"""),9780823433964)</f>
        <v>9780823433964</v>
      </c>
      <c r="F43" s="2"/>
      <c r="G43" s="2"/>
      <c r="H43" s="2"/>
    </row>
    <row r="44" spans="1:8" ht="13.15">
      <c r="A44" s="3" t="str">
        <f ca="1">IFERROR(__xludf.DUMMYFUNCTION("""COMPUTED_VALUE"""),"2")</f>
        <v>2</v>
      </c>
      <c r="B44" s="4" t="str">
        <f ca="1">IFERROR(__xludf.DUMMYFUNCTION("""COMPUTED_VALUE"""),"The Fantastic Undersea Life of Jacques Cousteau")</f>
        <v>The Fantastic Undersea Life of Jacques Cousteau</v>
      </c>
      <c r="C44" s="3" t="str">
        <f ca="1">IFERROR(__xludf.DUMMYFUNCTION("""COMPUTED_VALUE"""),"N")</f>
        <v>N</v>
      </c>
      <c r="D44" s="4" t="str">
        <f ca="1">IFERROR(__xludf.DUMMYFUNCTION("""COMPUTED_VALUE"""),"Yaccarino, Dan")</f>
        <v>Yaccarino, Dan</v>
      </c>
      <c r="E44" s="5">
        <f ca="1">IFERROR(__xludf.DUMMYFUNCTION("""COMPUTED_VALUE"""),9780375844706)</f>
        <v>9780375844706</v>
      </c>
      <c r="F44" s="2"/>
      <c r="G44" s="2"/>
      <c r="H44" s="2"/>
    </row>
    <row r="45" spans="1:8" ht="13.15">
      <c r="A45" s="3" t="str">
        <f ca="1">IFERROR(__xludf.DUMMYFUNCTION("""COMPUTED_VALUE"""),"2")</f>
        <v>2</v>
      </c>
      <c r="B45" s="4" t="str">
        <f ca="1">IFERROR(__xludf.DUMMYFUNCTION("""COMPUTED_VALUE"""),"Fish Had a Wish")</f>
        <v>Fish Had a Wish</v>
      </c>
      <c r="C45" s="3" t="str">
        <f ca="1">IFERROR(__xludf.DUMMYFUNCTION("""COMPUTED_VALUE"""),"F")</f>
        <v>F</v>
      </c>
      <c r="D45" s="4" t="str">
        <f ca="1">IFERROR(__xludf.DUMMYFUNCTION("""COMPUTED_VALUE"""),"Garland, Michael")</f>
        <v>Garland, Michael</v>
      </c>
      <c r="E45" s="5">
        <f ca="1">IFERROR(__xludf.DUMMYFUNCTION("""COMPUTED_VALUE"""),9780823427574)</f>
        <v>9780823427574</v>
      </c>
      <c r="F45" s="2"/>
      <c r="G45" s="2"/>
      <c r="H45" s="2"/>
    </row>
    <row r="46" spans="1:8" ht="13.15">
      <c r="A46" s="3" t="str">
        <f ca="1">IFERROR(__xludf.DUMMYFUNCTION("""COMPUTED_VALUE"""),"2")</f>
        <v>2</v>
      </c>
      <c r="B46" s="4" t="str">
        <f ca="1">IFERROR(__xludf.DUMMYFUNCTION("""COMPUTED_VALUE"""),"Friendship According to Humphrey")</f>
        <v>Friendship According to Humphrey</v>
      </c>
      <c r="C46" s="3" t="str">
        <f ca="1">IFERROR(__xludf.DUMMYFUNCTION("""COMPUTED_VALUE"""),"F")</f>
        <v>F</v>
      </c>
      <c r="D46" s="4" t="str">
        <f ca="1">IFERROR(__xludf.DUMMYFUNCTION("""COMPUTED_VALUE"""),"Birney, Betty G")</f>
        <v>Birney, Betty G</v>
      </c>
      <c r="E46" s="5">
        <f ca="1">IFERROR(__xludf.DUMMYFUNCTION("""COMPUTED_VALUE"""),9780142406335)</f>
        <v>9780142406335</v>
      </c>
      <c r="F46" s="2"/>
      <c r="G46" s="2"/>
      <c r="H46" s="2"/>
    </row>
    <row r="47" spans="1:8" ht="13.15">
      <c r="A47" s="3" t="str">
        <f ca="1">IFERROR(__xludf.DUMMYFUNCTION("""COMPUTED_VALUE"""),"2")</f>
        <v>2</v>
      </c>
      <c r="B47" s="4" t="str">
        <f ca="1">IFERROR(__xludf.DUMMYFUNCTION("""COMPUTED_VALUE"""),"From Tadpole to Frog")</f>
        <v>From Tadpole to Frog</v>
      </c>
      <c r="C47" s="3" t="str">
        <f ca="1">IFERROR(__xludf.DUMMYFUNCTION("""COMPUTED_VALUE"""),"N")</f>
        <v>N</v>
      </c>
      <c r="D47" s="4" t="str">
        <f ca="1">IFERROR(__xludf.DUMMYFUNCTION("""COMPUTED_VALUE"""),"Zemlicka, Shannon")</f>
        <v>Zemlicka, Shannon</v>
      </c>
      <c r="E47" s="5">
        <f ca="1">IFERROR(__xludf.DUMMYFUNCTION("""COMPUTED_VALUE"""),9780761385776)</f>
        <v>9780761385776</v>
      </c>
      <c r="F47" s="2"/>
      <c r="G47" s="2"/>
      <c r="H47" s="2"/>
    </row>
    <row r="48" spans="1:8" ht="13.15">
      <c r="A48" s="3" t="str">
        <f ca="1">IFERROR(__xludf.DUMMYFUNCTION("""COMPUTED_VALUE"""),"2")</f>
        <v>2</v>
      </c>
      <c r="B48" s="4" t="str">
        <f ca="1">IFERROR(__xludf.DUMMYFUNCTION("""COMPUTED_VALUE"""),"From Wax to Crayon")</f>
        <v>From Wax to Crayon</v>
      </c>
      <c r="C48" s="3" t="str">
        <f ca="1">IFERROR(__xludf.DUMMYFUNCTION("""COMPUTED_VALUE"""),"N")</f>
        <v>N</v>
      </c>
      <c r="D48" s="4" t="str">
        <f ca="1">IFERROR(__xludf.DUMMYFUNCTION("""COMPUTED_VALUE"""),"Nelson, Robin")</f>
        <v>Nelson, Robin</v>
      </c>
      <c r="E48" s="5">
        <f ca="1">IFERROR(__xludf.DUMMYFUNCTION("""COMPUTED_VALUE"""),9781467707985)</f>
        <v>9781467707985</v>
      </c>
      <c r="F48" s="2"/>
      <c r="G48" s="2"/>
      <c r="H48" s="2"/>
    </row>
    <row r="49" spans="1:8" ht="13.15">
      <c r="A49" s="3" t="str">
        <f ca="1">IFERROR(__xludf.DUMMYFUNCTION("""COMPUTED_VALUE"""),"2")</f>
        <v>2</v>
      </c>
      <c r="B49" s="4" t="str">
        <f ca="1">IFERROR(__xludf.DUMMYFUNCTION("""COMPUTED_VALUE"""),"Grandma Elephant's in Charge")</f>
        <v>Grandma Elephant's in Charge</v>
      </c>
      <c r="C49" s="3" t="str">
        <f ca="1">IFERROR(__xludf.DUMMYFUNCTION("""COMPUTED_VALUE"""),"N")</f>
        <v>N</v>
      </c>
      <c r="D49" s="4" t="str">
        <f ca="1">IFERROR(__xludf.DUMMYFUNCTION("""COMPUTED_VALUE"""),"Jenkins, Martin")</f>
        <v>Jenkins, Martin</v>
      </c>
      <c r="E49" s="5">
        <f ca="1">IFERROR(__xludf.DUMMYFUNCTION("""COMPUTED_VALUE"""),9780763673819)</f>
        <v>9780763673819</v>
      </c>
      <c r="F49" s="2"/>
      <c r="G49" s="2"/>
      <c r="H49" s="2"/>
    </row>
    <row r="50" spans="1:8" ht="13.15">
      <c r="A50" s="3" t="str">
        <f ca="1">IFERROR(__xludf.DUMMYFUNCTION("""COMPUTED_VALUE"""),"2")</f>
        <v>2</v>
      </c>
      <c r="B50" s="4" t="str">
        <f ca="1">IFERROR(__xludf.DUMMYFUNCTION("""COMPUTED_VALUE"""),"Great Black Heroes: Five Brilliant Scientists")</f>
        <v>Great Black Heroes: Five Brilliant Scientists</v>
      </c>
      <c r="C50" s="3" t="str">
        <f ca="1">IFERROR(__xludf.DUMMYFUNCTION("""COMPUTED_VALUE"""),"N")</f>
        <v>N</v>
      </c>
      <c r="D50" s="4" t="str">
        <f ca="1">IFERROR(__xludf.DUMMYFUNCTION("""COMPUTED_VALUE"""),"Jones, Lynda")</f>
        <v>Jones, Lynda</v>
      </c>
      <c r="E50" s="5">
        <f ca="1">IFERROR(__xludf.DUMMYFUNCTION("""COMPUTED_VALUE"""),9780590480314)</f>
        <v>9780590480314</v>
      </c>
      <c r="F50" s="2"/>
      <c r="G50" s="2"/>
      <c r="H50" s="2"/>
    </row>
    <row r="51" spans="1:8" ht="13.15">
      <c r="A51" s="3" t="str">
        <f ca="1">IFERROR(__xludf.DUMMYFUNCTION("""COMPUTED_VALUE"""),"2")</f>
        <v>2</v>
      </c>
      <c r="B51" s="4" t="str">
        <f ca="1">IFERROR(__xludf.DUMMYFUNCTION("""COMPUTED_VALUE"""),"Great Migrations: Elephants")</f>
        <v>Great Migrations: Elephants</v>
      </c>
      <c r="C51" s="3" t="str">
        <f ca="1">IFERROR(__xludf.DUMMYFUNCTION("""COMPUTED_VALUE"""),"N")</f>
        <v>N</v>
      </c>
      <c r="D51" s="4" t="str">
        <f ca="1">IFERROR(__xludf.DUMMYFUNCTION("""COMPUTED_VALUE"""),"Marsh, Laura")</f>
        <v>Marsh, Laura</v>
      </c>
      <c r="E51" s="5">
        <f ca="1">IFERROR(__xludf.DUMMYFUNCTION("""COMPUTED_VALUE"""),9781426307430)</f>
        <v>9781426307430</v>
      </c>
      <c r="F51" s="2"/>
      <c r="G51" s="2"/>
      <c r="H51" s="2"/>
    </row>
    <row r="52" spans="1:8" ht="13.15">
      <c r="A52" s="3" t="str">
        <f ca="1">IFERROR(__xludf.DUMMYFUNCTION("""COMPUTED_VALUE"""),"2")</f>
        <v>2</v>
      </c>
      <c r="B52" s="4" t="str">
        <f ca="1">IFERROR(__xludf.DUMMYFUNCTION("""COMPUTED_VALUE"""),"Helping Animals")</f>
        <v>Helping Animals</v>
      </c>
      <c r="C52" s="3" t="str">
        <f ca="1">IFERROR(__xludf.DUMMYFUNCTION("""COMPUTED_VALUE"""),"N")</f>
        <v>N</v>
      </c>
      <c r="D52" s="4" t="str">
        <f ca="1">IFERROR(__xludf.DUMMYFUNCTION("""COMPUTED_VALUE"""),"Parker, Vic")</f>
        <v>Parker, Vic</v>
      </c>
      <c r="E52" s="5">
        <f ca="1">IFERROR(__xludf.DUMMYFUNCTION("""COMPUTED_VALUE"""),9781432959487)</f>
        <v>9781432959487</v>
      </c>
      <c r="F52" s="2"/>
      <c r="G52" s="2"/>
      <c r="H52" s="2"/>
    </row>
    <row r="53" spans="1:8" ht="13.15">
      <c r="A53" s="3" t="str">
        <f ca="1">IFERROR(__xludf.DUMMYFUNCTION("""COMPUTED_VALUE"""),"2")</f>
        <v>2</v>
      </c>
      <c r="B53" s="4" t="str">
        <f ca="1">IFERROR(__xludf.DUMMYFUNCTION("""COMPUTED_VALUE"""),"Henry and Mudge and the Great Grandpas")</f>
        <v>Henry and Mudge and the Great Grandpas</v>
      </c>
      <c r="C53" s="3" t="str">
        <f ca="1">IFERROR(__xludf.DUMMYFUNCTION("""COMPUTED_VALUE"""),"F")</f>
        <v>F</v>
      </c>
      <c r="D53" s="4" t="str">
        <f ca="1">IFERROR(__xludf.DUMMYFUNCTION("""COMPUTED_VALUE"""),"Rylant, Cynthia")</f>
        <v>Rylant, Cynthia</v>
      </c>
      <c r="E53" s="5">
        <f ca="1">IFERROR(__xludf.DUMMYFUNCTION("""COMPUTED_VALUE"""),9780689834479)</f>
        <v>9780689834479</v>
      </c>
      <c r="F53" s="2"/>
      <c r="G53" s="2"/>
      <c r="H53" s="2"/>
    </row>
    <row r="54" spans="1:8" ht="13.15">
      <c r="A54" s="3" t="str">
        <f ca="1">IFERROR(__xludf.DUMMYFUNCTION("""COMPUTED_VALUE"""),"2")</f>
        <v>2</v>
      </c>
      <c r="B54" s="4" t="str">
        <f ca="1">IFERROR(__xludf.DUMMYFUNCTION("""COMPUTED_VALUE"""),"Henry and Mudge and the Snowman Plan")</f>
        <v>Henry and Mudge and the Snowman Plan</v>
      </c>
      <c r="C54" s="3" t="str">
        <f ca="1">IFERROR(__xludf.DUMMYFUNCTION("""COMPUTED_VALUE"""),"F")</f>
        <v>F</v>
      </c>
      <c r="D54" s="4" t="str">
        <f ca="1">IFERROR(__xludf.DUMMYFUNCTION("""COMPUTED_VALUE"""),"Rylant, Cynthia")</f>
        <v>Rylant, Cynthia</v>
      </c>
      <c r="E54" s="5">
        <f ca="1">IFERROR(__xludf.DUMMYFUNCTION("""COMPUTED_VALUE"""),9780689834493)</f>
        <v>9780689834493</v>
      </c>
      <c r="F54" s="2"/>
      <c r="G54" s="2"/>
      <c r="H54" s="2"/>
    </row>
    <row r="55" spans="1:8" ht="13.15">
      <c r="A55" s="3" t="str">
        <f ca="1">IFERROR(__xludf.DUMMYFUNCTION("""COMPUTED_VALUE"""),"2")</f>
        <v>2</v>
      </c>
      <c r="B55" s="4" t="str">
        <f ca="1">IFERROR(__xludf.DUMMYFUNCTION("""COMPUTED_VALUE"""),"Henry and Mudge and the Wild Goose Chase")</f>
        <v>Henry and Mudge and the Wild Goose Chase</v>
      </c>
      <c r="C55" s="3" t="str">
        <f ca="1">IFERROR(__xludf.DUMMYFUNCTION("""COMPUTED_VALUE"""),"F")</f>
        <v>F</v>
      </c>
      <c r="D55" s="4" t="str">
        <f ca="1">IFERROR(__xludf.DUMMYFUNCTION("""COMPUTED_VALUE"""),"Rylant, Cynthia")</f>
        <v>Rylant, Cynthia</v>
      </c>
      <c r="E55" s="5">
        <f ca="1">IFERROR(__xludf.DUMMYFUNCTION("""COMPUTED_VALUE"""),9780689834509)</f>
        <v>9780689834509</v>
      </c>
      <c r="F55" s="2"/>
      <c r="G55" s="2"/>
      <c r="H55" s="2"/>
    </row>
    <row r="56" spans="1:8" ht="13.15">
      <c r="A56" s="3" t="str">
        <f ca="1">IFERROR(__xludf.DUMMYFUNCTION("""COMPUTED_VALUE"""),"2")</f>
        <v>2</v>
      </c>
      <c r="B56" s="4" t="str">
        <f ca="1">IFERROR(__xludf.DUMMYFUNCTION("""COMPUTED_VALUE"""),"Henry and Mudge: The First Book")</f>
        <v>Henry and Mudge: The First Book</v>
      </c>
      <c r="C56" s="3" t="str">
        <f ca="1">IFERROR(__xludf.DUMMYFUNCTION("""COMPUTED_VALUE"""),"F")</f>
        <v>F</v>
      </c>
      <c r="D56" s="4" t="str">
        <f ca="1">IFERROR(__xludf.DUMMYFUNCTION("""COMPUTED_VALUE"""),"Rylant, Cynthia")</f>
        <v>Rylant, Cynthia</v>
      </c>
      <c r="E56" s="5">
        <f ca="1">IFERROR(__xludf.DUMMYFUNCTION("""COMPUTED_VALUE"""),9780689810053)</f>
        <v>9780689810053</v>
      </c>
      <c r="F56" s="2"/>
      <c r="G56" s="2"/>
      <c r="H56" s="2"/>
    </row>
    <row r="57" spans="1:8" ht="13.15">
      <c r="A57" s="3" t="str">
        <f ca="1">IFERROR(__xludf.DUMMYFUNCTION("""COMPUTED_VALUE"""),"2")</f>
        <v>2</v>
      </c>
      <c r="B57" s="4" t="str">
        <f ca="1">IFERROR(__xludf.DUMMYFUNCTION("""COMPUTED_VALUE"""),"Hill of Fire")</f>
        <v>Hill of Fire</v>
      </c>
      <c r="C57" s="3" t="str">
        <f ca="1">IFERROR(__xludf.DUMMYFUNCTION("""COMPUTED_VALUE"""),"F")</f>
        <v>F</v>
      </c>
      <c r="D57" s="4" t="str">
        <f ca="1">IFERROR(__xludf.DUMMYFUNCTION("""COMPUTED_VALUE"""),"Lewis, Thomas P")</f>
        <v>Lewis, Thomas P</v>
      </c>
      <c r="E57" s="5">
        <f ca="1">IFERROR(__xludf.DUMMYFUNCTION("""COMPUTED_VALUE"""),9780064440400)</f>
        <v>9780064440400</v>
      </c>
      <c r="F57" s="2"/>
      <c r="G57" s="2"/>
      <c r="H57" s="2"/>
    </row>
    <row r="58" spans="1:8" ht="13.15">
      <c r="A58" s="3" t="str">
        <f ca="1">IFERROR(__xludf.DUMMYFUNCTION("""COMPUTED_VALUE"""),"2")</f>
        <v>2</v>
      </c>
      <c r="B58" s="4" t="str">
        <f ca="1">IFERROR(__xludf.DUMMYFUNCTION("""COMPUTED_VALUE"""),"How People Learned to Fly")</f>
        <v>How People Learned to Fly</v>
      </c>
      <c r="C58" s="3" t="str">
        <f ca="1">IFERROR(__xludf.DUMMYFUNCTION("""COMPUTED_VALUE"""),"N")</f>
        <v>N</v>
      </c>
      <c r="D58" s="4" t="str">
        <f ca="1">IFERROR(__xludf.DUMMYFUNCTION("""COMPUTED_VALUE"""),"Hodgkins, Fran")</f>
        <v>Hodgkins, Fran</v>
      </c>
      <c r="E58" s="5">
        <f ca="1">IFERROR(__xludf.DUMMYFUNCTION("""COMPUTED_VALUE"""),9780064452212)</f>
        <v>9780064452212</v>
      </c>
      <c r="F58" s="2"/>
      <c r="G58" s="2"/>
      <c r="H58" s="2"/>
    </row>
    <row r="59" spans="1:8" ht="13.15">
      <c r="A59" s="3" t="str">
        <f ca="1">IFERROR(__xludf.DUMMYFUNCTION("""COMPUTED_VALUE"""),"2")</f>
        <v>2</v>
      </c>
      <c r="B59" s="4" t="str">
        <f ca="1">IFERROR(__xludf.DUMMYFUNCTION("""COMPUTED_VALUE"""),"I Love Cats")</f>
        <v>I Love Cats</v>
      </c>
      <c r="C59" s="3" t="str">
        <f ca="1">IFERROR(__xludf.DUMMYFUNCTION("""COMPUTED_VALUE"""),"F")</f>
        <v>F</v>
      </c>
      <c r="D59" s="4" t="str">
        <f ca="1">IFERROR(__xludf.DUMMYFUNCTION("""COMPUTED_VALUE"""),"Matthias, Catherine")</f>
        <v>Matthias, Catherine</v>
      </c>
      <c r="E59" s="5">
        <f ca="1">IFERROR(__xludf.DUMMYFUNCTION("""COMPUTED_VALUE"""),9780516420417)</f>
        <v>9780516420417</v>
      </c>
      <c r="F59" s="2"/>
      <c r="G59" s="2"/>
      <c r="H59" s="2"/>
    </row>
    <row r="60" spans="1:8" ht="13.15">
      <c r="A60" s="3" t="str">
        <f ca="1">IFERROR(__xludf.DUMMYFUNCTION("""COMPUTED_VALUE"""),"2")</f>
        <v>2</v>
      </c>
      <c r="B60" s="4" t="str">
        <f ca="1">IFERROR(__xludf.DUMMYFUNCTION("""COMPUTED_VALUE"""),"I Took My Frog to the Library")</f>
        <v>I Took My Frog to the Library</v>
      </c>
      <c r="C60" s="3" t="str">
        <f ca="1">IFERROR(__xludf.DUMMYFUNCTION("""COMPUTED_VALUE"""),"F")</f>
        <v>F</v>
      </c>
      <c r="D60" s="4" t="str">
        <f ca="1">IFERROR(__xludf.DUMMYFUNCTION("""COMPUTED_VALUE"""),"Kimmel, Eric A.")</f>
        <v>Kimmel, Eric A.</v>
      </c>
      <c r="E60" s="5">
        <f ca="1">IFERROR(__xludf.DUMMYFUNCTION("""COMPUTED_VALUE"""),9780140509168)</f>
        <v>9780140509168</v>
      </c>
      <c r="F60" s="2"/>
      <c r="G60" s="2"/>
      <c r="H60" s="2"/>
    </row>
    <row r="61" spans="1:8" ht="13.15">
      <c r="A61" s="3" t="str">
        <f ca="1">IFERROR(__xludf.DUMMYFUNCTION("""COMPUTED_VALUE"""),"2")</f>
        <v>2</v>
      </c>
      <c r="B61" s="4" t="str">
        <f ca="1">IFERROR(__xludf.DUMMYFUNCTION("""COMPUTED_VALUE"""),"Iris and Walter and Baby Rose")</f>
        <v>Iris and Walter and Baby Rose</v>
      </c>
      <c r="C61" s="3" t="str">
        <f ca="1">IFERROR(__xludf.DUMMYFUNCTION("""COMPUTED_VALUE"""),"F")</f>
        <v>F</v>
      </c>
      <c r="D61" s="4" t="str">
        <f ca="1">IFERROR(__xludf.DUMMYFUNCTION("""COMPUTED_VALUE"""),"Guest, Elissa Haden")</f>
        <v>Guest, Elissa Haden</v>
      </c>
      <c r="E61" s="5">
        <f ca="1">IFERROR(__xludf.DUMMYFUNCTION("""COMPUTED_VALUE"""),9780547850641)</f>
        <v>9780547850641</v>
      </c>
      <c r="F61" s="2"/>
      <c r="G61" s="2"/>
      <c r="H61" s="2"/>
    </row>
    <row r="62" spans="1:8" ht="13.15">
      <c r="A62" s="3" t="str">
        <f ca="1">IFERROR(__xludf.DUMMYFUNCTION("""COMPUTED_VALUE"""),"2")</f>
        <v>2</v>
      </c>
      <c r="B62" s="4" t="str">
        <f ca="1">IFERROR(__xludf.DUMMYFUNCTION("""COMPUTED_VALUE"""),"Iris and Walter and the Birthday Party")</f>
        <v>Iris and Walter and the Birthday Party</v>
      </c>
      <c r="C62" s="3" t="str">
        <f ca="1">IFERROR(__xludf.DUMMYFUNCTION("""COMPUTED_VALUE"""),"F")</f>
        <v>F</v>
      </c>
      <c r="D62" s="4" t="str">
        <f ca="1">IFERROR(__xludf.DUMMYFUNCTION("""COMPUTED_VALUE"""),"Guest, Elissa Haden")</f>
        <v>Guest, Elissa Haden</v>
      </c>
      <c r="E62" s="5">
        <f ca="1">IFERROR(__xludf.DUMMYFUNCTION("""COMPUTED_VALUE"""),9780544104983)</f>
        <v>9780544104983</v>
      </c>
      <c r="F62" s="2"/>
      <c r="G62" s="2"/>
      <c r="H62" s="2"/>
    </row>
    <row r="63" spans="1:8" ht="13.15">
      <c r="A63" s="3" t="str">
        <f ca="1">IFERROR(__xludf.DUMMYFUNCTION("""COMPUTED_VALUE"""),"2")</f>
        <v>2</v>
      </c>
      <c r="B63" s="4" t="str">
        <f ca="1">IFERROR(__xludf.DUMMYFUNCTION("""COMPUTED_VALUE"""),"Iris and Walter and the Field Trip")</f>
        <v>Iris and Walter and the Field Trip</v>
      </c>
      <c r="C63" s="3" t="str">
        <f ca="1">IFERROR(__xludf.DUMMYFUNCTION("""COMPUTED_VALUE"""),"F")</f>
        <v>F</v>
      </c>
      <c r="D63" s="4" t="str">
        <f ca="1">IFERROR(__xludf.DUMMYFUNCTION("""COMPUTED_VALUE"""),"Guest, Elissa Haden")</f>
        <v>Guest, Elissa Haden</v>
      </c>
      <c r="E63" s="5">
        <f ca="1">IFERROR(__xludf.DUMMYFUNCTION("""COMPUTED_VALUE"""),9780544106659)</f>
        <v>9780544106659</v>
      </c>
      <c r="F63" s="2"/>
      <c r="G63" s="2"/>
      <c r="H63" s="2"/>
    </row>
    <row r="64" spans="1:8" ht="13.15">
      <c r="A64" s="3" t="str">
        <f ca="1">IFERROR(__xludf.DUMMYFUNCTION("""COMPUTED_VALUE"""),"2")</f>
        <v>2</v>
      </c>
      <c r="B64" s="4" t="str">
        <f ca="1">IFERROR(__xludf.DUMMYFUNCTION("""COMPUTED_VALUE"""),"Ivy and Bean Bound to Be Bad")</f>
        <v>Ivy and Bean Bound to Be Bad</v>
      </c>
      <c r="C64" s="3" t="str">
        <f ca="1">IFERROR(__xludf.DUMMYFUNCTION("""COMPUTED_VALUE"""),"F")</f>
        <v>F</v>
      </c>
      <c r="D64" s="4" t="str">
        <f ca="1">IFERROR(__xludf.DUMMYFUNCTION("""COMPUTED_VALUE"""),"Barrows, Annie")</f>
        <v>Barrows, Annie</v>
      </c>
      <c r="E64" s="5" t="str">
        <f ca="1">IFERROR(__xludf.DUMMYFUNCTION("""COMPUTED_VALUE"""),"")</f>
        <v/>
      </c>
      <c r="F64" s="2"/>
      <c r="G64" s="2"/>
      <c r="H64" s="2"/>
    </row>
    <row r="65" spans="1:8" ht="13.15">
      <c r="A65" s="3" t="str">
        <f ca="1">IFERROR(__xludf.DUMMYFUNCTION("""COMPUTED_VALUE"""),"2")</f>
        <v>2</v>
      </c>
      <c r="B65" s="4" t="str">
        <f ca="1">IFERROR(__xludf.DUMMYFUNCTION("""COMPUTED_VALUE"""),"Ivy and Bean Take Care of the Babysitter")</f>
        <v>Ivy and Bean Take Care of the Babysitter</v>
      </c>
      <c r="C65" s="3" t="str">
        <f ca="1">IFERROR(__xludf.DUMMYFUNCTION("""COMPUTED_VALUE"""),"F")</f>
        <v>F</v>
      </c>
      <c r="D65" s="4" t="str">
        <f ca="1">IFERROR(__xludf.DUMMYFUNCTION("""COMPUTED_VALUE"""),"Barrows, Annie")</f>
        <v>Barrows, Annie</v>
      </c>
      <c r="E65" s="5" t="str">
        <f ca="1">IFERROR(__xludf.DUMMYFUNCTION("""COMPUTED_VALUE"""),"")</f>
        <v/>
      </c>
      <c r="F65" s="2"/>
      <c r="G65" s="2"/>
      <c r="H65" s="2"/>
    </row>
    <row r="66" spans="1:8" ht="13.15">
      <c r="A66" s="3" t="str">
        <f ca="1">IFERROR(__xludf.DUMMYFUNCTION("""COMPUTED_VALUE"""),"2")</f>
        <v>2</v>
      </c>
      <c r="B66" s="4" t="str">
        <f ca="1">IFERROR(__xludf.DUMMYFUNCTION("""COMPUTED_VALUE"""),"Ivy and Bean: Take the Case")</f>
        <v>Ivy and Bean: Take the Case</v>
      </c>
      <c r="C66" s="3" t="str">
        <f ca="1">IFERROR(__xludf.DUMMYFUNCTION("""COMPUTED_VALUE"""),"F")</f>
        <v>F</v>
      </c>
      <c r="D66" s="4" t="str">
        <f ca="1">IFERROR(__xludf.DUMMYFUNCTION("""COMPUTED_VALUE"""),"Barrows, Annie")</f>
        <v>Barrows, Annie</v>
      </c>
      <c r="E66" s="5" t="str">
        <f ca="1">IFERROR(__xludf.DUMMYFUNCTION("""COMPUTED_VALUE"""),"")</f>
        <v/>
      </c>
      <c r="F66" s="2"/>
      <c r="G66" s="2"/>
      <c r="H66" s="2"/>
    </row>
    <row r="67" spans="1:8" ht="13.15">
      <c r="A67" s="3" t="str">
        <f ca="1">IFERROR(__xludf.DUMMYFUNCTION("""COMPUTED_VALUE"""),"2")</f>
        <v>2</v>
      </c>
      <c r="B67" s="4" t="str">
        <f ca="1">IFERROR(__xludf.DUMMYFUNCTION("""COMPUTED_VALUE"""),"Katie Woo and Her Big Ideas")</f>
        <v>Katie Woo and Her Big Ideas</v>
      </c>
      <c r="C67" s="3" t="str">
        <f ca="1">IFERROR(__xludf.DUMMYFUNCTION("""COMPUTED_VALUE"""),"F")</f>
        <v>F</v>
      </c>
      <c r="D67" s="4" t="str">
        <f ca="1">IFERROR(__xludf.DUMMYFUNCTION("""COMPUTED_VALUE"""),"Manushkin, Fran")</f>
        <v>Manushkin, Fran</v>
      </c>
      <c r="E67" s="5">
        <f ca="1">IFERROR(__xludf.DUMMYFUNCTION("""COMPUTED_VALUE"""),9781479520268)</f>
        <v>9781479520268</v>
      </c>
      <c r="F67" s="2"/>
      <c r="G67" s="2"/>
      <c r="H67" s="2"/>
    </row>
    <row r="68" spans="1:8" ht="13.15">
      <c r="A68" s="3" t="str">
        <f ca="1">IFERROR(__xludf.DUMMYFUNCTION("""COMPUTED_VALUE"""),"2")</f>
        <v>2</v>
      </c>
      <c r="B68" s="4" t="str">
        <f ca="1">IFERROR(__xludf.DUMMYFUNCTION("""COMPUTED_VALUE"""),"Katie Woo, Super Scout")</f>
        <v>Katie Woo, Super Scout</v>
      </c>
      <c r="C68" s="3" t="str">
        <f ca="1">IFERROR(__xludf.DUMMYFUNCTION("""COMPUTED_VALUE"""),"F")</f>
        <v>F</v>
      </c>
      <c r="D68" s="4" t="str">
        <f ca="1">IFERROR(__xludf.DUMMYFUNCTION("""COMPUTED_VALUE"""),"Manushkin, Fran")</f>
        <v>Manushkin, Fran</v>
      </c>
      <c r="E68" s="5">
        <f ca="1">IFERROR(__xludf.DUMMYFUNCTION("""COMPUTED_VALUE"""),9781479561803)</f>
        <v>9781479561803</v>
      </c>
      <c r="F68" s="2"/>
      <c r="G68" s="2"/>
      <c r="H68" s="2"/>
    </row>
    <row r="69" spans="1:8" ht="13.15">
      <c r="A69" s="3" t="str">
        <f ca="1">IFERROR(__xludf.DUMMYFUNCTION("""COMPUTED_VALUE"""),"2")</f>
        <v>2</v>
      </c>
      <c r="B69" s="4" t="str">
        <f ca="1">IFERROR(__xludf.DUMMYFUNCTION("""COMPUTED_VALUE"""),"Katie Woo, Where Are You?")</f>
        <v>Katie Woo, Where Are You?</v>
      </c>
      <c r="C69" s="3" t="str">
        <f ca="1">IFERROR(__xludf.DUMMYFUNCTION("""COMPUTED_VALUE"""),"F")</f>
        <v>F</v>
      </c>
      <c r="D69" s="4" t="str">
        <f ca="1">IFERROR(__xludf.DUMMYFUNCTION("""COMPUTED_VALUE"""),"Manushkin, Fran")</f>
        <v>Manushkin, Fran</v>
      </c>
      <c r="E69" s="5">
        <f ca="1">IFERROR(__xludf.DUMMYFUNCTION("""COMPUTED_VALUE"""),9781404868533)</f>
        <v>9781404868533</v>
      </c>
      <c r="F69" s="2"/>
      <c r="G69" s="2"/>
      <c r="H69" s="2"/>
    </row>
    <row r="70" spans="1:8" ht="13.15">
      <c r="A70" s="3" t="str">
        <f ca="1">IFERROR(__xludf.DUMMYFUNCTION("""COMPUTED_VALUE"""),"2")</f>
        <v>2</v>
      </c>
      <c r="B70" s="4" t="str">
        <f ca="1">IFERROR(__xludf.DUMMYFUNCTION("""COMPUTED_VALUE"""),"Keena Ford and the Field Trip Mix-Up")</f>
        <v>Keena Ford and the Field Trip Mix-Up</v>
      </c>
      <c r="C70" s="3" t="str">
        <f ca="1">IFERROR(__xludf.DUMMYFUNCTION("""COMPUTED_VALUE"""),"F")</f>
        <v>F</v>
      </c>
      <c r="D70" s="4" t="str">
        <f ca="1">IFERROR(__xludf.DUMMYFUNCTION("""COMPUTED_VALUE"""),"Thomson, Melissa")</f>
        <v>Thomson, Melissa</v>
      </c>
      <c r="E70" s="5">
        <f ca="1">IFERROR(__xludf.DUMMYFUNCTION("""COMPUTED_VALUE"""),9780142415726)</f>
        <v>9780142415726</v>
      </c>
      <c r="F70" s="2"/>
      <c r="G70" s="2"/>
      <c r="H70" s="2"/>
    </row>
    <row r="71" spans="1:8" ht="13.15">
      <c r="A71" s="3" t="str">
        <f ca="1">IFERROR(__xludf.DUMMYFUNCTION("""COMPUTED_VALUE"""),"2")</f>
        <v>2</v>
      </c>
      <c r="B71" s="4" t="str">
        <f ca="1">IFERROR(__xludf.DUMMYFUNCTION("""COMPUTED_VALUE"""),"Keena Ford and the Second Grade Mix-Up")</f>
        <v>Keena Ford and the Second Grade Mix-Up</v>
      </c>
      <c r="C71" s="3" t="str">
        <f ca="1">IFERROR(__xludf.DUMMYFUNCTION("""COMPUTED_VALUE"""),"F")</f>
        <v>F</v>
      </c>
      <c r="D71" s="4" t="str">
        <f ca="1">IFERROR(__xludf.DUMMYFUNCTION("""COMPUTED_VALUE"""),"Thomson, Melissa")</f>
        <v>Thomson, Melissa</v>
      </c>
      <c r="E71" s="5">
        <f ca="1">IFERROR(__xludf.DUMMYFUNCTION("""COMPUTED_VALUE"""),9780142413968)</f>
        <v>9780142413968</v>
      </c>
      <c r="F71" s="2"/>
      <c r="G71" s="2"/>
      <c r="H71" s="2"/>
    </row>
    <row r="72" spans="1:8" ht="13.15">
      <c r="A72" s="3" t="str">
        <f ca="1">IFERROR(__xludf.DUMMYFUNCTION("""COMPUTED_VALUE"""),"2")</f>
        <v>2</v>
      </c>
      <c r="B72" s="4" t="str">
        <f ca="1">IFERROR(__xludf.DUMMYFUNCTION("""COMPUTED_VALUE"""),"Keena Ford and the Secret Journal Mix-Up")</f>
        <v>Keena Ford and the Secret Journal Mix-Up</v>
      </c>
      <c r="C72" s="3" t="str">
        <f ca="1">IFERROR(__xludf.DUMMYFUNCTION("""COMPUTED_VALUE"""),"F")</f>
        <v>F</v>
      </c>
      <c r="D72" s="4" t="str">
        <f ca="1">IFERROR(__xludf.DUMMYFUNCTION("""COMPUTED_VALUE"""),"Thomson, Melissa")</f>
        <v>Thomson, Melissa</v>
      </c>
      <c r="E72" s="5">
        <f ca="1">IFERROR(__xludf.DUMMYFUNCTION("""COMPUTED_VALUE"""),9780142419373)</f>
        <v>9780142419373</v>
      </c>
      <c r="F72" s="2"/>
      <c r="G72" s="2"/>
      <c r="H72" s="2"/>
    </row>
    <row r="73" spans="1:8" ht="13.15">
      <c r="A73" s="3" t="str">
        <f ca="1">IFERROR(__xludf.DUMMYFUNCTION("""COMPUTED_VALUE"""),"2")</f>
        <v>2</v>
      </c>
      <c r="B73" s="4" t="str">
        <f ca="1">IFERROR(__xludf.DUMMYFUNCTION("""COMPUTED_VALUE"""),"Ling and Ting: Not Exactly the Same!")</f>
        <v>Ling and Ting: Not Exactly the Same!</v>
      </c>
      <c r="C73" s="3" t="str">
        <f ca="1">IFERROR(__xludf.DUMMYFUNCTION("""COMPUTED_VALUE"""),"F")</f>
        <v>F</v>
      </c>
      <c r="D73" s="4" t="str">
        <f ca="1">IFERROR(__xludf.DUMMYFUNCTION("""COMPUTED_VALUE"""),"Lin, Grace")</f>
        <v>Lin, Grace</v>
      </c>
      <c r="E73" s="5">
        <f ca="1">IFERROR(__xludf.DUMMYFUNCTION("""COMPUTED_VALUE"""),9780316024532)</f>
        <v>9780316024532</v>
      </c>
      <c r="F73" s="2"/>
      <c r="G73" s="2"/>
      <c r="H73" s="2"/>
    </row>
    <row r="74" spans="1:8" ht="13.15">
      <c r="A74" s="3" t="str">
        <f ca="1">IFERROR(__xludf.DUMMYFUNCTION("""COMPUTED_VALUE"""),"2")</f>
        <v>2</v>
      </c>
      <c r="B74" s="4" t="str">
        <f ca="1">IFERROR(__xludf.DUMMYFUNCTION("""COMPUTED_VALUE"""),"Ling and Ting: Share a Birthday")</f>
        <v>Ling and Ting: Share a Birthday</v>
      </c>
      <c r="C74" s="3" t="str">
        <f ca="1">IFERROR(__xludf.DUMMYFUNCTION("""COMPUTED_VALUE"""),"F")</f>
        <v>F</v>
      </c>
      <c r="D74" s="4" t="str">
        <f ca="1">IFERROR(__xludf.DUMMYFUNCTION("""COMPUTED_VALUE"""),"Lin, Grace")</f>
        <v>Lin, Grace</v>
      </c>
      <c r="E74" s="5">
        <f ca="1">IFERROR(__xludf.DUMMYFUNCTION("""COMPUTED_VALUE"""),9780316184045)</f>
        <v>9780316184045</v>
      </c>
      <c r="F74" s="2"/>
      <c r="G74" s="2"/>
      <c r="H74" s="2"/>
    </row>
    <row r="75" spans="1:8" ht="13.15">
      <c r="A75" s="3" t="str">
        <f ca="1">IFERROR(__xludf.DUMMYFUNCTION("""COMPUTED_VALUE"""),"2")</f>
        <v>2</v>
      </c>
      <c r="B75" s="4" t="str">
        <f ca="1">IFERROR(__xludf.DUMMYFUNCTION("""COMPUTED_VALUE"""),"Ling and Ting: Together in All Weather")</f>
        <v>Ling and Ting: Together in All Weather</v>
      </c>
      <c r="C75" s="3" t="str">
        <f ca="1">IFERROR(__xludf.DUMMYFUNCTION("""COMPUTED_VALUE"""),"F")</f>
        <v>F</v>
      </c>
      <c r="D75" s="4" t="str">
        <f ca="1">IFERROR(__xludf.DUMMYFUNCTION("""COMPUTED_VALUE"""),"Lin, Grace")</f>
        <v>Lin, Grace</v>
      </c>
      <c r="E75" s="5">
        <f ca="1">IFERROR(__xludf.DUMMYFUNCTION("""COMPUTED_VALUE"""),9780316335485)</f>
        <v>9780316335485</v>
      </c>
      <c r="F75" s="2"/>
      <c r="G75" s="2"/>
      <c r="H75" s="2"/>
    </row>
    <row r="76" spans="1:8" ht="13.15">
      <c r="A76" s="3" t="str">
        <f ca="1">IFERROR(__xludf.DUMMYFUNCTION("""COMPUTED_VALUE"""),"2")</f>
        <v>2</v>
      </c>
      <c r="B76" s="4" t="str">
        <f ca="1">IFERROR(__xludf.DUMMYFUNCTION("""COMPUTED_VALUE"""),"Ling and Ting: Twice as Silly")</f>
        <v>Ling and Ting: Twice as Silly</v>
      </c>
      <c r="C76" s="3" t="str">
        <f ca="1">IFERROR(__xludf.DUMMYFUNCTION("""COMPUTED_VALUE"""),"F")</f>
        <v>F</v>
      </c>
      <c r="D76" s="4" t="str">
        <f ca="1">IFERROR(__xludf.DUMMYFUNCTION("""COMPUTED_VALUE"""),"Lin, Grace")</f>
        <v>Lin, Grace</v>
      </c>
      <c r="E76" s="5">
        <f ca="1">IFERROR(__xludf.DUMMYFUNCTION("""COMPUTED_VALUE"""),9780316184038)</f>
        <v>9780316184038</v>
      </c>
      <c r="F76" s="2"/>
      <c r="G76" s="2"/>
      <c r="H76" s="2"/>
    </row>
    <row r="77" spans="1:8" ht="13.15">
      <c r="A77" s="3" t="str">
        <f ca="1">IFERROR(__xludf.DUMMYFUNCTION("""COMPUTED_VALUE"""),"2")</f>
        <v>2</v>
      </c>
      <c r="B77" s="4" t="str">
        <f ca="1">IFERROR(__xludf.DUMMYFUNCTION("""COMPUTED_VALUE"""),"Lions Up Close")</f>
        <v>Lions Up Close</v>
      </c>
      <c r="C77" s="3" t="str">
        <f ca="1">IFERROR(__xludf.DUMMYFUNCTION("""COMPUTED_VALUE"""),"N")</f>
        <v>N</v>
      </c>
      <c r="D77" s="4" t="str">
        <f ca="1">IFERROR(__xludf.DUMMYFUNCTION("""COMPUTED_VALUE"""),"Bredeson, Carmen")</f>
        <v>Bredeson, Carmen</v>
      </c>
      <c r="E77" s="5">
        <f ca="1">IFERROR(__xludf.DUMMYFUNCTION("""COMPUTED_VALUE"""),9781598454178)</f>
        <v>9781598454178</v>
      </c>
      <c r="F77" s="2"/>
      <c r="G77" s="2"/>
      <c r="H77" s="2"/>
    </row>
    <row r="78" spans="1:8" ht="13.15">
      <c r="A78" s="3" t="str">
        <f ca="1">IFERROR(__xludf.DUMMYFUNCTION("""COMPUTED_VALUE"""),"2")</f>
        <v>2</v>
      </c>
      <c r="B78" s="4" t="str">
        <f ca="1">IFERROR(__xludf.DUMMYFUNCTION("""COMPUTED_VALUE"""),"Lola Levine Drama Queen")</f>
        <v>Lola Levine Drama Queen</v>
      </c>
      <c r="C78" s="3" t="str">
        <f ca="1">IFERROR(__xludf.DUMMYFUNCTION("""COMPUTED_VALUE"""),"F")</f>
        <v>F</v>
      </c>
      <c r="D78" s="4" t="str">
        <f ca="1">IFERROR(__xludf.DUMMYFUNCTION("""COMPUTED_VALUE"""),"Brown, Monica")</f>
        <v>Brown, Monica</v>
      </c>
      <c r="E78" s="5" t="str">
        <f ca="1">IFERROR(__xludf.DUMMYFUNCTION("""COMPUTED_VALUE"""),"")</f>
        <v/>
      </c>
      <c r="F78" s="2"/>
      <c r="G78" s="2"/>
      <c r="H78" s="2"/>
    </row>
    <row r="79" spans="1:8" ht="13.15">
      <c r="A79" s="3" t="str">
        <f ca="1">IFERROR(__xludf.DUMMYFUNCTION("""COMPUTED_VALUE"""),"2")</f>
        <v>2</v>
      </c>
      <c r="B79" s="4" t="str">
        <f ca="1">IFERROR(__xludf.DUMMYFUNCTION("""COMPUTED_VALUE"""),"Lola Levine Is Not Mean")</f>
        <v>Lola Levine Is Not Mean</v>
      </c>
      <c r="C79" s="3" t="str">
        <f ca="1">IFERROR(__xludf.DUMMYFUNCTION("""COMPUTED_VALUE"""),"F")</f>
        <v>F</v>
      </c>
      <c r="D79" s="4" t="str">
        <f ca="1">IFERROR(__xludf.DUMMYFUNCTION("""COMPUTED_VALUE"""),"Brown, Monica")</f>
        <v>Brown, Monica</v>
      </c>
      <c r="E79" s="5" t="str">
        <f ca="1">IFERROR(__xludf.DUMMYFUNCTION("""COMPUTED_VALUE"""),"")</f>
        <v/>
      </c>
      <c r="F79" s="2"/>
      <c r="G79" s="2"/>
      <c r="H79" s="2"/>
    </row>
    <row r="80" spans="1:8" ht="13.15">
      <c r="A80" s="3" t="str">
        <f ca="1">IFERROR(__xludf.DUMMYFUNCTION("""COMPUTED_VALUE"""),"2")</f>
        <v>2</v>
      </c>
      <c r="B80" s="4" t="str">
        <f ca="1">IFERROR(__xludf.DUMMYFUNCTION("""COMPUTED_VALUE"""),"Luke on the Loose")</f>
        <v>Luke on the Loose</v>
      </c>
      <c r="C80" s="3" t="str">
        <f ca="1">IFERROR(__xludf.DUMMYFUNCTION("""COMPUTED_VALUE"""),"F")</f>
        <v>F</v>
      </c>
      <c r="D80" s="4" t="str">
        <f ca="1">IFERROR(__xludf.DUMMYFUNCTION("""COMPUTED_VALUE"""),"Bliss, Harry")</f>
        <v>Bliss, Harry</v>
      </c>
      <c r="E80" s="5">
        <f ca="1">IFERROR(__xludf.DUMMYFUNCTION("""COMPUTED_VALUE"""),9781935179368)</f>
        <v>9781935179368</v>
      </c>
      <c r="F80" s="2"/>
      <c r="G80" s="2"/>
      <c r="H80" s="2"/>
    </row>
    <row r="81" spans="1:8" ht="13.15">
      <c r="A81" s="3" t="str">
        <f ca="1">IFERROR(__xludf.DUMMYFUNCTION("""COMPUTED_VALUE"""),"2")</f>
        <v>2</v>
      </c>
      <c r="B81" s="4" t="str">
        <f ca="1">IFERROR(__xludf.DUMMYFUNCTION("""COMPUTED_VALUE"""),"Lulu and the Cat in the Bag")</f>
        <v>Lulu and the Cat in the Bag</v>
      </c>
      <c r="C81" s="3" t="str">
        <f ca="1">IFERROR(__xludf.DUMMYFUNCTION("""COMPUTED_VALUE"""),"F")</f>
        <v>F</v>
      </c>
      <c r="D81" s="4" t="str">
        <f ca="1">IFERROR(__xludf.DUMMYFUNCTION("""COMPUTED_VALUE"""),"McKay, Hilary")</f>
        <v>McKay, Hilary</v>
      </c>
      <c r="E81" s="5">
        <f ca="1">IFERROR(__xludf.DUMMYFUNCTION("""COMPUTED_VALUE"""),9780807548059)</f>
        <v>9780807548059</v>
      </c>
      <c r="F81" s="2"/>
      <c r="G81" s="2"/>
      <c r="H81" s="2"/>
    </row>
    <row r="82" spans="1:8" ht="13.15">
      <c r="A82" s="3" t="str">
        <f ca="1">IFERROR(__xludf.DUMMYFUNCTION("""COMPUTED_VALUE"""),"2")</f>
        <v>2</v>
      </c>
      <c r="B82" s="4" t="str">
        <f ca="1">IFERROR(__xludf.DUMMYFUNCTION("""COMPUTED_VALUE"""),"Lulu and the Dog from the Sea")</f>
        <v>Lulu and the Dog from the Sea</v>
      </c>
      <c r="C82" s="3" t="str">
        <f ca="1">IFERROR(__xludf.DUMMYFUNCTION("""COMPUTED_VALUE"""),"F")</f>
        <v>F</v>
      </c>
      <c r="D82" s="4" t="str">
        <f ca="1">IFERROR(__xludf.DUMMYFUNCTION("""COMPUTED_VALUE"""),"McKay, Hilary")</f>
        <v>McKay, Hilary</v>
      </c>
      <c r="E82" s="5">
        <f ca="1">IFERROR(__xludf.DUMMYFUNCTION("""COMPUTED_VALUE"""),9780807548219)</f>
        <v>9780807548219</v>
      </c>
      <c r="F82" s="2"/>
      <c r="G82" s="2"/>
      <c r="H82" s="2"/>
    </row>
    <row r="83" spans="1:8" ht="13.15">
      <c r="A83" s="3" t="str">
        <f ca="1">IFERROR(__xludf.DUMMYFUNCTION("""COMPUTED_VALUE"""),"2")</f>
        <v>2</v>
      </c>
      <c r="B83" s="4" t="str">
        <f ca="1">IFERROR(__xludf.DUMMYFUNCTION("""COMPUTED_VALUE"""),"Lulu and the Duck in the Park")</f>
        <v>Lulu and the Duck in the Park</v>
      </c>
      <c r="C83" s="3" t="str">
        <f ca="1">IFERROR(__xludf.DUMMYFUNCTION("""COMPUTED_VALUE"""),"F")</f>
        <v>F</v>
      </c>
      <c r="D83" s="4" t="str">
        <f ca="1">IFERROR(__xludf.DUMMYFUNCTION("""COMPUTED_VALUE"""),"McKay, Hilary")</f>
        <v>McKay, Hilary</v>
      </c>
      <c r="E83" s="5">
        <f ca="1">IFERROR(__xludf.DUMMYFUNCTION("""COMPUTED_VALUE"""),9780807548097)</f>
        <v>9780807548097</v>
      </c>
      <c r="F83" s="2"/>
      <c r="G83" s="2"/>
      <c r="H83" s="2"/>
    </row>
    <row r="84" spans="1:8" ht="13.15">
      <c r="A84" s="3" t="str">
        <f ca="1">IFERROR(__xludf.DUMMYFUNCTION("""COMPUTED_VALUE"""),"2")</f>
        <v>2</v>
      </c>
      <c r="B84" s="4" t="str">
        <f ca="1">IFERROR(__xludf.DUMMYFUNCTION("""COMPUTED_VALUE"""),"A Magic Crystal?")</f>
        <v>A Magic Crystal?</v>
      </c>
      <c r="C84" s="3" t="str">
        <f ca="1">IFERROR(__xludf.DUMMYFUNCTION("""COMPUTED_VALUE"""),"F")</f>
        <v>F</v>
      </c>
      <c r="D84" s="4" t="str">
        <f ca="1">IFERROR(__xludf.DUMMYFUNCTION("""COMPUTED_VALUE"""),"Sachar, Louis")</f>
        <v>Sachar, Louis</v>
      </c>
      <c r="E84" s="5">
        <f ca="1">IFERROR(__xludf.DUMMYFUNCTION("""COMPUTED_VALUE"""),9780679890027)</f>
        <v>9780679890027</v>
      </c>
      <c r="F84" s="2"/>
      <c r="G84" s="2"/>
      <c r="H84" s="2"/>
    </row>
    <row r="85" spans="1:8" ht="26.45">
      <c r="A85" s="3" t="str">
        <f ca="1">IFERROR(__xludf.DUMMYFUNCTION("""COMPUTED_VALUE"""),"2")</f>
        <v>2</v>
      </c>
      <c r="B85" s="4" t="str">
        <f ca="1">IFERROR(__xludf.DUMMYFUNCTION("""COMPUTED_VALUE"""),"Magic Tree House Fact Tracker: Titanic")</f>
        <v>Magic Tree House Fact Tracker: Titanic</v>
      </c>
      <c r="C85" s="3" t="str">
        <f ca="1">IFERROR(__xludf.DUMMYFUNCTION("""COMPUTED_VALUE"""),"N")</f>
        <v>N</v>
      </c>
      <c r="D85" s="4" t="str">
        <f ca="1">IFERROR(__xludf.DUMMYFUNCTION("""COMPUTED_VALUE"""),"Osborne, Will &amp; Mary Pope Osborne")</f>
        <v>Osborne, Will &amp; Mary Pope Osborne</v>
      </c>
      <c r="E85" s="5">
        <f ca="1">IFERROR(__xludf.DUMMYFUNCTION("""COMPUTED_VALUE"""),9780375813573)</f>
        <v>9780375813573</v>
      </c>
      <c r="F85" s="2"/>
      <c r="G85" s="2"/>
      <c r="H85" s="2"/>
    </row>
    <row r="86" spans="1:8" ht="13.15">
      <c r="A86" s="3" t="str">
        <f ca="1">IFERROR(__xludf.DUMMYFUNCTION("""COMPUTED_VALUE"""),"2")</f>
        <v>2</v>
      </c>
      <c r="B86" s="4" t="str">
        <f ca="1">IFERROR(__xludf.DUMMYFUNCTION("""COMPUTED_VALUE"""),"Marvelous Mammals")</f>
        <v>Marvelous Mammals</v>
      </c>
      <c r="C86" s="3" t="str">
        <f ca="1">IFERROR(__xludf.DUMMYFUNCTION("""COMPUTED_VALUE"""),"N")</f>
        <v>N</v>
      </c>
      <c r="D86" s="4" t="str">
        <f ca="1">IFERROR(__xludf.DUMMYFUNCTION("""COMPUTED_VALUE"""),"Thomas, Isabel")</f>
        <v>Thomas, Isabel</v>
      </c>
      <c r="E86" s="5">
        <f ca="1">IFERROR(__xludf.DUMMYFUNCTION("""COMPUTED_VALUE"""),9781410946874)</f>
        <v>9781410946874</v>
      </c>
      <c r="F86" s="2"/>
      <c r="G86" s="2"/>
      <c r="H86" s="2"/>
    </row>
    <row r="87" spans="1:8" ht="13.15">
      <c r="A87" s="3" t="str">
        <f ca="1">IFERROR(__xludf.DUMMYFUNCTION("""COMPUTED_VALUE"""),"2")</f>
        <v>2</v>
      </c>
      <c r="B87" s="4" t="str">
        <f ca="1">IFERROR(__xludf.DUMMYFUNCTION("""COMPUTED_VALUE"""),"Max Goes to the Dentist")</f>
        <v>Max Goes to the Dentist</v>
      </c>
      <c r="C87" s="3" t="str">
        <f ca="1">IFERROR(__xludf.DUMMYFUNCTION("""COMPUTED_VALUE"""),"F")</f>
        <v>F</v>
      </c>
      <c r="D87" s="4" t="str">
        <f ca="1">IFERROR(__xludf.DUMMYFUNCTION("""COMPUTED_VALUE"""),"Klein, Adria F.")</f>
        <v>Klein, Adria F.</v>
      </c>
      <c r="E87" s="5">
        <f ca="1">IFERROR(__xludf.DUMMYFUNCTION("""COMPUTED_VALUE"""),9781404830615)</f>
        <v>9781404830615</v>
      </c>
      <c r="F87" s="2"/>
      <c r="G87" s="2"/>
      <c r="H87" s="2"/>
    </row>
    <row r="88" spans="1:8" ht="13.15">
      <c r="A88" s="3" t="str">
        <f ca="1">IFERROR(__xludf.DUMMYFUNCTION("""COMPUTED_VALUE"""),"2")</f>
        <v>2</v>
      </c>
      <c r="B88" s="4" t="str">
        <f ca="1">IFERROR(__xludf.DUMMYFUNCTION("""COMPUTED_VALUE"""),"Max Goes to the Library")</f>
        <v>Max Goes to the Library</v>
      </c>
      <c r="C88" s="3" t="str">
        <f ca="1">IFERROR(__xludf.DUMMYFUNCTION("""COMPUTED_VALUE"""),"F")</f>
        <v>F</v>
      </c>
      <c r="D88" s="4" t="str">
        <f ca="1">IFERROR(__xludf.DUMMYFUNCTION("""COMPUTED_VALUE"""),"Klein, Adria F.")</f>
        <v>Klein, Adria F.</v>
      </c>
      <c r="E88" s="5">
        <f ca="1">IFERROR(__xludf.DUMMYFUNCTION("""COMPUTED_VALUE"""),9781404830622)</f>
        <v>9781404830622</v>
      </c>
      <c r="F88" s="2"/>
      <c r="G88" s="2"/>
      <c r="H88" s="2"/>
    </row>
    <row r="89" spans="1:8" ht="13.15">
      <c r="A89" s="3" t="str">
        <f ca="1">IFERROR(__xludf.DUMMYFUNCTION("""COMPUTED_VALUE"""),"2")</f>
        <v>2</v>
      </c>
      <c r="B89" s="4" t="str">
        <f ca="1">IFERROR(__xludf.DUMMYFUNCTION("""COMPUTED_VALUE"""),"Me Too!")</f>
        <v>Me Too!</v>
      </c>
      <c r="C89" s="3" t="str">
        <f ca="1">IFERROR(__xludf.DUMMYFUNCTION("""COMPUTED_VALUE"""),"F")</f>
        <v>F</v>
      </c>
      <c r="D89" s="4" t="str">
        <f ca="1">IFERROR(__xludf.DUMMYFUNCTION("""COMPUTED_VALUE"""),"Gorbachev, Valeri")</f>
        <v>Gorbachev, Valeri</v>
      </c>
      <c r="E89" s="5">
        <f ca="1">IFERROR(__xludf.DUMMYFUNCTION("""COMPUTED_VALUE"""),9780823431793)</f>
        <v>9780823431793</v>
      </c>
      <c r="F89" s="2"/>
      <c r="G89" s="2"/>
      <c r="H89" s="2"/>
    </row>
    <row r="90" spans="1:8" ht="26.45">
      <c r="A90" s="3" t="str">
        <f ca="1">IFERROR(__xludf.DUMMYFUNCTION("""COMPUTED_VALUE"""),"2")</f>
        <v>2</v>
      </c>
      <c r="B90" s="4" t="str">
        <f ca="1">IFERROR(__xludf.DUMMYFUNCTION("""COMPUTED_VALUE"""),"Miami Jackson Sees It Through")</f>
        <v>Miami Jackson Sees It Through</v>
      </c>
      <c r="C90" s="3" t="str">
        <f ca="1">IFERROR(__xludf.DUMMYFUNCTION("""COMPUTED_VALUE"""),"F")</f>
        <v>F</v>
      </c>
      <c r="D90" s="4" t="str">
        <f ca="1">IFERROR(__xludf.DUMMYFUNCTION("""COMPUTED_VALUE"""),"McKissack, Patricia &amp; Fredrick")</f>
        <v>McKissack, Patricia &amp; Fredrick</v>
      </c>
      <c r="E90" s="5">
        <f ca="1">IFERROR(__xludf.DUMMYFUNCTION("""COMPUTED_VALUE"""),9780307265135)</f>
        <v>9780307265135</v>
      </c>
      <c r="F90" s="2"/>
      <c r="G90" s="2"/>
      <c r="H90" s="2"/>
    </row>
    <row r="91" spans="1:8" ht="26.45">
      <c r="A91" s="3" t="str">
        <f ca="1">IFERROR(__xludf.DUMMYFUNCTION("""COMPUTED_VALUE"""),"2")</f>
        <v>2</v>
      </c>
      <c r="B91" s="4" t="str">
        <f ca="1">IFERROR(__xludf.DUMMYFUNCTION("""COMPUTED_VALUE"""),"Milo and Jazz and the Case of the Haunted Haunted House")</f>
        <v>Milo and Jazz and the Case of the Haunted Haunted House</v>
      </c>
      <c r="C91" s="3" t="str">
        <f ca="1">IFERROR(__xludf.DUMMYFUNCTION("""COMPUTED_VALUE"""),"F")</f>
        <v>F</v>
      </c>
      <c r="D91" s="4" t="str">
        <f ca="1">IFERROR(__xludf.DUMMYFUNCTION("""COMPUTED_VALUE"""),"Montgomery, Lewis B.")</f>
        <v>Montgomery, Lewis B.</v>
      </c>
      <c r="E91" s="5">
        <f ca="1">IFERROR(__xludf.DUMMYFUNCTION("""COMPUTED_VALUE"""),9781575652955)</f>
        <v>9781575652955</v>
      </c>
      <c r="F91" s="2"/>
      <c r="G91" s="2"/>
      <c r="H91" s="2"/>
    </row>
    <row r="92" spans="1:8" ht="13.15">
      <c r="A92" s="3" t="str">
        <f ca="1">IFERROR(__xludf.DUMMYFUNCTION("""COMPUTED_VALUE"""),"2")</f>
        <v>2</v>
      </c>
      <c r="B92" s="4" t="str">
        <f ca="1">IFERROR(__xludf.DUMMYFUNCTION("""COMPUTED_VALUE"""),"Milo and Jazz and the Case of the Stinky Socks")</f>
        <v>Milo and Jazz and the Case of the Stinky Socks</v>
      </c>
      <c r="C92" s="3" t="str">
        <f ca="1">IFERROR(__xludf.DUMMYFUNCTION("""COMPUTED_VALUE"""),"F")</f>
        <v>F</v>
      </c>
      <c r="D92" s="4" t="str">
        <f ca="1">IFERROR(__xludf.DUMMYFUNCTION("""COMPUTED_VALUE"""),"Montgomery, Lewis B.")</f>
        <v>Montgomery, Lewis B.</v>
      </c>
      <c r="E92" s="5">
        <f ca="1">IFERROR(__xludf.DUMMYFUNCTION("""COMPUTED_VALUE"""),9781575652856)</f>
        <v>9781575652856</v>
      </c>
      <c r="F92" s="2"/>
      <c r="G92" s="2"/>
      <c r="H92" s="2"/>
    </row>
    <row r="93" spans="1:8" ht="13.15">
      <c r="A93" s="3" t="str">
        <f ca="1">IFERROR(__xludf.DUMMYFUNCTION("""COMPUTED_VALUE"""),"2")</f>
        <v>2</v>
      </c>
      <c r="B93" s="4" t="str">
        <f ca="1">IFERROR(__xludf.DUMMYFUNCTION("""COMPUTED_VALUE"""),"The Missing Monster Card")</f>
        <v>The Missing Monster Card</v>
      </c>
      <c r="C93" s="3" t="str">
        <f ca="1">IFERROR(__xludf.DUMMYFUNCTION("""COMPUTED_VALUE"""),"F")</f>
        <v>F</v>
      </c>
      <c r="D93" s="4" t="str">
        <f ca="1">IFERROR(__xludf.DUMMYFUNCTION("""COMPUTED_VALUE"""),"Mortensen, Lori")</f>
        <v>Mortensen, Lori</v>
      </c>
      <c r="E93" s="5">
        <f ca="1">IFERROR(__xludf.DUMMYFUNCTION("""COMPUTED_VALUE"""),9781434222848)</f>
        <v>9781434222848</v>
      </c>
      <c r="F93" s="2"/>
      <c r="G93" s="2"/>
      <c r="H93" s="2"/>
    </row>
    <row r="94" spans="1:8" ht="13.15">
      <c r="A94" s="3" t="str">
        <f ca="1">IFERROR(__xludf.DUMMYFUNCTION("""COMPUTED_VALUE"""),"2")</f>
        <v>2</v>
      </c>
      <c r="B94" s="4" t="str">
        <f ca="1">IFERROR(__xludf.DUMMYFUNCTION("""COMPUTED_VALUE"""),"Mouse Soup")</f>
        <v>Mouse Soup</v>
      </c>
      <c r="C94" s="3" t="str">
        <f ca="1">IFERROR(__xludf.DUMMYFUNCTION("""COMPUTED_VALUE"""),"F")</f>
        <v>F</v>
      </c>
      <c r="D94" s="4" t="str">
        <f ca="1">IFERROR(__xludf.DUMMYFUNCTION("""COMPUTED_VALUE"""),"Lobel, Arnold")</f>
        <v>Lobel, Arnold</v>
      </c>
      <c r="E94" s="5">
        <f ca="1">IFERROR(__xludf.DUMMYFUNCTION("""COMPUTED_VALUE"""),9780064440417)</f>
        <v>9780064440417</v>
      </c>
      <c r="F94" s="2"/>
      <c r="G94" s="2"/>
      <c r="H94" s="2"/>
    </row>
    <row r="95" spans="1:8" ht="13.15">
      <c r="A95" s="3" t="str">
        <f ca="1">IFERROR(__xludf.DUMMYFUNCTION("""COMPUTED_VALUE"""),"2")</f>
        <v>2</v>
      </c>
      <c r="B95" s="4" t="str">
        <f ca="1">IFERROR(__xludf.DUMMYFUNCTION("""COMPUTED_VALUE"""),"My Dog, Bob")</f>
        <v>My Dog, Bob</v>
      </c>
      <c r="C95" s="3" t="str">
        <f ca="1">IFERROR(__xludf.DUMMYFUNCTION("""COMPUTED_VALUE"""),"F")</f>
        <v>F</v>
      </c>
      <c r="D95" s="4" t="str">
        <f ca="1">IFERROR(__xludf.DUMMYFUNCTION("""COMPUTED_VALUE"""),"Torrey, Richard")</f>
        <v>Torrey, Richard</v>
      </c>
      <c r="E95" s="5">
        <f ca="1">IFERROR(__xludf.DUMMYFUNCTION("""COMPUTED_VALUE"""),9780823436910)</f>
        <v>9780823436910</v>
      </c>
      <c r="F95" s="2"/>
      <c r="G95" s="2"/>
      <c r="H95" s="2"/>
    </row>
    <row r="96" spans="1:8" ht="13.15">
      <c r="A96" s="3" t="str">
        <f ca="1">IFERROR(__xludf.DUMMYFUNCTION("""COMPUTED_VALUE"""),"2")</f>
        <v>2</v>
      </c>
      <c r="B96" s="4" t="str">
        <f ca="1">IFERROR(__xludf.DUMMYFUNCTION("""COMPUTED_VALUE"""),"My Wild Woolly")</f>
        <v>My Wild Woolly</v>
      </c>
      <c r="C96" s="3" t="str">
        <f ca="1">IFERROR(__xludf.DUMMYFUNCTION("""COMPUTED_VALUE"""),"F")</f>
        <v>F</v>
      </c>
      <c r="D96" s="4" t="str">
        <f ca="1">IFERROR(__xludf.DUMMYFUNCTION("""COMPUTED_VALUE"""),"Eaton, Deb")</f>
        <v>Eaton, Deb</v>
      </c>
      <c r="E96" s="5">
        <f ca="1">IFERROR(__xludf.DUMMYFUNCTION("""COMPUTED_VALUE"""),9780152051471)</f>
        <v>9780152051471</v>
      </c>
      <c r="F96" s="2"/>
      <c r="G96" s="2"/>
      <c r="H96" s="2"/>
    </row>
    <row r="97" spans="1:8" ht="13.15">
      <c r="A97" s="3" t="str">
        <f ca="1">IFERROR(__xludf.DUMMYFUNCTION("""COMPUTED_VALUE"""),"2")</f>
        <v>2</v>
      </c>
      <c r="B97" s="4" t="str">
        <f ca="1">IFERROR(__xludf.DUMMYFUNCTION("""COMPUTED_VALUE"""),"Not Me!")</f>
        <v>Not Me!</v>
      </c>
      <c r="C97" s="3" t="str">
        <f ca="1">IFERROR(__xludf.DUMMYFUNCTION("""COMPUTED_VALUE"""),"F")</f>
        <v>F</v>
      </c>
      <c r="D97" s="4" t="str">
        <f ca="1">IFERROR(__xludf.DUMMYFUNCTION("""COMPUTED_VALUE"""),"Gorbachev, Valeri")</f>
        <v>Gorbachev, Valeri</v>
      </c>
      <c r="E97" s="5">
        <f ca="1">IFERROR(__xludf.DUMMYFUNCTION("""COMPUTED_VALUE"""),9780823435470)</f>
        <v>9780823435470</v>
      </c>
      <c r="F97" s="2"/>
      <c r="G97" s="2"/>
      <c r="H97" s="2"/>
    </row>
    <row r="98" spans="1:8" ht="13.15">
      <c r="A98" s="3" t="str">
        <f ca="1">IFERROR(__xludf.DUMMYFUNCTION("""COMPUTED_VALUE"""),"2")</f>
        <v>2</v>
      </c>
      <c r="B98" s="4" t="str">
        <f ca="1">IFERROR(__xludf.DUMMYFUNCTION("""COMPUTED_VALUE"""),"One Giant Leap: The Story of Neil Armstrong")</f>
        <v>One Giant Leap: The Story of Neil Armstrong</v>
      </c>
      <c r="C98" s="3" t="str">
        <f ca="1">IFERROR(__xludf.DUMMYFUNCTION("""COMPUTED_VALUE"""),"N")</f>
        <v>N</v>
      </c>
      <c r="D98" s="4" t="str">
        <f ca="1">IFERROR(__xludf.DUMMYFUNCTION("""COMPUTED_VALUE"""),"Brown, Don")</f>
        <v>Brown, Don</v>
      </c>
      <c r="E98" s="5">
        <f ca="1">IFERROR(__xludf.DUMMYFUNCTION("""COMPUTED_VALUE"""),9780618152391)</f>
        <v>9780618152391</v>
      </c>
      <c r="F98" s="2"/>
      <c r="G98" s="2"/>
      <c r="H98" s="2"/>
    </row>
    <row r="99" spans="1:8" ht="13.15">
      <c r="A99" s="3" t="str">
        <f ca="1">IFERROR(__xludf.DUMMYFUNCTION("""COMPUTED_VALUE"""),"2")</f>
        <v>2</v>
      </c>
      <c r="B99" s="4" t="str">
        <f ca="1">IFERROR(__xludf.DUMMYFUNCTION("""COMPUTED_VALUE"""),"Our Earth")</f>
        <v>Our Earth</v>
      </c>
      <c r="C99" s="3" t="str">
        <f ca="1">IFERROR(__xludf.DUMMYFUNCTION("""COMPUTED_VALUE"""),"N")</f>
        <v>N</v>
      </c>
      <c r="D99" s="4" t="str">
        <f ca="1">IFERROR(__xludf.DUMMYFUNCTION("""COMPUTED_VALUE"""),"Rockwell, Anne")</f>
        <v>Rockwell, Anne</v>
      </c>
      <c r="E99" s="5">
        <f ca="1">IFERROR(__xludf.DUMMYFUNCTION("""COMPUTED_VALUE"""),9780152023836)</f>
        <v>9780152023836</v>
      </c>
      <c r="F99" s="2"/>
      <c r="G99" s="2"/>
      <c r="H99" s="2"/>
    </row>
    <row r="100" spans="1:8" ht="13.15">
      <c r="A100" s="3" t="str">
        <f ca="1">IFERROR(__xludf.DUMMYFUNCTION("""COMPUTED_VALUE"""),"2")</f>
        <v>2</v>
      </c>
      <c r="B100" s="4" t="str">
        <f ca="1">IFERROR(__xludf.DUMMYFUNCTION("""COMPUTED_VALUE"""),"Our Stars")</f>
        <v>Our Stars</v>
      </c>
      <c r="C100" s="3" t="str">
        <f ca="1">IFERROR(__xludf.DUMMYFUNCTION("""COMPUTED_VALUE"""),"N")</f>
        <v>N</v>
      </c>
      <c r="D100" s="4" t="str">
        <f ca="1">IFERROR(__xludf.DUMMYFUNCTION("""COMPUTED_VALUE"""),"Rockwell, Anne")</f>
        <v>Rockwell, Anne</v>
      </c>
      <c r="E100" s="5">
        <f ca="1">IFERROR(__xludf.DUMMYFUNCTION("""COMPUTED_VALUE"""),9780152163600)</f>
        <v>9780152163600</v>
      </c>
      <c r="F100" s="2"/>
      <c r="G100" s="2"/>
      <c r="H100" s="2"/>
    </row>
    <row r="101" spans="1:8" ht="13.15">
      <c r="A101" s="3" t="str">
        <f ca="1">IFERROR(__xludf.DUMMYFUNCTION("""COMPUTED_VALUE"""),"2")</f>
        <v>2</v>
      </c>
      <c r="B101" s="4" t="str">
        <f ca="1">IFERROR(__xludf.DUMMYFUNCTION("""COMPUTED_VALUE"""),"Pablo Picasso")</f>
        <v>Pablo Picasso</v>
      </c>
      <c r="C101" s="3" t="str">
        <f ca="1">IFERROR(__xludf.DUMMYFUNCTION("""COMPUTED_VALUE"""),"N")</f>
        <v>N</v>
      </c>
      <c r="D101" s="4" t="str">
        <f ca="1">IFERROR(__xludf.DUMMYFUNCTION("""COMPUTED_VALUE"""),"Lowery, Linda")</f>
        <v>Lowery, Linda</v>
      </c>
      <c r="E101" s="5">
        <f ca="1">IFERROR(__xludf.DUMMYFUNCTION("""COMPUTED_VALUE"""),9781575053707)</f>
        <v>9781575053707</v>
      </c>
      <c r="F101" s="2"/>
      <c r="G101" s="2"/>
      <c r="H101" s="2"/>
    </row>
    <row r="102" spans="1:8" ht="13.15">
      <c r="A102" s="3" t="str">
        <f ca="1">IFERROR(__xludf.DUMMYFUNCTION("""COMPUTED_VALUE"""),"2")</f>
        <v>2</v>
      </c>
      <c r="B102" s="4" t="str">
        <f ca="1">IFERROR(__xludf.DUMMYFUNCTION("""COMPUTED_VALUE"""),"Pedro's Mystery Club")</f>
        <v>Pedro's Mystery Club</v>
      </c>
      <c r="C102" s="3" t="str">
        <f ca="1">IFERROR(__xludf.DUMMYFUNCTION("""COMPUTED_VALUE"""),"F")</f>
        <v>F</v>
      </c>
      <c r="D102" s="4" t="str">
        <f ca="1">IFERROR(__xludf.DUMMYFUNCTION("""COMPUTED_VALUE"""),"Manushkin, Fran")</f>
        <v>Manushkin, Fran</v>
      </c>
      <c r="E102" s="5">
        <f ca="1">IFERROR(__xludf.DUMMYFUNCTION("""COMPUTED_VALUE"""),9781515800880)</f>
        <v>9781515800880</v>
      </c>
      <c r="F102" s="2"/>
      <c r="G102" s="2"/>
      <c r="H102" s="2"/>
    </row>
    <row r="103" spans="1:8" ht="26.45">
      <c r="A103" s="3" t="str">
        <f ca="1">IFERROR(__xludf.DUMMYFUNCTION("""COMPUTED_VALUE"""),"2")</f>
        <v>2</v>
      </c>
      <c r="B103" s="4" t="str">
        <f ca="1">IFERROR(__xludf.DUMMYFUNCTION("""COMPUTED_VALUE"""),"Pete the Cat: Too Cool for School")</f>
        <v>Pete the Cat: Too Cool for School</v>
      </c>
      <c r="C103" s="3" t="str">
        <f ca="1">IFERROR(__xludf.DUMMYFUNCTION("""COMPUTED_VALUE"""),"F")</f>
        <v>F</v>
      </c>
      <c r="D103" s="4" t="str">
        <f ca="1">IFERROR(__xludf.DUMMYFUNCTION("""COMPUTED_VALUE"""),"Dean, Kimberly &amp; Dean, James")</f>
        <v>Dean, Kimberly &amp; Dean, James</v>
      </c>
      <c r="E103" s="5">
        <f ca="1">IFERROR(__xludf.DUMMYFUNCTION("""COMPUTED_VALUE"""),9780062110756)</f>
        <v>9780062110756</v>
      </c>
      <c r="F103" s="2"/>
      <c r="G103" s="2"/>
      <c r="H103" s="2"/>
    </row>
    <row r="104" spans="1:8" ht="13.15">
      <c r="A104" s="3" t="str">
        <f ca="1">IFERROR(__xludf.DUMMYFUNCTION("""COMPUTED_VALUE"""),"2")</f>
        <v>2</v>
      </c>
      <c r="B104" s="4" t="str">
        <f ca="1">IFERROR(__xludf.DUMMYFUNCTION("""COMPUTED_VALUE"""),"Pig Is Big on Books")</f>
        <v>Pig Is Big on Books</v>
      </c>
      <c r="C104" s="3" t="str">
        <f ca="1">IFERROR(__xludf.DUMMYFUNCTION("""COMPUTED_VALUE"""),"F")</f>
        <v>F</v>
      </c>
      <c r="D104" s="4" t="str">
        <f ca="1">IFERROR(__xludf.DUMMYFUNCTION("""COMPUTED_VALUE"""),"Florian, Douglas")</f>
        <v>Florian, Douglas</v>
      </c>
      <c r="E104" s="5">
        <f ca="1">IFERROR(__xludf.DUMMYFUNCTION("""COMPUTED_VALUE"""),9780823434244)</f>
        <v>9780823434244</v>
      </c>
      <c r="F104" s="2"/>
      <c r="G104" s="2"/>
      <c r="H104" s="2"/>
    </row>
    <row r="105" spans="1:8" ht="13.15">
      <c r="A105" s="3" t="str">
        <f ca="1">IFERROR(__xludf.DUMMYFUNCTION("""COMPUTED_VALUE"""),"2")</f>
        <v>2</v>
      </c>
      <c r="B105" s="4" t="str">
        <f ca="1">IFERROR(__xludf.DUMMYFUNCTION("""COMPUTED_VALUE"""),"A Place for Nicolas")</f>
        <v>A Place for Nicolas</v>
      </c>
      <c r="C105" s="3" t="str">
        <f ca="1">IFERROR(__xludf.DUMMYFUNCTION("""COMPUTED_VALUE"""),"F")</f>
        <v>F</v>
      </c>
      <c r="D105" s="4" t="str">
        <f ca="1">IFERROR(__xludf.DUMMYFUNCTION("""COMPUTED_VALUE"""),"Floyd, Lucy")</f>
        <v>Floyd, Lucy</v>
      </c>
      <c r="E105" s="5">
        <f ca="1">IFERROR(__xludf.DUMMYFUNCTION("""COMPUTED_VALUE"""),9780152051495)</f>
        <v>9780152051495</v>
      </c>
      <c r="F105" s="2"/>
      <c r="G105" s="2"/>
      <c r="H105" s="2"/>
    </row>
    <row r="106" spans="1:8" ht="13.15">
      <c r="A106" s="3" t="str">
        <f ca="1">IFERROR(__xludf.DUMMYFUNCTION("""COMPUTED_VALUE"""),"2")</f>
        <v>2</v>
      </c>
      <c r="B106" s="4" t="str">
        <f ca="1">IFERROR(__xludf.DUMMYFUNCTION("""COMPUTED_VALUE"""),"Rabbit and Robot: The Sleepover")</f>
        <v>Rabbit and Robot: The Sleepover</v>
      </c>
      <c r="C106" s="3" t="str">
        <f ca="1">IFERROR(__xludf.DUMMYFUNCTION("""COMPUTED_VALUE"""),"F")</f>
        <v>F</v>
      </c>
      <c r="D106" s="4" t="str">
        <f ca="1">IFERROR(__xludf.DUMMYFUNCTION("""COMPUTED_VALUE"""),"Bell, CeCe")</f>
        <v>Bell, CeCe</v>
      </c>
      <c r="E106" s="5">
        <f ca="1">IFERROR(__xludf.DUMMYFUNCTION("""COMPUTED_VALUE"""),9780763668754)</f>
        <v>9780763668754</v>
      </c>
      <c r="F106" s="2"/>
      <c r="G106" s="2"/>
      <c r="H106" s="2"/>
    </row>
    <row r="107" spans="1:8" ht="13.15">
      <c r="A107" s="3" t="str">
        <f ca="1">IFERROR(__xludf.DUMMYFUNCTION("""COMPUTED_VALUE"""),"2")</f>
        <v>2</v>
      </c>
      <c r="B107" s="4" t="str">
        <f ca="1">IFERROR(__xludf.DUMMYFUNCTION("""COMPUTED_VALUE"""),"Ramona Forever")</f>
        <v>Ramona Forever</v>
      </c>
      <c r="C107" s="3" t="str">
        <f ca="1">IFERROR(__xludf.DUMMYFUNCTION("""COMPUTED_VALUE"""),"F")</f>
        <v>F</v>
      </c>
      <c r="D107" s="4" t="str">
        <f ca="1">IFERROR(__xludf.DUMMYFUNCTION("""COMPUTED_VALUE"""),"Cleary, Beverly")</f>
        <v>Cleary, Beverly</v>
      </c>
      <c r="E107" s="5">
        <f ca="1">IFERROR(__xludf.DUMMYFUNCTION("""COMPUTED_VALUE"""),9780380709601)</f>
        <v>9780380709601</v>
      </c>
      <c r="F107" s="2"/>
      <c r="G107" s="2"/>
      <c r="H107" s="2"/>
    </row>
    <row r="108" spans="1:8" ht="13.15">
      <c r="A108" s="3" t="str">
        <f ca="1">IFERROR(__xludf.DUMMYFUNCTION("""COMPUTED_VALUE"""),"2")</f>
        <v>2</v>
      </c>
      <c r="B108" s="4" t="str">
        <f ca="1">IFERROR(__xludf.DUMMYFUNCTION("""COMPUTED_VALUE"""),"Ramona Quimby, Age 8")</f>
        <v>Ramona Quimby, Age 8</v>
      </c>
      <c r="C108" s="3" t="str">
        <f ca="1">IFERROR(__xludf.DUMMYFUNCTION("""COMPUTED_VALUE"""),"F")</f>
        <v>F</v>
      </c>
      <c r="D108" s="4" t="str">
        <f ca="1">IFERROR(__xludf.DUMMYFUNCTION("""COMPUTED_VALUE"""),"Cleary, Beverly")</f>
        <v>Cleary, Beverly</v>
      </c>
      <c r="E108" s="5">
        <f ca="1">IFERROR(__xludf.DUMMYFUNCTION("""COMPUTED_VALUE"""),9780380709564)</f>
        <v>9780380709564</v>
      </c>
      <c r="F108" s="2"/>
      <c r="G108" s="2"/>
      <c r="H108" s="2"/>
    </row>
    <row r="109" spans="1:8" ht="13.15">
      <c r="A109" s="3" t="str">
        <f ca="1">IFERROR(__xludf.DUMMYFUNCTION("""COMPUTED_VALUE"""),"2")</f>
        <v>2</v>
      </c>
      <c r="B109" s="4" t="str">
        <f ca="1">IFERROR(__xludf.DUMMYFUNCTION("""COMPUTED_VALUE"""),"Ruby Bridges Goes to School: My True Story")</f>
        <v>Ruby Bridges Goes to School: My True Story</v>
      </c>
      <c r="C109" s="3" t="str">
        <f ca="1">IFERROR(__xludf.DUMMYFUNCTION("""COMPUTED_VALUE"""),"N")</f>
        <v>N</v>
      </c>
      <c r="D109" s="4" t="str">
        <f ca="1">IFERROR(__xludf.DUMMYFUNCTION("""COMPUTED_VALUE"""),"Bridges, Ruby")</f>
        <v>Bridges, Ruby</v>
      </c>
      <c r="E109" s="5">
        <f ca="1">IFERROR(__xludf.DUMMYFUNCTION("""COMPUTED_VALUE"""),9780545108553)</f>
        <v>9780545108553</v>
      </c>
      <c r="F109" s="2"/>
      <c r="G109" s="2"/>
      <c r="H109" s="2"/>
    </row>
    <row r="110" spans="1:8" ht="26.45">
      <c r="A110" s="3" t="str">
        <f ca="1">IFERROR(__xludf.DUMMYFUNCTION("""COMPUTED_VALUE"""),"2")</f>
        <v>2</v>
      </c>
      <c r="B110" s="4" t="str">
        <f ca="1">IFERROR(__xludf.DUMMYFUNCTION("""COMPUTED_VALUE"""),"Sabertooths and the Ice Age: A Nonfiction Companion to ""Sunset of the Sabertooth""")</f>
        <v>Sabertooths and the Ice Age: A Nonfiction Companion to "Sunset of the Sabertooth"</v>
      </c>
      <c r="C110" s="3" t="str">
        <f ca="1">IFERROR(__xludf.DUMMYFUNCTION("""COMPUTED_VALUE"""),"N")</f>
        <v>N</v>
      </c>
      <c r="D110" s="4" t="str">
        <f ca="1">IFERROR(__xludf.DUMMYFUNCTION("""COMPUTED_VALUE"""),"Osborne, Mary Pope &amp; Natalie Pope Boyce")</f>
        <v>Osborne, Mary Pope &amp; Natalie Pope Boyce</v>
      </c>
      <c r="E110" s="5">
        <f ca="1">IFERROR(__xludf.DUMMYFUNCTION("""COMPUTED_VALUE"""),9780375823800)</f>
        <v>9780375823800</v>
      </c>
      <c r="F110" s="2"/>
      <c r="G110" s="2"/>
      <c r="H110" s="2"/>
    </row>
    <row r="111" spans="1:8" ht="13.15">
      <c r="A111" s="3" t="str">
        <f ca="1">IFERROR(__xludf.DUMMYFUNCTION("""COMPUTED_VALUE"""),"2")</f>
        <v>2</v>
      </c>
      <c r="B111" s="4" t="str">
        <f ca="1">IFERROR(__xludf.DUMMYFUNCTION("""COMPUTED_VALUE"""),"Sacagawea and the Bravest Deed")</f>
        <v>Sacagawea and the Bravest Deed</v>
      </c>
      <c r="C111" s="3" t="str">
        <f ca="1">IFERROR(__xludf.DUMMYFUNCTION("""COMPUTED_VALUE"""),"F")</f>
        <v>F</v>
      </c>
      <c r="D111" s="4" t="str">
        <f ca="1">IFERROR(__xludf.DUMMYFUNCTION("""COMPUTED_VALUE"""),"Krensky, Stephen")</f>
        <v>Krensky, Stephen</v>
      </c>
      <c r="E111" s="5">
        <f ca="1">IFERROR(__xludf.DUMMYFUNCTION("""COMPUTED_VALUE"""),9780689848032)</f>
        <v>9780689848032</v>
      </c>
      <c r="F111" s="2"/>
      <c r="G111" s="2"/>
      <c r="H111" s="2"/>
    </row>
    <row r="112" spans="1:8" ht="13.15">
      <c r="A112" s="3" t="str">
        <f ca="1">IFERROR(__xludf.DUMMYFUNCTION("""COMPUTED_VALUE"""),"2")</f>
        <v>2</v>
      </c>
      <c r="B112" s="4" t="str">
        <f ca="1">IFERROR(__xludf.DUMMYFUNCTION("""COMPUTED_VALUE"""),"Salamander or Lizard? How Do You Know?")</f>
        <v>Salamander or Lizard? How Do You Know?</v>
      </c>
      <c r="C112" s="3" t="str">
        <f ca="1">IFERROR(__xludf.DUMMYFUNCTION("""COMPUTED_VALUE"""),"N")</f>
        <v>N</v>
      </c>
      <c r="D112" s="4" t="str">
        <f ca="1">IFERROR(__xludf.DUMMYFUNCTION("""COMPUTED_VALUE"""),"Stewart, Melissa")</f>
        <v>Stewart, Melissa</v>
      </c>
      <c r="E112" s="5">
        <f ca="1">IFERROR(__xludf.DUMMYFUNCTION("""COMPUTED_VALUE"""),9781598452389)</f>
        <v>9781598452389</v>
      </c>
      <c r="F112" s="2"/>
      <c r="G112" s="2"/>
      <c r="H112" s="2"/>
    </row>
    <row r="113" spans="1:8" ht="13.15">
      <c r="A113" s="3" t="str">
        <f ca="1">IFERROR(__xludf.DUMMYFUNCTION("""COMPUTED_VALUE"""),"2")</f>
        <v>2</v>
      </c>
      <c r="B113" s="4" t="str">
        <f ca="1">IFERROR(__xludf.DUMMYFUNCTION("""COMPUTED_VALUE"""),"Sea Stars")</f>
        <v>Sea Stars</v>
      </c>
      <c r="C113" s="3" t="str">
        <f ca="1">IFERROR(__xludf.DUMMYFUNCTION("""COMPUTED_VALUE"""),"N")</f>
        <v>N</v>
      </c>
      <c r="D113" s="4" t="str">
        <f ca="1">IFERROR(__xludf.DUMMYFUNCTION("""COMPUTED_VALUE"""),"Nagelhout, Ryan")</f>
        <v>Nagelhout, Ryan</v>
      </c>
      <c r="E113" s="5">
        <f ca="1">IFERROR(__xludf.DUMMYFUNCTION("""COMPUTED_VALUE"""),9781433985720)</f>
        <v>9781433985720</v>
      </c>
      <c r="F113" s="2"/>
      <c r="G113" s="2"/>
      <c r="H113" s="2"/>
    </row>
    <row r="114" spans="1:8" ht="13.15">
      <c r="A114" s="3" t="str">
        <f ca="1">IFERROR(__xludf.DUMMYFUNCTION("""COMPUTED_VALUE"""),"2")</f>
        <v>2</v>
      </c>
      <c r="B114" s="4" t="str">
        <f ca="1">IFERROR(__xludf.DUMMYFUNCTION("""COMPUTED_VALUE"""),"See What a Seal Can Do")</f>
        <v>See What a Seal Can Do</v>
      </c>
      <c r="C114" s="3" t="str">
        <f ca="1">IFERROR(__xludf.DUMMYFUNCTION("""COMPUTED_VALUE"""),"N")</f>
        <v>N</v>
      </c>
      <c r="D114" s="4" t="str">
        <f ca="1">IFERROR(__xludf.DUMMYFUNCTION("""COMPUTED_VALUE"""),"Butterworth, Chris")</f>
        <v>Butterworth, Chris</v>
      </c>
      <c r="E114" s="5">
        <f ca="1">IFERROR(__xludf.DUMMYFUNCTION("""COMPUTED_VALUE"""),9780763676490)</f>
        <v>9780763676490</v>
      </c>
      <c r="F114" s="2"/>
      <c r="G114" s="2"/>
      <c r="H114" s="2"/>
    </row>
    <row r="115" spans="1:8" ht="13.15">
      <c r="A115" s="3" t="str">
        <f ca="1">IFERROR(__xludf.DUMMYFUNCTION("""COMPUTED_VALUE"""),"2")</f>
        <v>2</v>
      </c>
      <c r="B115" s="4" t="str">
        <f ca="1">IFERROR(__xludf.DUMMYFUNCTION("""COMPUTED_VALUE"""),"Shark or Dolphin? How Do You Know?")</f>
        <v>Shark or Dolphin? How Do You Know?</v>
      </c>
      <c r="C115" s="3" t="str">
        <f ca="1">IFERROR(__xludf.DUMMYFUNCTION("""COMPUTED_VALUE"""),"N")</f>
        <v>N</v>
      </c>
      <c r="D115" s="4" t="str">
        <f ca="1">IFERROR(__xludf.DUMMYFUNCTION("""COMPUTED_VALUE"""),"Stewart, Melissa")</f>
        <v>Stewart, Melissa</v>
      </c>
      <c r="E115" s="5">
        <f ca="1">IFERROR(__xludf.DUMMYFUNCTION("""COMPUTED_VALUE"""),9781598452396)</f>
        <v>9781598452396</v>
      </c>
      <c r="F115" s="2"/>
      <c r="G115" s="2"/>
      <c r="H115" s="2"/>
    </row>
    <row r="116" spans="1:8" ht="13.15">
      <c r="A116" s="3" t="str">
        <f ca="1">IFERROR(__xludf.DUMMYFUNCTION("""COMPUTED_VALUE"""),"2")</f>
        <v>2</v>
      </c>
      <c r="B116" s="4" t="str">
        <f ca="1">IFERROR(__xludf.DUMMYFUNCTION("""COMPUTED_VALUE"""),"Sharks")</f>
        <v>Sharks</v>
      </c>
      <c r="C116" s="3" t="str">
        <f ca="1">IFERROR(__xludf.DUMMYFUNCTION("""COMPUTED_VALUE"""),"N")</f>
        <v>N</v>
      </c>
      <c r="D116" s="4" t="str">
        <f ca="1">IFERROR(__xludf.DUMMYFUNCTION("""COMPUTED_VALUE"""),"Nagelhout, Ryan")</f>
        <v>Nagelhout, Ryan</v>
      </c>
      <c r="E116" s="5">
        <f ca="1">IFERROR(__xludf.DUMMYFUNCTION("""COMPUTED_VALUE"""),9781433985768)</f>
        <v>9781433985768</v>
      </c>
      <c r="F116" s="2"/>
      <c r="G116" s="2"/>
      <c r="H116" s="2"/>
    </row>
    <row r="117" spans="1:8" ht="13.15">
      <c r="A117" s="3" t="str">
        <f ca="1">IFERROR(__xludf.DUMMYFUNCTION("""COMPUTED_VALUE"""),"2")</f>
        <v>2</v>
      </c>
      <c r="B117" s="4" t="str">
        <f ca="1">IFERROR(__xludf.DUMMYFUNCTION("""COMPUTED_VALUE"""),"The Skeleton Inside You")</f>
        <v>The Skeleton Inside You</v>
      </c>
      <c r="C117" s="3" t="str">
        <f ca="1">IFERROR(__xludf.DUMMYFUNCTION("""COMPUTED_VALUE"""),"N")</f>
        <v>N</v>
      </c>
      <c r="D117" s="4" t="str">
        <f ca="1">IFERROR(__xludf.DUMMYFUNCTION("""COMPUTED_VALUE"""),"Balestrino, Philip")</f>
        <v>Balestrino, Philip</v>
      </c>
      <c r="E117" s="5">
        <f ca="1">IFERROR(__xludf.DUMMYFUNCTION("""COMPUTED_VALUE"""),9780062382085)</f>
        <v>9780062382085</v>
      </c>
      <c r="F117" s="2"/>
      <c r="G117" s="2"/>
      <c r="H117" s="2"/>
    </row>
    <row r="118" spans="1:8" ht="13.15">
      <c r="A118" s="3" t="str">
        <f ca="1">IFERROR(__xludf.DUMMYFUNCTION("""COMPUTED_VALUE"""),"2")</f>
        <v>2</v>
      </c>
      <c r="B118" s="4" t="str">
        <f ca="1">IFERROR(__xludf.DUMMYFUNCTION("""COMPUTED_VALUE"""),"Snowshoe Thompson")</f>
        <v>Snowshoe Thompson</v>
      </c>
      <c r="C118" s="3" t="str">
        <f ca="1">IFERROR(__xludf.DUMMYFUNCTION("""COMPUTED_VALUE"""),"F")</f>
        <v>F</v>
      </c>
      <c r="D118" s="4" t="str">
        <f ca="1">IFERROR(__xludf.DUMMYFUNCTION("""COMPUTED_VALUE"""),"Levinson, Nancy Smiler")</f>
        <v>Levinson, Nancy Smiler</v>
      </c>
      <c r="E118" s="5">
        <f ca="1">IFERROR(__xludf.DUMMYFUNCTION("""COMPUTED_VALUE"""),9780064442060)</f>
        <v>9780064442060</v>
      </c>
      <c r="F118" s="2"/>
      <c r="G118" s="2"/>
      <c r="H118" s="2"/>
    </row>
    <row r="119" spans="1:8" ht="13.15">
      <c r="A119" s="3" t="str">
        <f ca="1">IFERROR(__xludf.DUMMYFUNCTION("""COMPUTED_VALUE"""),"2")</f>
        <v>2</v>
      </c>
      <c r="B119" s="4" t="str">
        <f ca="1">IFERROR(__xludf.DUMMYFUNCTION("""COMPUTED_VALUE"""),"The Space Mission Adventure")</f>
        <v>The Space Mission Adventure</v>
      </c>
      <c r="C119" s="3" t="str">
        <f ca="1">IFERROR(__xludf.DUMMYFUNCTION("""COMPUTED_VALUE"""),"F")</f>
        <v>F</v>
      </c>
      <c r="D119" s="4" t="str">
        <f ca="1">IFERROR(__xludf.DUMMYFUNCTION("""COMPUTED_VALUE"""),"Draper, Sharon")</f>
        <v>Draper, Sharon</v>
      </c>
      <c r="E119" s="5">
        <f ca="1">IFERROR(__xludf.DUMMYFUNCTION("""COMPUTED_VALUE"""),9781442442269)</f>
        <v>9781442442269</v>
      </c>
      <c r="F119" s="2"/>
      <c r="G119" s="2"/>
      <c r="H119" s="2"/>
    </row>
    <row r="120" spans="1:8" ht="13.15">
      <c r="A120" s="3" t="str">
        <f ca="1">IFERROR(__xludf.DUMMYFUNCTION("""COMPUTED_VALUE"""),"2")</f>
        <v>2</v>
      </c>
      <c r="B120" s="4" t="str">
        <f ca="1">IFERROR(__xludf.DUMMYFUNCTION("""COMPUTED_VALUE"""),"Stink and the Midnight Zombie Walk")</f>
        <v>Stink and the Midnight Zombie Walk</v>
      </c>
      <c r="C120" s="3" t="str">
        <f ca="1">IFERROR(__xludf.DUMMYFUNCTION("""COMPUTED_VALUE"""),"F")</f>
        <v>F</v>
      </c>
      <c r="D120" s="4" t="str">
        <f ca="1">IFERROR(__xludf.DUMMYFUNCTION("""COMPUTED_VALUE"""),"McDonald, Megan")</f>
        <v>McDonald, Megan</v>
      </c>
      <c r="E120" s="5">
        <f ca="1">IFERROR(__xludf.DUMMYFUNCTION("""COMPUTED_VALUE"""),9780763664220)</f>
        <v>9780763664220</v>
      </c>
      <c r="F120" s="2"/>
      <c r="G120" s="2"/>
      <c r="H120" s="2"/>
    </row>
    <row r="121" spans="1:8" ht="13.15">
      <c r="A121" s="3" t="str">
        <f ca="1">IFERROR(__xludf.DUMMYFUNCTION("""COMPUTED_VALUE"""),"2")</f>
        <v>2</v>
      </c>
      <c r="B121" s="4" t="str">
        <f ca="1">IFERROR(__xludf.DUMMYFUNCTION("""COMPUTED_VALUE"""),"Stink and the Ultimate Thumb-Wrestling Smackdown")</f>
        <v>Stink and the Ultimate Thumb-Wrestling Smackdown</v>
      </c>
      <c r="C121" s="3" t="str">
        <f ca="1">IFERROR(__xludf.DUMMYFUNCTION("""COMPUTED_VALUE"""),"F")</f>
        <v>F</v>
      </c>
      <c r="D121" s="4" t="str">
        <f ca="1">IFERROR(__xludf.DUMMYFUNCTION("""COMPUTED_VALUE"""),"McDonald, Megan")</f>
        <v>McDonald, Megan</v>
      </c>
      <c r="E121" s="5">
        <f ca="1">IFERROR(__xludf.DUMMYFUNCTION("""COMPUTED_VALUE"""),9780763664237)</f>
        <v>9780763664237</v>
      </c>
      <c r="F121" s="2"/>
      <c r="G121" s="2"/>
      <c r="H121" s="2"/>
    </row>
    <row r="122" spans="1:8" ht="13.15">
      <c r="A122" s="3" t="str">
        <f ca="1">IFERROR(__xludf.DUMMYFUNCTION("""COMPUTED_VALUE"""),"2")</f>
        <v>2</v>
      </c>
      <c r="B122" s="4" t="str">
        <f ca="1">IFERROR(__xludf.DUMMYFUNCTION("""COMPUTED_VALUE"""),"Stink: The Incredible Shrinking Kid")</f>
        <v>Stink: The Incredible Shrinking Kid</v>
      </c>
      <c r="C122" s="3" t="str">
        <f ca="1">IFERROR(__xludf.DUMMYFUNCTION("""COMPUTED_VALUE"""),"F")</f>
        <v>F</v>
      </c>
      <c r="D122" s="4" t="str">
        <f ca="1">IFERROR(__xludf.DUMMYFUNCTION("""COMPUTED_VALUE"""),"McDonald, Megan")</f>
        <v>McDonald, Megan</v>
      </c>
      <c r="E122" s="5">
        <f ca="1">IFERROR(__xludf.DUMMYFUNCTION("""COMPUTED_VALUE"""),9780763664268)</f>
        <v>9780763664268</v>
      </c>
      <c r="F122" s="2"/>
      <c r="G122" s="2"/>
      <c r="H122" s="2"/>
    </row>
    <row r="123" spans="1:8" ht="13.15">
      <c r="A123" s="3" t="str">
        <f ca="1">IFERROR(__xludf.DUMMYFUNCTION("""COMPUTED_VALUE"""),"2")</f>
        <v>2</v>
      </c>
      <c r="B123" s="4" t="str">
        <f ca="1">IFERROR(__xludf.DUMMYFUNCTION("""COMPUTED_VALUE"""),"Sunset of the Sabertooth")</f>
        <v>Sunset of the Sabertooth</v>
      </c>
      <c r="C123" s="3" t="str">
        <f ca="1">IFERROR(__xludf.DUMMYFUNCTION("""COMPUTED_VALUE"""),"F")</f>
        <v>F</v>
      </c>
      <c r="D123" s="4" t="str">
        <f ca="1">IFERROR(__xludf.DUMMYFUNCTION("""COMPUTED_VALUE"""),"Osborne, Mary Pope")</f>
        <v>Osborne, Mary Pope</v>
      </c>
      <c r="E123" s="5">
        <f ca="1">IFERROR(__xludf.DUMMYFUNCTION("""COMPUTED_VALUE"""),9780679863731)</f>
        <v>9780679863731</v>
      </c>
      <c r="F123" s="2"/>
      <c r="G123" s="2"/>
      <c r="H123" s="2"/>
    </row>
    <row r="124" spans="1:8" ht="13.15">
      <c r="A124" s="3" t="str">
        <f ca="1">IFERROR(__xludf.DUMMYFUNCTION("""COMPUTED_VALUE"""),"2")</f>
        <v>2</v>
      </c>
      <c r="B124" s="4" t="str">
        <f ca="1">IFERROR(__xludf.DUMMYFUNCTION("""COMPUTED_VALUE"""),"Super Fast, Out of Control! (Marvin Redpost)")</f>
        <v>Super Fast, Out of Control! (Marvin Redpost)</v>
      </c>
      <c r="C124" s="3" t="str">
        <f ca="1">IFERROR(__xludf.DUMMYFUNCTION("""COMPUTED_VALUE"""),"F")</f>
        <v>F</v>
      </c>
      <c r="D124" s="4" t="str">
        <f ca="1">IFERROR(__xludf.DUMMYFUNCTION("""COMPUTED_VALUE"""),"Sachar, Louis")</f>
        <v>Sachar, Louis</v>
      </c>
      <c r="E124" s="5">
        <f ca="1">IFERROR(__xludf.DUMMYFUNCTION("""COMPUTED_VALUE"""),9780679890010)</f>
        <v>9780679890010</v>
      </c>
      <c r="F124" s="2"/>
      <c r="G124" s="2"/>
      <c r="H124" s="2"/>
    </row>
    <row r="125" spans="1:8" ht="13.15">
      <c r="A125" s="3" t="str">
        <f ca="1">IFERROR(__xludf.DUMMYFUNCTION("""COMPUTED_VALUE"""),"2")</f>
        <v>2</v>
      </c>
      <c r="B125" s="4" t="str">
        <f ca="1">IFERROR(__xludf.DUMMYFUNCTION("""COMPUTED_VALUE"""),"Tales for Very Picky Eaters")</f>
        <v>Tales for Very Picky Eaters</v>
      </c>
      <c r="C125" s="3" t="str">
        <f ca="1">IFERROR(__xludf.DUMMYFUNCTION("""COMPUTED_VALUE"""),"F")</f>
        <v>F</v>
      </c>
      <c r="D125" s="4" t="str">
        <f ca="1">IFERROR(__xludf.DUMMYFUNCTION("""COMPUTED_VALUE"""),"Schneider, Josh")</f>
        <v>Schneider, Josh</v>
      </c>
      <c r="E125" s="5">
        <f ca="1">IFERROR(__xludf.DUMMYFUNCTION("""COMPUTED_VALUE"""),9780544339149)</f>
        <v>9780544339149</v>
      </c>
      <c r="F125" s="2"/>
      <c r="G125" s="2"/>
      <c r="H125" s="2"/>
    </row>
    <row r="126" spans="1:8" ht="26.45">
      <c r="A126" s="3" t="str">
        <f ca="1">IFERROR(__xludf.DUMMYFUNCTION("""COMPUTED_VALUE"""),"2")</f>
        <v>2</v>
      </c>
      <c r="B126" s="4" t="str">
        <f ca="1">IFERROR(__xludf.DUMMYFUNCTION("""COMPUTED_VALUE"""),"Tarra and Bella: The Elephant and the Dog Who Became Best Friends")</f>
        <v>Tarra and Bella: The Elephant and the Dog Who Became Best Friends</v>
      </c>
      <c r="C126" s="3" t="str">
        <f ca="1">IFERROR(__xludf.DUMMYFUNCTION("""COMPUTED_VALUE"""),"N")</f>
        <v>N</v>
      </c>
      <c r="D126" s="4" t="str">
        <f ca="1">IFERROR(__xludf.DUMMYFUNCTION("""COMPUTED_VALUE"""),"Buckley, Carol")</f>
        <v>Buckley, Carol</v>
      </c>
      <c r="E126" s="5">
        <f ca="1">IFERROR(__xludf.DUMMYFUNCTION("""COMPUTED_VALUE"""),9780147510631)</f>
        <v>9780147510631</v>
      </c>
      <c r="F126" s="2"/>
      <c r="G126" s="2"/>
      <c r="H126" s="2"/>
    </row>
    <row r="127" spans="1:8" ht="13.15">
      <c r="A127" s="3" t="str">
        <f ca="1">IFERROR(__xludf.DUMMYFUNCTION("""COMPUTED_VALUE"""),"2")</f>
        <v>2</v>
      </c>
      <c r="B127" s="4" t="str">
        <f ca="1">IFERROR(__xludf.DUMMYFUNCTION("""COMPUTED_VALUE"""),"This Is the Way We Go to School")</f>
        <v>This Is the Way We Go to School</v>
      </c>
      <c r="C127" s="3" t="str">
        <f ca="1">IFERROR(__xludf.DUMMYFUNCTION("""COMPUTED_VALUE"""),"N")</f>
        <v>N</v>
      </c>
      <c r="D127" s="4" t="str">
        <f ca="1">IFERROR(__xludf.DUMMYFUNCTION("""COMPUTED_VALUE"""),"Baer, Edith")</f>
        <v>Baer, Edith</v>
      </c>
      <c r="E127" s="5">
        <f ca="1">IFERROR(__xludf.DUMMYFUNCTION("""COMPUTED_VALUE"""),9780590431620)</f>
        <v>9780590431620</v>
      </c>
      <c r="F127" s="2"/>
      <c r="G127" s="2"/>
      <c r="H127" s="2"/>
    </row>
    <row r="128" spans="1:8" ht="13.15">
      <c r="A128" s="3" t="str">
        <f ca="1">IFERROR(__xludf.DUMMYFUNCTION("""COMPUTED_VALUE"""),"2")</f>
        <v>2</v>
      </c>
      <c r="B128" s="4" t="str">
        <f ca="1">IFERROR(__xludf.DUMMYFUNCTION("""COMPUTED_VALUE"""),"Three More Stories You Can Read to Your Cat")</f>
        <v>Three More Stories You Can Read to Your Cat</v>
      </c>
      <c r="C128" s="3" t="str">
        <f ca="1">IFERROR(__xludf.DUMMYFUNCTION("""COMPUTED_VALUE"""),"F")</f>
        <v>F</v>
      </c>
      <c r="D128" s="4" t="str">
        <f ca="1">IFERROR(__xludf.DUMMYFUNCTION("""COMPUTED_VALUE"""),"Miller, Sara Swan")</f>
        <v>Miller, Sara Swan</v>
      </c>
      <c r="E128" s="5">
        <f ca="1">IFERROR(__xludf.DUMMYFUNCTION("""COMPUTED_VALUE"""),9780547744483)</f>
        <v>9780547744483</v>
      </c>
      <c r="F128" s="2"/>
      <c r="G128" s="2"/>
      <c r="H128" s="2"/>
    </row>
    <row r="129" spans="1:8" ht="13.15">
      <c r="A129" s="3" t="str">
        <f ca="1">IFERROR(__xludf.DUMMYFUNCTION("""COMPUTED_VALUE"""),"2")</f>
        <v>2</v>
      </c>
      <c r="B129" s="4" t="str">
        <f ca="1">IFERROR(__xludf.DUMMYFUNCTION("""COMPUTED_VALUE"""),"Three Stories You Can Read to Your Cat")</f>
        <v>Three Stories You Can Read to Your Cat</v>
      </c>
      <c r="C129" s="3" t="str">
        <f ca="1">IFERROR(__xludf.DUMMYFUNCTION("""COMPUTED_VALUE"""),"F")</f>
        <v>F</v>
      </c>
      <c r="D129" s="4" t="str">
        <f ca="1">IFERROR(__xludf.DUMMYFUNCTION("""COMPUTED_VALUE"""),"Miller, Sara Swan")</f>
        <v>Miller, Sara Swan</v>
      </c>
      <c r="E129" s="5">
        <f ca="1">IFERROR(__xludf.DUMMYFUNCTION("""COMPUTED_VALUE"""),9780395957523)</f>
        <v>9780395957523</v>
      </c>
      <c r="F129" s="2"/>
      <c r="G129" s="2"/>
      <c r="H129" s="2"/>
    </row>
    <row r="130" spans="1:8" ht="13.15">
      <c r="A130" s="3" t="str">
        <f ca="1">IFERROR(__xludf.DUMMYFUNCTION("""COMPUTED_VALUE"""),"2")</f>
        <v>2</v>
      </c>
      <c r="B130" s="4" t="str">
        <f ca="1">IFERROR(__xludf.DUMMYFUNCTION("""COMPUTED_VALUE"""),"Three Stories You Can Read to Your Dog")</f>
        <v>Three Stories You Can Read to Your Dog</v>
      </c>
      <c r="C130" s="3" t="str">
        <f ca="1">IFERROR(__xludf.DUMMYFUNCTION("""COMPUTED_VALUE"""),"F")</f>
        <v>F</v>
      </c>
      <c r="D130" s="4" t="str">
        <f ca="1">IFERROR(__xludf.DUMMYFUNCTION("""COMPUTED_VALUE"""),"Miller, Sara Swan")</f>
        <v>Miller, Sara Swan</v>
      </c>
      <c r="E130" s="5">
        <f ca="1">IFERROR(__xludf.DUMMYFUNCTION("""COMPUTED_VALUE"""),9780395861356)</f>
        <v>9780395861356</v>
      </c>
      <c r="F130" s="2"/>
      <c r="G130" s="2"/>
      <c r="H130" s="2"/>
    </row>
    <row r="131" spans="1:8" ht="13.15">
      <c r="A131" s="3" t="str">
        <f ca="1">IFERROR(__xludf.DUMMYFUNCTION("""COMPUTED_VALUE"""),"2")</f>
        <v>2</v>
      </c>
      <c r="B131" s="4" t="str">
        <f ca="1">IFERROR(__xludf.DUMMYFUNCTION("""COMPUTED_VALUE"""),"Tiger Is a Scaredy Cat")</f>
        <v>Tiger Is a Scaredy Cat</v>
      </c>
      <c r="C131" s="3" t="str">
        <f ca="1">IFERROR(__xludf.DUMMYFUNCTION("""COMPUTED_VALUE"""),"F")</f>
        <v>F</v>
      </c>
      <c r="D131" s="4" t="str">
        <f ca="1">IFERROR(__xludf.DUMMYFUNCTION("""COMPUTED_VALUE"""),"Phillips, Joan")</f>
        <v>Phillips, Joan</v>
      </c>
      <c r="E131" s="5">
        <f ca="1">IFERROR(__xludf.DUMMYFUNCTION("""COMPUTED_VALUE"""),9780394880563)</f>
        <v>9780394880563</v>
      </c>
      <c r="F131" s="2"/>
      <c r="G131" s="2"/>
      <c r="H131" s="2"/>
    </row>
    <row r="132" spans="1:8" ht="13.15">
      <c r="A132" s="3" t="str">
        <f ca="1">IFERROR(__xludf.DUMMYFUNCTION("""COMPUTED_VALUE"""),"2")</f>
        <v>2</v>
      </c>
      <c r="B132" s="4" t="str">
        <f ca="1">IFERROR(__xludf.DUMMYFUNCTION("""COMPUTED_VALUE"""),"Tomás Rivera")</f>
        <v>Tomás Rivera</v>
      </c>
      <c r="C132" s="3" t="str">
        <f ca="1">IFERROR(__xludf.DUMMYFUNCTION("""COMPUTED_VALUE"""),"N")</f>
        <v>N</v>
      </c>
      <c r="D132" s="4" t="str">
        <f ca="1">IFERROR(__xludf.DUMMYFUNCTION("""COMPUTED_VALUE"""),"Medina, Jane")</f>
        <v>Medina, Jane</v>
      </c>
      <c r="E132" s="5">
        <f ca="1">IFERROR(__xludf.DUMMYFUNCTION("""COMPUTED_VALUE"""),9780152051457)</f>
        <v>9780152051457</v>
      </c>
      <c r="F132" s="2"/>
      <c r="G132" s="2"/>
      <c r="H132" s="2"/>
    </row>
    <row r="133" spans="1:8" ht="13.15">
      <c r="A133" s="3" t="str">
        <f ca="1">IFERROR(__xludf.DUMMYFUNCTION("""COMPUTED_VALUE"""),"2")</f>
        <v>2</v>
      </c>
      <c r="B133" s="4" t="str">
        <f ca="1">IFERROR(__xludf.DUMMYFUNCTION("""COMPUTED_VALUE"""),"Tonight on the Titanic")</f>
        <v>Tonight on the Titanic</v>
      </c>
      <c r="C133" s="3" t="str">
        <f ca="1">IFERROR(__xludf.DUMMYFUNCTION("""COMPUTED_VALUE"""),"F")</f>
        <v>F</v>
      </c>
      <c r="D133" s="4" t="str">
        <f ca="1">IFERROR(__xludf.DUMMYFUNCTION("""COMPUTED_VALUE"""),"Osborne, Mary Pope")</f>
        <v>Osborne, Mary Pope</v>
      </c>
      <c r="E133" s="5">
        <f ca="1">IFERROR(__xludf.DUMMYFUNCTION("""COMPUTED_VALUE"""),9780679890638)</f>
        <v>9780679890638</v>
      </c>
      <c r="F133" s="2"/>
      <c r="G133" s="2"/>
      <c r="H133" s="2"/>
    </row>
    <row r="134" spans="1:8" ht="13.15">
      <c r="A134" s="3" t="str">
        <f ca="1">IFERROR(__xludf.DUMMYFUNCTION("""COMPUTED_VALUE"""),"2")</f>
        <v>2</v>
      </c>
      <c r="B134" s="4" t="str">
        <f ca="1">IFERROR(__xludf.DUMMYFUNCTION("""COMPUTED_VALUE"""),"Trouble According to Humphrey")</f>
        <v>Trouble According to Humphrey</v>
      </c>
      <c r="C134" s="3" t="str">
        <f ca="1">IFERROR(__xludf.DUMMYFUNCTION("""COMPUTED_VALUE"""),"F")</f>
        <v>F</v>
      </c>
      <c r="D134" s="4" t="str">
        <f ca="1">IFERROR(__xludf.DUMMYFUNCTION("""COMPUTED_VALUE"""),"Birney, Betty G")</f>
        <v>Birney, Betty G</v>
      </c>
      <c r="E134" s="5">
        <f ca="1">IFERROR(__xludf.DUMMYFUNCTION("""COMPUTED_VALUE"""),9780142410899)</f>
        <v>9780142410899</v>
      </c>
      <c r="F134" s="2"/>
      <c r="G134" s="2"/>
      <c r="H134" s="2"/>
    </row>
    <row r="135" spans="1:8" ht="13.15">
      <c r="A135" s="3" t="str">
        <f ca="1">IFERROR(__xludf.DUMMYFUNCTION("""COMPUTED_VALUE"""),"2")</f>
        <v>2</v>
      </c>
      <c r="B135" s="4" t="str">
        <f ca="1">IFERROR(__xludf.DUMMYFUNCTION("""COMPUTED_VALUE"""),"Turtles")</f>
        <v>Turtles</v>
      </c>
      <c r="C135" s="3" t="str">
        <f ca="1">IFERROR(__xludf.DUMMYFUNCTION("""COMPUTED_VALUE"""),"N")</f>
        <v>N</v>
      </c>
      <c r="D135" s="4" t="str">
        <f ca="1">IFERROR(__xludf.DUMMYFUNCTION("""COMPUTED_VALUE"""),"Nagelhout, Ryan")</f>
        <v>Nagelhout, Ryan</v>
      </c>
      <c r="E135" s="5">
        <f ca="1">IFERROR(__xludf.DUMMYFUNCTION("""COMPUTED_VALUE"""),9781433985799)</f>
        <v>9781433985799</v>
      </c>
      <c r="F135" s="2"/>
      <c r="G135" s="2"/>
      <c r="H135" s="2"/>
    </row>
    <row r="136" spans="1:8" ht="13.15">
      <c r="A136" s="3" t="str">
        <f ca="1">IFERROR(__xludf.DUMMYFUNCTION("""COMPUTED_VALUE"""),"2")</f>
        <v>2</v>
      </c>
      <c r="B136" s="4" t="str">
        <f ca="1">IFERROR(__xludf.DUMMYFUNCTION("""COMPUTED_VALUE"""),"Vacation Under the Volcano")</f>
        <v>Vacation Under the Volcano</v>
      </c>
      <c r="C136" s="3" t="str">
        <f ca="1">IFERROR(__xludf.DUMMYFUNCTION("""COMPUTED_VALUE"""),"F")</f>
        <v>F</v>
      </c>
      <c r="D136" s="4" t="str">
        <f ca="1">IFERROR(__xludf.DUMMYFUNCTION("""COMPUTED_VALUE"""),"Osborne, Mary Pope")</f>
        <v>Osborne, Mary Pope</v>
      </c>
      <c r="E136" s="5">
        <f ca="1">IFERROR(__xludf.DUMMYFUNCTION("""COMPUTED_VALUE"""),9780679890508)</f>
        <v>9780679890508</v>
      </c>
      <c r="F136" s="2"/>
      <c r="G136" s="2"/>
      <c r="H136" s="2"/>
    </row>
    <row r="137" spans="1:8" ht="13.15">
      <c r="A137" s="3" t="str">
        <f ca="1">IFERROR(__xludf.DUMMYFUNCTION("""COMPUTED_VALUE"""),"2")</f>
        <v>2</v>
      </c>
      <c r="B137" s="4" t="str">
        <f ca="1">IFERROR(__xludf.DUMMYFUNCTION("""COMPUTED_VALUE"""),"Viking Ships At Sunrise")</f>
        <v>Viking Ships At Sunrise</v>
      </c>
      <c r="C137" s="3" t="str">
        <f ca="1">IFERROR(__xludf.DUMMYFUNCTION("""COMPUTED_VALUE"""),"F")</f>
        <v>F</v>
      </c>
      <c r="D137" s="4" t="str">
        <f ca="1">IFERROR(__xludf.DUMMYFUNCTION("""COMPUTED_VALUE"""),"Osborne, Mary Pope")</f>
        <v>Osborne, Mary Pope</v>
      </c>
      <c r="E137" s="5">
        <f ca="1">IFERROR(__xludf.DUMMYFUNCTION("""COMPUTED_VALUE"""),9780679890614)</f>
        <v>9780679890614</v>
      </c>
      <c r="F137" s="2"/>
      <c r="G137" s="2"/>
      <c r="H137" s="2"/>
    </row>
    <row r="138" spans="1:8" ht="26.45">
      <c r="A138" s="3" t="str">
        <f ca="1">IFERROR(__xludf.DUMMYFUNCTION("""COMPUTED_VALUE"""),"2")</f>
        <v>2</v>
      </c>
      <c r="B138" s="4" t="str">
        <f ca="1">IFERROR(__xludf.DUMMYFUNCTION("""COMPUTED_VALUE"""),"Vikings: A Nonfiction Companion to Magic Tree House 15 Viking Ships at Sunrise")</f>
        <v>Vikings: A Nonfiction Companion to Magic Tree House 15 Viking Ships at Sunrise</v>
      </c>
      <c r="C138" s="3" t="str">
        <f ca="1">IFERROR(__xludf.DUMMYFUNCTION("""COMPUTED_VALUE"""),"N")</f>
        <v>N</v>
      </c>
      <c r="D138" s="4" t="str">
        <f ca="1">IFERROR(__xludf.DUMMYFUNCTION("""COMPUTED_VALUE"""),"Osborne, Mary Pope &amp; Natalie Pope Boyce")</f>
        <v>Osborne, Mary Pope &amp; Natalie Pope Boyce</v>
      </c>
      <c r="E138" s="5">
        <f ca="1">IFERROR(__xludf.DUMMYFUNCTION("""COMPUTED_VALUE"""),9780385386388)</f>
        <v>9780385386388</v>
      </c>
      <c r="F138" s="2"/>
      <c r="G138" s="2"/>
      <c r="H138" s="2"/>
    </row>
    <row r="139" spans="1:8" ht="13.15">
      <c r="A139" s="3" t="str">
        <f ca="1">IFERROR(__xludf.DUMMYFUNCTION("""COMPUTED_VALUE"""),"2")</f>
        <v>2</v>
      </c>
      <c r="B139" s="4" t="str">
        <f ca="1">IFERROR(__xludf.DUMMYFUNCTION("""COMPUTED_VALUE"""),"Watch Tulips Grow")</f>
        <v>Watch Tulips Grow</v>
      </c>
      <c r="C139" s="3" t="str">
        <f ca="1">IFERROR(__xludf.DUMMYFUNCTION("""COMPUTED_VALUE"""),"N")</f>
        <v>N</v>
      </c>
      <c r="D139" s="4" t="str">
        <f ca="1">IFERROR(__xludf.DUMMYFUNCTION("""COMPUTED_VALUE"""),"Rajczak, Kristen")</f>
        <v>Rajczak, Kristen</v>
      </c>
      <c r="E139" s="5">
        <f ca="1">IFERROR(__xludf.DUMMYFUNCTION("""COMPUTED_VALUE"""),9781433948466)</f>
        <v>9781433948466</v>
      </c>
      <c r="F139" s="2"/>
      <c r="G139" s="2"/>
      <c r="H139" s="2"/>
    </row>
    <row r="140" spans="1:8" ht="13.15">
      <c r="A140" s="3" t="str">
        <f ca="1">IFERROR(__xludf.DUMMYFUNCTION("""COMPUTED_VALUE"""),"2")</f>
        <v>2</v>
      </c>
      <c r="B140" s="4" t="str">
        <f ca="1">IFERROR(__xludf.DUMMYFUNCTION("""COMPUTED_VALUE"""),"What Lives in a Shell?")</f>
        <v>What Lives in a Shell?</v>
      </c>
      <c r="C140" s="3" t="str">
        <f ca="1">IFERROR(__xludf.DUMMYFUNCTION("""COMPUTED_VALUE"""),"N")</f>
        <v>N</v>
      </c>
      <c r="D140" s="4" t="str">
        <f ca="1">IFERROR(__xludf.DUMMYFUNCTION("""COMPUTED_VALUE"""),"Zoehfeld, Kathleen Weidner")</f>
        <v>Zoehfeld, Kathleen Weidner</v>
      </c>
      <c r="E140" s="5">
        <f ca="1">IFERROR(__xludf.DUMMYFUNCTION("""COMPUTED_VALUE"""),9780062381965)</f>
        <v>9780062381965</v>
      </c>
      <c r="F140" s="2"/>
      <c r="G140" s="2"/>
      <c r="H140" s="2"/>
    </row>
    <row r="141" spans="1:8" ht="13.15">
      <c r="A141" s="3" t="str">
        <f ca="1">IFERROR(__xludf.DUMMYFUNCTION("""COMPUTED_VALUE"""),"2")</f>
        <v>2</v>
      </c>
      <c r="B141" s="4" t="str">
        <f ca="1">IFERROR(__xludf.DUMMYFUNCTION("""COMPUTED_VALUE"""),"What the Moon Is Like")</f>
        <v>What the Moon Is Like</v>
      </c>
      <c r="C141" s="3" t="str">
        <f ca="1">IFERROR(__xludf.DUMMYFUNCTION("""COMPUTED_VALUE"""),"N")</f>
        <v>N</v>
      </c>
      <c r="D141" s="4" t="str">
        <f ca="1">IFERROR(__xludf.DUMMYFUNCTION("""COMPUTED_VALUE"""),"Branley, Franklyn M.")</f>
        <v>Branley, Franklyn M.</v>
      </c>
      <c r="E141" s="5">
        <f ca="1">IFERROR(__xludf.DUMMYFUNCTION("""COMPUTED_VALUE"""),9780064451857)</f>
        <v>9780064451857</v>
      </c>
      <c r="F141" s="2"/>
      <c r="G141" s="2"/>
      <c r="H141" s="2"/>
    </row>
    <row r="142" spans="1:8" ht="13.15">
      <c r="A142" s="3" t="str">
        <f ca="1">IFERROR(__xludf.DUMMYFUNCTION("""COMPUTED_VALUE"""),"2")</f>
        <v>2</v>
      </c>
      <c r="B142" s="4" t="str">
        <f ca="1">IFERROR(__xludf.DUMMYFUNCTION("""COMPUTED_VALUE"""),"Who Do I Look Like?: A Book about Animal Babies")</f>
        <v>Who Do I Look Like?: A Book about Animal Babies</v>
      </c>
      <c r="C142" s="3" t="str">
        <f ca="1">IFERROR(__xludf.DUMMYFUNCTION("""COMPUTED_VALUE"""),"N")</f>
        <v>N</v>
      </c>
      <c r="D142" s="4" t="str">
        <f ca="1">IFERROR(__xludf.DUMMYFUNCTION("""COMPUTED_VALUE"""),"Lundgren, Julie K.")</f>
        <v>Lundgren, Julie K.</v>
      </c>
      <c r="E142" s="5">
        <f ca="1">IFERROR(__xludf.DUMMYFUNCTION("""COMPUTED_VALUE"""),9781617419218)</f>
        <v>9781617419218</v>
      </c>
      <c r="F142" s="2"/>
      <c r="G142" s="2"/>
      <c r="H142" s="2"/>
    </row>
    <row r="143" spans="1:8" ht="13.15">
      <c r="A143" s="3" t="str">
        <f ca="1">IFERROR(__xludf.DUMMYFUNCTION("""COMPUTED_VALUE"""),"2")</f>
        <v>2</v>
      </c>
      <c r="B143" s="4" t="str">
        <f ca="1">IFERROR(__xludf.DUMMYFUNCTION("""COMPUTED_VALUE"""),"Who Eats What? Food Chains and Food Webs")</f>
        <v>Who Eats What? Food Chains and Food Webs</v>
      </c>
      <c r="C143" s="3" t="str">
        <f ca="1">IFERROR(__xludf.DUMMYFUNCTION("""COMPUTED_VALUE"""),"N")</f>
        <v>N</v>
      </c>
      <c r="D143" s="4" t="str">
        <f ca="1">IFERROR(__xludf.DUMMYFUNCTION("""COMPUTED_VALUE"""),"Lauber, Patricia")</f>
        <v>Lauber, Patricia</v>
      </c>
      <c r="E143" s="5">
        <f ca="1">IFERROR(__xludf.DUMMYFUNCTION("""COMPUTED_VALUE"""),9780062382115)</f>
        <v>9780062382115</v>
      </c>
      <c r="F143" s="2"/>
      <c r="G143" s="2"/>
      <c r="H143" s="2"/>
    </row>
    <row r="144" spans="1:8" ht="13.15">
      <c r="A144" s="3" t="str">
        <f ca="1">IFERROR(__xludf.DUMMYFUNCTION("""COMPUTED_VALUE"""),"2")</f>
        <v>2</v>
      </c>
      <c r="B144" s="4" t="str">
        <f ca="1">IFERROR(__xludf.DUMMYFUNCTION("""COMPUTED_VALUE"""),"Who Lives Here? Polar Animals")</f>
        <v>Who Lives Here? Polar Animals</v>
      </c>
      <c r="C144" s="3" t="str">
        <f ca="1">IFERROR(__xludf.DUMMYFUNCTION("""COMPUTED_VALUE"""),"N")</f>
        <v>N</v>
      </c>
      <c r="D144" s="4" t="str">
        <f ca="1">IFERROR(__xludf.DUMMYFUNCTION("""COMPUTED_VALUE"""),"Hodge, Deborah")</f>
        <v>Hodge, Deborah</v>
      </c>
      <c r="E144" s="5">
        <f ca="1">IFERROR(__xludf.DUMMYFUNCTION("""COMPUTED_VALUE"""),9781554530441)</f>
        <v>9781554530441</v>
      </c>
      <c r="F144" s="2"/>
      <c r="G144" s="2"/>
      <c r="H144" s="2"/>
    </row>
    <row r="145" spans="1:8" ht="13.15">
      <c r="A145" s="3" t="str">
        <f ca="1">IFERROR(__xludf.DUMMYFUNCTION("""COMPUTED_VALUE"""),"2")</f>
        <v>2</v>
      </c>
      <c r="B145" s="4" t="str">
        <f ca="1">IFERROR(__xludf.DUMMYFUNCTION("""COMPUTED_VALUE"""),"Zelda and Ivy and the Boy Next Door")</f>
        <v>Zelda and Ivy and the Boy Next Door</v>
      </c>
      <c r="C145" s="3" t="str">
        <f ca="1">IFERROR(__xludf.DUMMYFUNCTION("""COMPUTED_VALUE"""),"F")</f>
        <v>F</v>
      </c>
      <c r="D145" s="4" t="str">
        <f ca="1">IFERROR(__xludf.DUMMYFUNCTION("""COMPUTED_VALUE"""),"Kvasnosky, Laura McGee")</f>
        <v>Kvasnosky, Laura McGee</v>
      </c>
      <c r="E145" s="5">
        <f ca="1">IFERROR(__xludf.DUMMYFUNCTION("""COMPUTED_VALUE"""),9780763671822)</f>
        <v>9780763671822</v>
      </c>
      <c r="F145" s="2"/>
      <c r="G145" s="2"/>
      <c r="H145" s="2"/>
    </row>
    <row r="146" spans="1:8" ht="13.15">
      <c r="A146" s="3" t="str">
        <f ca="1">IFERROR(__xludf.DUMMYFUNCTION("""COMPUTED_VALUE"""),"2")</f>
        <v>2</v>
      </c>
      <c r="B146" s="4" t="str">
        <f ca="1">IFERROR(__xludf.DUMMYFUNCTION("""COMPUTED_VALUE"""),"Zelda and Ivy: The Runaways")</f>
        <v>Zelda and Ivy: The Runaways</v>
      </c>
      <c r="C146" s="3" t="str">
        <f ca="1">IFERROR(__xludf.DUMMYFUNCTION("""COMPUTED_VALUE"""),"F")</f>
        <v>F</v>
      </c>
      <c r="D146" s="4" t="str">
        <f ca="1">IFERROR(__xludf.DUMMYFUNCTION("""COMPUTED_VALUE"""),"Kvasnosky, Laura McGee")</f>
        <v>Kvasnosky, Laura McGee</v>
      </c>
      <c r="E146" s="5">
        <f ca="1">IFERROR(__xludf.DUMMYFUNCTION("""COMPUTED_VALUE"""),9780763666354)</f>
        <v>9780763666354</v>
      </c>
      <c r="F146" s="2"/>
      <c r="G146" s="2"/>
      <c r="H146" s="2"/>
    </row>
    <row r="147" spans="1:8" ht="13.15">
      <c r="A147" s="3" t="str">
        <f ca="1">IFERROR(__xludf.DUMMYFUNCTION("""COMPUTED_VALUE"""),"2")</f>
        <v>2</v>
      </c>
      <c r="B147" s="4" t="str">
        <f ca="1">IFERROR(__xludf.DUMMYFUNCTION("""COMPUTED_VALUE"""),"Zoom in on Bees")</f>
        <v>Zoom in on Bees</v>
      </c>
      <c r="C147" s="3" t="str">
        <f ca="1">IFERROR(__xludf.DUMMYFUNCTION("""COMPUTED_VALUE"""),"N")</f>
        <v>N</v>
      </c>
      <c r="D147" s="4" t="str">
        <f ca="1">IFERROR(__xludf.DUMMYFUNCTION("""COMPUTED_VALUE"""),"Stewart, Melissa")</f>
        <v>Stewart, Melissa</v>
      </c>
      <c r="E147" s="5">
        <f ca="1">IFERROR(__xludf.DUMMYFUNCTION("""COMPUTED_VALUE"""),9781464403637)</f>
        <v>9781464403637</v>
      </c>
      <c r="F147" s="2"/>
      <c r="G147" s="2"/>
      <c r="H147" s="2"/>
    </row>
    <row r="148" spans="1:8" ht="13.15">
      <c r="A148" s="3" t="str">
        <f ca="1">IFERROR(__xludf.DUMMYFUNCTION("""COMPUTED_VALUE"""),"2")</f>
        <v>2</v>
      </c>
      <c r="B148" s="4" t="str">
        <f ca="1">IFERROR(__xludf.DUMMYFUNCTION("""COMPUTED_VALUE"""),"Zoom in on Butterflies")</f>
        <v>Zoom in on Butterflies</v>
      </c>
      <c r="C148" s="3" t="str">
        <f ca="1">IFERROR(__xludf.DUMMYFUNCTION("""COMPUTED_VALUE"""),"N")</f>
        <v>N</v>
      </c>
      <c r="D148" s="4" t="str">
        <f ca="1">IFERROR(__xludf.DUMMYFUNCTION("""COMPUTED_VALUE"""),"Stewart, Melissa")</f>
        <v>Stewart, Melissa</v>
      </c>
      <c r="E148" s="5">
        <f ca="1">IFERROR(__xludf.DUMMYFUNCTION("""COMPUTED_VALUE"""),9781464403651)</f>
        <v>9781464403651</v>
      </c>
      <c r="F148" s="2"/>
      <c r="G148" s="2"/>
      <c r="H148" s="2"/>
    </row>
    <row r="149" spans="1:8" ht="13.15">
      <c r="A149" s="3" t="str">
        <f ca="1">IFERROR(__xludf.DUMMYFUNCTION("""COMPUTED_VALUE"""),"2")</f>
        <v>2</v>
      </c>
      <c r="B149" s="4" t="str">
        <f ca="1">IFERROR(__xludf.DUMMYFUNCTION("""COMPUTED_VALUE"""),"Zoom in on Dragonflies")</f>
        <v>Zoom in on Dragonflies</v>
      </c>
      <c r="C149" s="3" t="str">
        <f ca="1">IFERROR(__xludf.DUMMYFUNCTION("""COMPUTED_VALUE"""),"N")</f>
        <v>N</v>
      </c>
      <c r="D149" s="4" t="str">
        <f ca="1">IFERROR(__xludf.DUMMYFUNCTION("""COMPUTED_VALUE"""),"Stewart, Melissa")</f>
        <v>Stewart, Melissa</v>
      </c>
      <c r="E149" s="5">
        <f ca="1">IFERROR(__xludf.DUMMYFUNCTION("""COMPUTED_VALUE"""),9781464403675)</f>
        <v>9781464403675</v>
      </c>
      <c r="F149" s="2"/>
      <c r="G149" s="2"/>
      <c r="H149" s="2"/>
    </row>
    <row r="150" spans="1:8" ht="13.15">
      <c r="A150" s="3" t="str">
        <f ca="1">IFERROR(__xludf.DUMMYFUNCTION("""COMPUTED_VALUE"""),"2")</f>
        <v>2</v>
      </c>
      <c r="B150" s="4" t="str">
        <f ca="1">IFERROR(__xludf.DUMMYFUNCTION("""COMPUTED_VALUE"""),"Zoom in on Fireflies")</f>
        <v>Zoom in on Fireflies</v>
      </c>
      <c r="C150" s="3" t="str">
        <f ca="1">IFERROR(__xludf.DUMMYFUNCTION("""COMPUTED_VALUE"""),"N")</f>
        <v>N</v>
      </c>
      <c r="D150" s="4" t="str">
        <f ca="1">IFERROR(__xludf.DUMMYFUNCTION("""COMPUTED_VALUE"""),"Stewart, Melissa")</f>
        <v>Stewart, Melissa</v>
      </c>
      <c r="E150" s="5">
        <f ca="1">IFERROR(__xludf.DUMMYFUNCTION("""COMPUTED_VALUE"""),9781464403699)</f>
        <v>9781464403699</v>
      </c>
      <c r="F150" s="2"/>
      <c r="G150" s="2"/>
      <c r="H150" s="2"/>
    </row>
    <row r="151" spans="1:8" ht="13.15">
      <c r="A151" s="3" t="str">
        <f ca="1">IFERROR(__xludf.DUMMYFUNCTION("""COMPUTED_VALUE"""),"2")</f>
        <v>2</v>
      </c>
      <c r="B151" s="4" t="str">
        <f ca="1">IFERROR(__xludf.DUMMYFUNCTION("""COMPUTED_VALUE"""),"Zoom in on Grasshoppers")</f>
        <v>Zoom in on Grasshoppers</v>
      </c>
      <c r="C151" s="3" t="str">
        <f ca="1">IFERROR(__xludf.DUMMYFUNCTION("""COMPUTED_VALUE"""),"N")</f>
        <v>N</v>
      </c>
      <c r="D151" s="4" t="str">
        <f ca="1">IFERROR(__xludf.DUMMYFUNCTION("""COMPUTED_VALUE"""),"Stewart, Melissa")</f>
        <v>Stewart, Melissa</v>
      </c>
      <c r="E151" s="5">
        <f ca="1">IFERROR(__xludf.DUMMYFUNCTION("""COMPUTED_VALUE"""),9781464403712)</f>
        <v>9781464403712</v>
      </c>
      <c r="F151" s="2"/>
      <c r="G151" s="2"/>
      <c r="H151" s="2"/>
    </row>
    <row r="152" spans="1:8" ht="13.15">
      <c r="A152" s="3" t="str">
        <f ca="1">IFERROR(__xludf.DUMMYFUNCTION("""COMPUTED_VALUE"""),"2")</f>
        <v>2</v>
      </c>
      <c r="B152" s="4" t="str">
        <f ca="1">IFERROR(__xludf.DUMMYFUNCTION("""COMPUTED_VALUE"""),"Zoom in on Ladybugs")</f>
        <v>Zoom in on Ladybugs</v>
      </c>
      <c r="C152" s="3" t="str">
        <f ca="1">IFERROR(__xludf.DUMMYFUNCTION("""COMPUTED_VALUE"""),"N")</f>
        <v>N</v>
      </c>
      <c r="D152" s="4" t="str">
        <f ca="1">IFERROR(__xludf.DUMMYFUNCTION("""COMPUTED_VALUE"""),"Stewart, Melissa")</f>
        <v>Stewart, Melissa</v>
      </c>
      <c r="E152" s="5">
        <f ca="1">IFERROR(__xludf.DUMMYFUNCTION("""COMPUTED_VALUE"""),9781464403736)</f>
        <v>9781464403736</v>
      </c>
      <c r="F152" s="2"/>
      <c r="G152" s="2"/>
      <c r="H152" s="2"/>
    </row>
  </sheetData>
  <mergeCells count="1">
    <mergeCell ref="A1:H1"/>
  </mergeCells>
  <conditionalFormatting sqref="A2">
    <cfRule type="expression" dxfId="11" priority="1">
      <formula>B2=""</formula>
    </cfRule>
  </conditionalFormatting>
  <conditionalFormatting sqref="B2:B561">
    <cfRule type="expression" dxfId="10" priority="3">
      <formula>D2=""</formula>
    </cfRule>
  </conditionalFormatting>
  <conditionalFormatting sqref="C2:C561">
    <cfRule type="beginsWith" dxfId="9" priority="2" operator="beginsWith" text="N">
      <formula>LEFT((C2),LEN("N"))=("N")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A518D-01EF-49F6-9FBE-D442AEE63733}">
  <sheetPr>
    <tabColor rgb="FFFF0000"/>
    <outlinePr summaryBelow="0" summaryRight="0"/>
  </sheetPr>
  <dimension ref="A1:G202"/>
  <sheetViews>
    <sheetView workbookViewId="0">
      <pane ySplit="2" topLeftCell="A3" activePane="bottomLeft" state="frozen"/>
      <selection pane="bottomLeft" activeCell="A203" sqref="A203"/>
    </sheetView>
  </sheetViews>
  <sheetFormatPr defaultColWidth="14.42578125" defaultRowHeight="15.75" customHeight="1"/>
  <cols>
    <col min="1" max="1" width="9.140625" style="3" customWidth="1"/>
    <col min="2" max="2" width="48.42578125" style="1" customWidth="1"/>
    <col min="3" max="3" width="9.42578125" style="1" customWidth="1"/>
    <col min="4" max="4" width="25.7109375" style="1" customWidth="1"/>
    <col min="5" max="5" width="18.42578125" style="1" customWidth="1"/>
    <col min="6" max="16384" width="14.42578125" style="1"/>
  </cols>
  <sheetData>
    <row r="1" spans="1:7" ht="15.75" customHeight="1">
      <c r="A1" s="21" t="s">
        <v>6</v>
      </c>
      <c r="B1" s="21"/>
      <c r="C1" s="21"/>
      <c r="D1" s="21"/>
      <c r="E1" s="21"/>
      <c r="F1" s="21"/>
      <c r="G1" s="21"/>
    </row>
    <row r="2" spans="1:7" ht="15.75" customHeight="1">
      <c r="A2" s="9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6"/>
      <c r="G2" s="6"/>
    </row>
    <row r="3" spans="1:7" ht="13.15">
      <c r="A3" s="3" t="str">
        <f ca="1">IFERROR(__xludf.UNSUPPORTED("""COMPUTED_VALUE"""),"3")</f>
        <v>3</v>
      </c>
      <c r="B3" s="4" t="str">
        <f ca="1">IFERROR(__xludf.UNSUPPORTED("""COMPUTED_VALUE"""),"About Rodents: A Guide for Children")</f>
        <v>About Rodents: A Guide for Children</v>
      </c>
      <c r="C3" s="3" t="str">
        <f ca="1">IFERROR(__xludf.UNSUPPORTED("""COMPUTED_VALUE"""),"N")</f>
        <v>N</v>
      </c>
      <c r="D3" s="4" t="str">
        <f ca="1">IFERROR(__xludf.UNSUPPORTED("""COMPUTED_VALUE"""),"Sill, Cathryn")</f>
        <v>Sill, Cathryn</v>
      </c>
      <c r="E3" s="5">
        <f ca="1">IFERROR(__xludf.UNSUPPORTED("""COMPUTED_VALUE"""),9781561459148)</f>
        <v>9781561459148</v>
      </c>
      <c r="F3" s="2"/>
      <c r="G3" s="2"/>
    </row>
    <row r="4" spans="1:7" ht="13.15">
      <c r="A4" s="3" t="str">
        <f ca="1">IFERROR(__xludf.UNSUPPORTED("""COMPUTED_VALUE"""),"3")</f>
        <v>3</v>
      </c>
      <c r="B4" s="4" t="str">
        <f ca="1">IFERROR(__xludf.UNSUPPORTED("""COMPUTED_VALUE"""),"The Absent Author")</f>
        <v>The Absent Author</v>
      </c>
      <c r="C4" s="3" t="str">
        <f ca="1">IFERROR(__xludf.UNSUPPORTED("""COMPUTED_VALUE"""),"F")</f>
        <v>F</v>
      </c>
      <c r="D4" s="4" t="str">
        <f ca="1">IFERROR(__xludf.UNSUPPORTED("""COMPUTED_VALUE"""),"Roy, Ron")</f>
        <v>Roy, Ron</v>
      </c>
      <c r="E4" s="5">
        <f ca="1">IFERROR(__xludf.UNSUPPORTED("""COMPUTED_VALUE"""),9780679881681)</f>
        <v>9780679881681</v>
      </c>
      <c r="F4" s="2"/>
      <c r="G4" s="2"/>
    </row>
    <row r="5" spans="1:7" ht="13.15">
      <c r="A5" s="3" t="str">
        <f ca="1">IFERROR(__xludf.UNSUPPORTED("""COMPUTED_VALUE"""),"3")</f>
        <v>3</v>
      </c>
      <c r="B5" s="4" t="str">
        <f ca="1">IFERROR(__xludf.UNSUPPORTED("""COMPUTED_VALUE"""),"Ah, Music!")</f>
        <v>Ah, Music!</v>
      </c>
      <c r="C5" s="3" t="str">
        <f ca="1">IFERROR(__xludf.UNSUPPORTED("""COMPUTED_VALUE"""),"N")</f>
        <v>N</v>
      </c>
      <c r="D5" s="4" t="str">
        <f ca="1">IFERROR(__xludf.UNSUPPORTED("""COMPUTED_VALUE"""),"Aliki")</f>
        <v>Aliki</v>
      </c>
      <c r="E5" s="5">
        <f ca="1">IFERROR(__xludf.UNSUPPORTED("""COMPUTED_VALUE"""),9780064462365)</f>
        <v>9780064462365</v>
      </c>
      <c r="F5" s="2"/>
      <c r="G5" s="2"/>
    </row>
    <row r="6" spans="1:7" ht="13.15">
      <c r="A6" s="3" t="str">
        <f ca="1">IFERROR(__xludf.UNSUPPORTED("""COMPUTED_VALUE"""),"3")</f>
        <v>3</v>
      </c>
      <c r="B6" s="4" t="str">
        <f ca="1">IFERROR(__xludf.UNSUPPORTED("""COMPUTED_VALUE"""),"Alia's Mission: Saving the Books of Iraq")</f>
        <v>Alia's Mission: Saving the Books of Iraq</v>
      </c>
      <c r="C6" s="3" t="str">
        <f ca="1">IFERROR(__xludf.UNSUPPORTED("""COMPUTED_VALUE"""),"N")</f>
        <v>N</v>
      </c>
      <c r="D6" s="4" t="str">
        <f ca="1">IFERROR(__xludf.UNSUPPORTED("""COMPUTED_VALUE"""),"Stamaty, Mark Alan")</f>
        <v>Stamaty, Mark Alan</v>
      </c>
      <c r="E6" s="5">
        <f ca="1">IFERROR(__xludf.UNSUPPORTED("""COMPUTED_VALUE"""),9780375857638)</f>
        <v>9780375857638</v>
      </c>
      <c r="F6" s="2"/>
      <c r="G6" s="2"/>
    </row>
    <row r="7" spans="1:7" ht="26.45">
      <c r="A7" s="3" t="str">
        <f ca="1">IFERROR(__xludf.UNSUPPORTED("""COMPUTED_VALUE"""),"3")</f>
        <v>3</v>
      </c>
      <c r="B7" s="4" t="str">
        <f ca="1">IFERROR(__xludf.UNSUPPORTED("""COMPUTED_VALUE"""),"Aliens from Earth: When Animals and Plants Invade Other Ecosystems")</f>
        <v>Aliens from Earth: When Animals and Plants Invade Other Ecosystems</v>
      </c>
      <c r="C7" s="3" t="str">
        <f ca="1">IFERROR(__xludf.UNSUPPORTED("""COMPUTED_VALUE"""),"N")</f>
        <v>N</v>
      </c>
      <c r="D7" s="4" t="str">
        <f ca="1">IFERROR(__xludf.UNSUPPORTED("""COMPUTED_VALUE"""),"Batten, Mary")</f>
        <v>Batten, Mary</v>
      </c>
      <c r="E7" s="5">
        <f ca="1">IFERROR(__xludf.UNSUPPORTED("""COMPUTED_VALUE"""),9781561459032)</f>
        <v>9781561459032</v>
      </c>
      <c r="F7" s="2"/>
      <c r="G7" s="2"/>
    </row>
    <row r="8" spans="1:7" ht="26.45">
      <c r="A8" s="3" t="str">
        <f ca="1">IFERROR(__xludf.UNSUPPORTED("""COMPUTED_VALUE"""),"3")</f>
        <v>3</v>
      </c>
      <c r="B8" s="4" t="str">
        <f ca="1">IFERROR(__xludf.UNSUPPORTED("""COMPUTED_VALUE"""),"Amelia to Zora: Twenty-Six Women Who Changed the World")</f>
        <v>Amelia to Zora: Twenty-Six Women Who Changed the World</v>
      </c>
      <c r="C8" s="3" t="str">
        <f ca="1">IFERROR(__xludf.UNSUPPORTED("""COMPUTED_VALUE"""),"N")</f>
        <v>N</v>
      </c>
      <c r="D8" s="4" t="str">
        <f ca="1">IFERROR(__xludf.UNSUPPORTED("""COMPUTED_VALUE"""),"Chin-Lee, Cynthia")</f>
        <v>Chin-Lee, Cynthia</v>
      </c>
      <c r="E8" s="5">
        <f ca="1">IFERROR(__xludf.UNSUPPORTED("""COMPUTED_VALUE"""),9781570915239)</f>
        <v>9781570915239</v>
      </c>
      <c r="F8" s="2"/>
      <c r="G8" s="2"/>
    </row>
    <row r="9" spans="1:7" ht="13.15">
      <c r="A9" s="3" t="str">
        <f ca="1">IFERROR(__xludf.UNSUPPORTED("""COMPUTED_VALUE"""),"3")</f>
        <v>3</v>
      </c>
      <c r="B9" s="4" t="str">
        <f ca="1">IFERROR(__xludf.UNSUPPORTED("""COMPUTED_VALUE"""),"Andrew Lost in the Bathroom")</f>
        <v>Andrew Lost in the Bathroom</v>
      </c>
      <c r="C9" s="3" t="str">
        <f ca="1">IFERROR(__xludf.UNSUPPORTED("""COMPUTED_VALUE"""),"F")</f>
        <v>F</v>
      </c>
      <c r="D9" s="4" t="str">
        <f ca="1">IFERROR(__xludf.UNSUPPORTED("""COMPUTED_VALUE"""),"Greenburg, J. C.")</f>
        <v>Greenburg, J. C.</v>
      </c>
      <c r="E9" s="5">
        <f ca="1">IFERROR(__xludf.UNSUPPORTED("""COMPUTED_VALUE"""),9780375812781)</f>
        <v>9780375812781</v>
      </c>
      <c r="F9" s="2"/>
      <c r="G9" s="2"/>
    </row>
    <row r="10" spans="1:7" ht="13.15">
      <c r="A10" s="3" t="str">
        <f ca="1">IFERROR(__xludf.UNSUPPORTED("""COMPUTED_VALUE"""),"3")</f>
        <v>3</v>
      </c>
      <c r="B10" s="4" t="str">
        <f ca="1">IFERROR(__xludf.UNSUPPORTED("""COMPUTED_VALUE"""),"Andrew Lost in the Garden")</f>
        <v>Andrew Lost in the Garden</v>
      </c>
      <c r="C10" s="3" t="str">
        <f ca="1">IFERROR(__xludf.UNSUPPORTED("""COMPUTED_VALUE"""),"F")</f>
        <v>F</v>
      </c>
      <c r="D10" s="4" t="str">
        <f ca="1">IFERROR(__xludf.UNSUPPORTED("""COMPUTED_VALUE"""),"Greenburg, J. C.")</f>
        <v>Greenburg, J. C.</v>
      </c>
      <c r="E10" s="5">
        <f ca="1">IFERROR(__xludf.UNSUPPORTED("""COMPUTED_VALUE"""),9780375812804)</f>
        <v>9780375812804</v>
      </c>
      <c r="F10" s="2"/>
      <c r="G10" s="2"/>
    </row>
    <row r="11" spans="1:7" ht="13.15">
      <c r="A11" s="3" t="str">
        <f ca="1">IFERROR(__xludf.UNSUPPORTED("""COMPUTED_VALUE"""),"3")</f>
        <v>3</v>
      </c>
      <c r="B11" s="4" t="str">
        <f ca="1">IFERROR(__xludf.UNSUPPORTED("""COMPUTED_VALUE"""),"Andrew Lost in the Kitchen")</f>
        <v>Andrew Lost in the Kitchen</v>
      </c>
      <c r="C11" s="3" t="str">
        <f ca="1">IFERROR(__xludf.UNSUPPORTED("""COMPUTED_VALUE"""),"F")</f>
        <v>F</v>
      </c>
      <c r="D11" s="4" t="str">
        <f ca="1">IFERROR(__xludf.UNSUPPORTED("""COMPUTED_VALUE"""),"Greenburg, J. C.")</f>
        <v>Greenburg, J. C.</v>
      </c>
      <c r="E11" s="5">
        <f ca="1">IFERROR(__xludf.UNSUPPORTED("""COMPUTED_VALUE"""),9780375812798)</f>
        <v>9780375812798</v>
      </c>
      <c r="F11" s="2"/>
      <c r="G11" s="2"/>
    </row>
    <row r="12" spans="1:7" ht="13.15">
      <c r="A12" s="3" t="str">
        <f ca="1">IFERROR(__xludf.UNSUPPORTED("""COMPUTED_VALUE"""),"3")</f>
        <v>3</v>
      </c>
      <c r="B12" s="4" t="str">
        <f ca="1">IFERROR(__xludf.UNSUPPORTED("""COMPUTED_VALUE"""),"Andrew Lost on the Dog")</f>
        <v>Andrew Lost on the Dog</v>
      </c>
      <c r="C12" s="3" t="str">
        <f ca="1">IFERROR(__xludf.UNSUPPORTED("""COMPUTED_VALUE"""),"F")</f>
        <v>F</v>
      </c>
      <c r="D12" s="4" t="str">
        <f ca="1">IFERROR(__xludf.UNSUPPORTED("""COMPUTED_VALUE"""),"Greenburg, J. C.")</f>
        <v>Greenburg, J. C.</v>
      </c>
      <c r="E12" s="5">
        <f ca="1">IFERROR(__xludf.UNSUPPORTED("""COMPUTED_VALUE"""),9780375812774)</f>
        <v>9780375812774</v>
      </c>
      <c r="F12" s="2"/>
      <c r="G12" s="2"/>
    </row>
    <row r="13" spans="1:7" ht="26.45">
      <c r="A13" s="3" t="str">
        <f ca="1">IFERROR(__xludf.UNSUPPORTED("""COMPUTED_VALUE"""),"3")</f>
        <v>3</v>
      </c>
      <c r="B13" s="4" t="str">
        <f ca="1">IFERROR(__xludf.UNSUPPORTED("""COMPUTED_VALUE"""),"Apollo 13: How Three Brave Astronauts Survived a Space Disaster")</f>
        <v>Apollo 13: How Three Brave Astronauts Survived a Space Disaster</v>
      </c>
      <c r="C13" s="3" t="str">
        <f ca="1">IFERROR(__xludf.UNSUPPORTED("""COMPUTED_VALUE"""),"N")</f>
        <v>N</v>
      </c>
      <c r="D13" s="4" t="str">
        <f ca="1">IFERROR(__xludf.UNSUPPORTED("""COMPUTED_VALUE"""),"Zoehfeld, Kathleen Weidner")</f>
        <v>Zoehfeld, Kathleen Weidner</v>
      </c>
      <c r="E13" s="5">
        <f ca="1">IFERROR(__xludf.UNSUPPORTED("""COMPUTED_VALUE"""),9780385391252)</f>
        <v>9780385391252</v>
      </c>
      <c r="F13" s="2"/>
      <c r="G13" s="2"/>
    </row>
    <row r="14" spans="1:7" ht="13.15">
      <c r="A14" s="3" t="str">
        <f ca="1">IFERROR(__xludf.UNSUPPORTED("""COMPUTED_VALUE"""),"3")</f>
        <v>3</v>
      </c>
      <c r="B14" s="4" t="str">
        <f ca="1">IFERROR(__xludf.UNSUPPORTED("""COMPUTED_VALUE"""),"Archie Takes Flight")</f>
        <v>Archie Takes Flight</v>
      </c>
      <c r="C14" s="3" t="str">
        <f ca="1">IFERROR(__xludf.UNSUPPORTED("""COMPUTED_VALUE"""),"F")</f>
        <v>F</v>
      </c>
      <c r="D14" s="4" t="str">
        <f ca="1">IFERROR(__xludf.UNSUPPORTED("""COMPUTED_VALUE"""),"Mass, Wendy")</f>
        <v>Mass, Wendy</v>
      </c>
      <c r="E14" s="5">
        <f ca="1">IFERROR(__xludf.UNSUPPORTED("""COMPUTED_VALUE"""),9780316243209)</f>
        <v>9780316243209</v>
      </c>
      <c r="F14" s="2"/>
      <c r="G14" s="2"/>
    </row>
    <row r="15" spans="1:7" ht="13.15">
      <c r="A15" s="3" t="str">
        <f ca="1">IFERROR(__xludf.UNSUPPORTED("""COMPUTED_VALUE"""),"3")</f>
        <v>3</v>
      </c>
      <c r="B15" s="4" t="str">
        <f ca="1">IFERROR(__xludf.UNSUPPORTED("""COMPUTED_VALUE"""),"Around the World in 8 1/2 Days")</f>
        <v>Around the World in 8 1/2 Days</v>
      </c>
      <c r="C15" s="3" t="str">
        <f ca="1">IFERROR(__xludf.UNSUPPORTED("""COMPUTED_VALUE"""),"F")</f>
        <v>F</v>
      </c>
      <c r="D15" s="4" t="str">
        <f ca="1">IFERROR(__xludf.UNSUPPORTED("""COMPUTED_VALUE"""),"McDonald, Megan")</f>
        <v>McDonald, Megan</v>
      </c>
      <c r="E15" s="5">
        <f ca="1">IFERROR(__xludf.UNSUPPORTED("""COMPUTED_VALUE"""),9780763648633)</f>
        <v>9780763648633</v>
      </c>
      <c r="F15" s="2"/>
      <c r="G15" s="2"/>
    </row>
    <row r="16" spans="1:7" ht="13.15">
      <c r="A16" s="3" t="str">
        <f ca="1">IFERROR(__xludf.UNSUPPORTED("""COMPUTED_VALUE"""),"3")</f>
        <v>3</v>
      </c>
      <c r="B16" s="4" t="str">
        <f ca="1">IFERROR(__xludf.UNSUPPORTED("""COMPUTED_VALUE"""),"Avalanches")</f>
        <v>Avalanches</v>
      </c>
      <c r="C16" s="3" t="str">
        <f ca="1">IFERROR(__xludf.UNSUPPORTED("""COMPUTED_VALUE"""),"N")</f>
        <v>N</v>
      </c>
      <c r="D16" s="4" t="str">
        <f ca="1">IFERROR(__xludf.UNSUPPORTED("""COMPUTED_VALUE"""),"Bullard, Lisa")</f>
        <v>Bullard, Lisa</v>
      </c>
      <c r="E16" s="5">
        <f ca="1">IFERROR(__xludf.UNSUPPORTED("""COMPUTED_VALUE"""),9781580138666)</f>
        <v>9781580138666</v>
      </c>
      <c r="F16" s="2"/>
      <c r="G16" s="2"/>
    </row>
    <row r="17" spans="1:7" ht="13.15">
      <c r="A17" s="3" t="str">
        <f ca="1">IFERROR(__xludf.UNSUPPORTED("""COMPUTED_VALUE"""),"3")</f>
        <v>3</v>
      </c>
      <c r="B17" s="4" t="str">
        <f ca="1">IFERROR(__xludf.UNSUPPORTED("""COMPUTED_VALUE"""),"Babymouse: Dragonslayer")</f>
        <v>Babymouse: Dragonslayer</v>
      </c>
      <c r="C17" s="3" t="str">
        <f ca="1">IFERROR(__xludf.UNSUPPORTED("""COMPUTED_VALUE"""),"F")</f>
        <v>F</v>
      </c>
      <c r="D17" s="4" t="str">
        <f ca="1">IFERROR(__xludf.UNSUPPORTED("""COMPUTED_VALUE"""),"Holm, Jennifer")</f>
        <v>Holm, Jennifer</v>
      </c>
      <c r="E17" s="5">
        <f ca="1">IFERROR(__xludf.UNSUPPORTED("""COMPUTED_VALUE"""),9780375857126)</f>
        <v>9780375857126</v>
      </c>
      <c r="F17" s="2"/>
      <c r="G17" s="2"/>
    </row>
    <row r="18" spans="1:7" ht="13.15">
      <c r="A18" s="3" t="str">
        <f ca="1">IFERROR(__xludf.UNSUPPORTED("""COMPUTED_VALUE"""),"3")</f>
        <v>3</v>
      </c>
      <c r="B18" s="4" t="str">
        <f ca="1">IFERROR(__xludf.UNSUPPORTED("""COMPUTED_VALUE"""),"Babymouse: Our Hero")</f>
        <v>Babymouse: Our Hero</v>
      </c>
      <c r="C18" s="3" t="str">
        <f ca="1">IFERROR(__xludf.UNSUPPORTED("""COMPUTED_VALUE"""),"F")</f>
        <v>F</v>
      </c>
      <c r="D18" s="4" t="str">
        <f ca="1">IFERROR(__xludf.UNSUPPORTED("""COMPUTED_VALUE"""),"Holm, Jennifer  &amp; Matthew")</f>
        <v>Holm, Jennifer  &amp; Matthew</v>
      </c>
      <c r="E18" s="5">
        <f ca="1">IFERROR(__xludf.UNSUPPORTED("""COMPUTED_VALUE"""),9780375832307)</f>
        <v>9780375832307</v>
      </c>
      <c r="F18" s="2"/>
      <c r="G18" s="2"/>
    </row>
    <row r="19" spans="1:7" ht="13.15">
      <c r="A19" s="3" t="str">
        <f ca="1">IFERROR(__xludf.UNSUPPORTED("""COMPUTED_VALUE"""),"3")</f>
        <v>3</v>
      </c>
      <c r="B19" s="4" t="str">
        <f ca="1">IFERROR(__xludf.UNSUPPORTED("""COMPUTED_VALUE"""),"Babymouse: Rock Star")</f>
        <v>Babymouse: Rock Star</v>
      </c>
      <c r="C19" s="3" t="str">
        <f ca="1">IFERROR(__xludf.UNSUPPORTED("""COMPUTED_VALUE"""),"F")</f>
        <v>F</v>
      </c>
      <c r="D19" s="4" t="str">
        <f ca="1">IFERROR(__xludf.UNSUPPORTED("""COMPUTED_VALUE"""),"Holm, Jennifer  &amp; Matthew")</f>
        <v>Holm, Jennifer  &amp; Matthew</v>
      </c>
      <c r="E19" s="5">
        <f ca="1">IFERROR(__xludf.UNSUPPORTED("""COMPUTED_VALUE"""),9780375832321)</f>
        <v>9780375832321</v>
      </c>
      <c r="F19" s="2"/>
      <c r="G19" s="2"/>
    </row>
    <row r="20" spans="1:7" ht="13.15">
      <c r="A20" s="3" t="str">
        <f ca="1">IFERROR(__xludf.UNSUPPORTED("""COMPUTED_VALUE"""),"3")</f>
        <v>3</v>
      </c>
      <c r="B20" s="4" t="str">
        <f ca="1">IFERROR(__xludf.UNSUPPORTED("""COMPUTED_VALUE"""),"Bad Kitty Drawn to Trouble")</f>
        <v>Bad Kitty Drawn to Trouble</v>
      </c>
      <c r="C20" s="3" t="str">
        <f ca="1">IFERROR(__xludf.UNSUPPORTED("""COMPUTED_VALUE"""),"F")</f>
        <v>F</v>
      </c>
      <c r="D20" s="4" t="str">
        <f ca="1">IFERROR(__xludf.UNSUPPORTED("""COMPUTED_VALUE"""),"Bruel, Nick")</f>
        <v>Bruel, Nick</v>
      </c>
      <c r="E20" s="5">
        <f ca="1">IFERROR(__xludf.UNSUPPORTED("""COMPUTED_VALUE"""),9781250056795)</f>
        <v>9781250056795</v>
      </c>
      <c r="F20" s="2"/>
      <c r="G20" s="2"/>
    </row>
    <row r="21" spans="1:7" ht="13.15">
      <c r="A21" s="3" t="str">
        <f ca="1">IFERROR(__xludf.UNSUPPORTED("""COMPUTED_VALUE"""),"3")</f>
        <v>3</v>
      </c>
      <c r="B21" s="4" t="str">
        <f ca="1">IFERROR(__xludf.UNSUPPORTED("""COMPUTED_VALUE"""),"Bad Kitty Goes to the Vet")</f>
        <v>Bad Kitty Goes to the Vet</v>
      </c>
      <c r="C21" s="3" t="str">
        <f ca="1">IFERROR(__xludf.UNSUPPORTED("""COMPUTED_VALUE"""),"F")</f>
        <v>F</v>
      </c>
      <c r="D21" s="4" t="str">
        <f ca="1">IFERROR(__xludf.UNSUPPORTED("""COMPUTED_VALUE"""),"Bruel, Nick")</f>
        <v>Bruel, Nick</v>
      </c>
      <c r="E21" s="5">
        <f ca="1">IFERROR(__xludf.UNSUPPORTED("""COMPUTED_VALUE"""),9781250103802)</f>
        <v>9781250103802</v>
      </c>
      <c r="F21" s="2"/>
      <c r="G21" s="2"/>
    </row>
    <row r="22" spans="1:7" ht="13.15">
      <c r="A22" s="3" t="str">
        <f ca="1">IFERROR(__xludf.UNSUPPORTED("""COMPUTED_VALUE"""),"3")</f>
        <v>3</v>
      </c>
      <c r="B22" s="4" t="str">
        <f ca="1">IFERROR(__xludf.UNSUPPORTED("""COMPUTED_VALUE"""),"The Bald Bandit")</f>
        <v>The Bald Bandit</v>
      </c>
      <c r="C22" s="3" t="str">
        <f ca="1">IFERROR(__xludf.UNSUPPORTED("""COMPUTED_VALUE"""),"F")</f>
        <v>F</v>
      </c>
      <c r="D22" s="4" t="str">
        <f ca="1">IFERROR(__xludf.UNSUPPORTED("""COMPUTED_VALUE"""),"Roy, Ron")</f>
        <v>Roy, Ron</v>
      </c>
      <c r="E22" s="5">
        <f ca="1">IFERROR(__xludf.UNSUPPORTED("""COMPUTED_VALUE"""),9780679884491)</f>
        <v>9780679884491</v>
      </c>
      <c r="F22" s="2"/>
      <c r="G22" s="2"/>
    </row>
    <row r="23" spans="1:7" ht="13.15">
      <c r="A23" s="3" t="str">
        <f ca="1">IFERROR(__xludf.UNSUPPORTED("""COMPUTED_VALUE"""),"3")</f>
        <v>3</v>
      </c>
      <c r="B23" s="4" t="str">
        <f ca="1">IFERROR(__xludf.UNSUPPORTED("""COMPUTED_VALUE"""),"Beavers")</f>
        <v>Beavers</v>
      </c>
      <c r="C23" s="3" t="str">
        <f ca="1">IFERROR(__xludf.UNSUPPORTED("""COMPUTED_VALUE"""),"N")</f>
        <v>N</v>
      </c>
      <c r="D23" s="4" t="str">
        <f ca="1">IFERROR(__xludf.UNSUPPORTED("""COMPUTED_VALUE"""),"Gibbons, Gail")</f>
        <v>Gibbons, Gail</v>
      </c>
      <c r="E23" s="5">
        <f ca="1">IFERROR(__xludf.UNSUPPORTED("""COMPUTED_VALUE"""),9780823431847)</f>
        <v>9780823431847</v>
      </c>
      <c r="F23" s="2"/>
      <c r="G23" s="2"/>
    </row>
    <row r="24" spans="1:7" ht="26.45">
      <c r="A24" s="3" t="str">
        <f ca="1">IFERROR(__xludf.UNSUPPORTED("""COMPUTED_VALUE"""),"3")</f>
        <v>3</v>
      </c>
      <c r="B24" s="4" t="str">
        <f ca="1">IFERROR(__xludf.UNSUPPORTED("""COMPUTED_VALUE"""),"Bink &amp; Gollie")</f>
        <v>Bink &amp; Gollie</v>
      </c>
      <c r="C24" s="3" t="str">
        <f ca="1">IFERROR(__xludf.UNSUPPORTED("""COMPUTED_VALUE"""),"F")</f>
        <v>F</v>
      </c>
      <c r="D24" s="4" t="str">
        <f ca="1">IFERROR(__xludf.UNSUPPORTED("""COMPUTED_VALUE"""),"DiCamillo, Kate &amp; McGhee, Alison")</f>
        <v>DiCamillo, Kate &amp; McGhee, Alison</v>
      </c>
      <c r="E24" s="5">
        <f ca="1">IFERROR(__xludf.UNSUPPORTED("""COMPUTED_VALUE"""),9780763659547)</f>
        <v>9780763659547</v>
      </c>
      <c r="F24" s="2"/>
      <c r="G24" s="2"/>
    </row>
    <row r="25" spans="1:7" ht="13.15">
      <c r="A25" s="3" t="str">
        <f ca="1">IFERROR(__xludf.UNSUPPORTED("""COMPUTED_VALUE"""),"3")</f>
        <v>3</v>
      </c>
      <c r="B25" s="4" t="str">
        <f ca="1">IFERROR(__xludf.UNSUPPORTED("""COMPUTED_VALUE"""),"Birthday Blues")</f>
        <v>Birthday Blues</v>
      </c>
      <c r="C25" s="3" t="str">
        <f ca="1">IFERROR(__xludf.UNSUPPORTED("""COMPUTED_VALUE"""),"F")</f>
        <v>F</v>
      </c>
      <c r="D25" s="4" t="str">
        <f ca="1">IFERROR(__xludf.UNSUPPORTED("""COMPUTED_VALUE"""),"English, Karen")</f>
        <v>English, Karen</v>
      </c>
      <c r="E25" s="5">
        <f ca="1">IFERROR(__xludf.UNSUPPORTED("""COMPUTED_VALUE"""),9780547248936)</f>
        <v>9780547248936</v>
      </c>
      <c r="F25" s="2"/>
      <c r="G25" s="2"/>
    </row>
    <row r="26" spans="1:7" ht="13.15">
      <c r="A26" s="3" t="str">
        <f ca="1">IFERROR(__xludf.UNSUPPORTED("""COMPUTED_VALUE"""),"3")</f>
        <v>3</v>
      </c>
      <c r="B26" s="4" t="str">
        <f ca="1">IFERROR(__xludf.UNSUPPORTED("""COMPUTED_VALUE"""),"Blast Off to Space Camp")</f>
        <v>Blast Off to Space Camp</v>
      </c>
      <c r="C26" s="3" t="str">
        <f ca="1">IFERROR(__xludf.UNSUPPORTED("""COMPUTED_VALUE"""),"N")</f>
        <v>N</v>
      </c>
      <c r="D26" s="4" t="str">
        <f ca="1">IFERROR(__xludf.UNSUPPORTED("""COMPUTED_VALUE"""),"Wolfe, Hillary")</f>
        <v>Wolfe, Hillary</v>
      </c>
      <c r="E26" s="5">
        <f ca="1">IFERROR(__xludf.UNSUPPORTED("""COMPUTED_VALUE"""),9781433336737)</f>
        <v>9781433336737</v>
      </c>
      <c r="F26" s="2"/>
      <c r="G26" s="2"/>
    </row>
    <row r="27" spans="1:7" ht="13.15">
      <c r="A27" s="3" t="str">
        <f ca="1">IFERROR(__xludf.UNSUPPORTED("""COMPUTED_VALUE"""),"3")</f>
        <v>3</v>
      </c>
      <c r="B27" s="4" t="str">
        <f ca="1">IFERROR(__xludf.UNSUPPORTED("""COMPUTED_VALUE"""),"Bluntnose Sixgill Sharks and Other Strange Sharks")</f>
        <v>Bluntnose Sixgill Sharks and Other Strange Sharks</v>
      </c>
      <c r="C27" s="3" t="str">
        <f ca="1">IFERROR(__xludf.UNSUPPORTED("""COMPUTED_VALUE"""),"N")</f>
        <v>N</v>
      </c>
      <c r="D27" s="4" t="str">
        <f ca="1">IFERROR(__xludf.UNSUPPORTED("""COMPUTED_VALUE"""),"Lynette, Rachel")</f>
        <v>Lynette, Rachel</v>
      </c>
      <c r="E27" s="5">
        <f ca="1">IFERROR(__xludf.UNSUPPORTED("""COMPUTED_VALUE"""),9781410942036)</f>
        <v>9781410942036</v>
      </c>
      <c r="F27" s="2"/>
      <c r="G27" s="2"/>
    </row>
    <row r="28" spans="1:7" ht="13.15">
      <c r="A28" s="3" t="str">
        <f ca="1">IFERROR(__xludf.UNSUPPORTED("""COMPUTED_VALUE"""),"3")</f>
        <v>3</v>
      </c>
      <c r="B28" s="4" t="str">
        <f ca="1">IFERROR(__xludf.UNSUPPORTED("""COMPUTED_VALUE"""),"Bokuden and the Bully: A Japanese Folktale")</f>
        <v>Bokuden and the Bully: A Japanese Folktale</v>
      </c>
      <c r="C28" s="3" t="str">
        <f ca="1">IFERROR(__xludf.UNSUPPORTED("""COMPUTED_VALUE"""),"F")</f>
        <v>F</v>
      </c>
      <c r="D28" s="4" t="str">
        <f ca="1">IFERROR(__xludf.UNSUPPORTED("""COMPUTED_VALUE"""),"Krensky, Stephen")</f>
        <v>Krensky, Stephen</v>
      </c>
      <c r="E28" s="5">
        <f ca="1">IFERROR(__xludf.UNSUPPORTED("""COMPUTED_VALUE"""),9781580138475)</f>
        <v>9781580138475</v>
      </c>
      <c r="F28" s="2"/>
      <c r="G28" s="2"/>
    </row>
    <row r="29" spans="1:7" ht="13.15">
      <c r="A29" s="3" t="str">
        <f ca="1">IFERROR(__xludf.UNSUPPORTED("""COMPUTED_VALUE"""),"3")</f>
        <v>3</v>
      </c>
      <c r="B29" s="4" t="str">
        <f ca="1">IFERROR(__xludf.UNSUPPORTED("""COMPUTED_VALUE"""),"Brand New School, Brave New Ruby")</f>
        <v>Brand New School, Brave New Ruby</v>
      </c>
      <c r="C29" s="3" t="str">
        <f ca="1">IFERROR(__xludf.UNSUPPORTED("""COMPUTED_VALUE"""),"F")</f>
        <v>F</v>
      </c>
      <c r="D29" s="4" t="str">
        <f ca="1">IFERROR(__xludf.UNSUPPORTED("""COMPUTED_VALUE"""),"Barnes, Derrick")</f>
        <v>Barnes, Derrick</v>
      </c>
      <c r="E29" s="5">
        <f ca="1">IFERROR(__xludf.UNSUPPORTED("""COMPUTED_VALUE"""),9780545017602)</f>
        <v>9780545017602</v>
      </c>
      <c r="F29" s="2"/>
      <c r="G29" s="2"/>
    </row>
    <row r="30" spans="1:7" ht="13.15">
      <c r="A30" s="3" t="str">
        <f ca="1">IFERROR(__xludf.UNSUPPORTED("""COMPUTED_VALUE"""),"3")</f>
        <v>3</v>
      </c>
      <c r="B30" s="4" t="str">
        <f ca="1">IFERROR(__xludf.UNSUPPORTED("""COMPUTED_VALUE"""),"The Brave Servant: A Tale from China")</f>
        <v>The Brave Servant: A Tale from China</v>
      </c>
      <c r="C30" s="3" t="str">
        <f ca="1">IFERROR(__xludf.UNSUPPORTED("""COMPUTED_VALUE"""),"F")</f>
        <v>F</v>
      </c>
      <c r="D30" s="4" t="str">
        <f ca="1">IFERROR(__xludf.UNSUPPORTED("""COMPUTED_VALUE"""),"Barchers, Suzanne, I.")</f>
        <v>Barchers, Suzanne, I.</v>
      </c>
      <c r="E30" s="5">
        <f ca="1">IFERROR(__xludf.UNSUPPORTED("""COMPUTED_VALUE"""),9781937529574)</f>
        <v>9781937529574</v>
      </c>
      <c r="F30" s="2"/>
      <c r="G30" s="2"/>
    </row>
    <row r="31" spans="1:7" ht="13.15">
      <c r="A31" s="3" t="str">
        <f ca="1">IFERROR(__xludf.UNSUPPORTED("""COMPUTED_VALUE"""),"3")</f>
        <v>3</v>
      </c>
      <c r="B31" s="4" t="str">
        <f ca="1">IFERROR(__xludf.UNSUPPORTED("""COMPUTED_VALUE"""),"Buddy: The First Seeing Eye Dog")</f>
        <v>Buddy: The First Seeing Eye Dog</v>
      </c>
      <c r="C31" s="3" t="str">
        <f ca="1">IFERROR(__xludf.UNSUPPORTED("""COMPUTED_VALUE"""),"N")</f>
        <v>N</v>
      </c>
      <c r="D31" s="4" t="str">
        <f ca="1">IFERROR(__xludf.UNSUPPORTED("""COMPUTED_VALUE"""),"Moore, Eva")</f>
        <v>Moore, Eva</v>
      </c>
      <c r="E31" s="5">
        <f ca="1">IFERROR(__xludf.UNSUPPORTED("""COMPUTED_VALUE"""),9780590265850)</f>
        <v>9780590265850</v>
      </c>
      <c r="F31" s="2"/>
      <c r="G31" s="2"/>
    </row>
    <row r="32" spans="1:7" ht="13.15">
      <c r="A32" s="3" t="str">
        <f ca="1">IFERROR(__xludf.UNSUPPORTED("""COMPUTED_VALUE"""),"3")</f>
        <v>3</v>
      </c>
      <c r="B32" s="4" t="str">
        <f ca="1">IFERROR(__xludf.UNSUPPORTED("""COMPUTED_VALUE"""),"Bug Out! The World's Creepiest, Crawliest Critters")</f>
        <v>Bug Out! The World's Creepiest, Crawliest Critters</v>
      </c>
      <c r="C32" s="3" t="str">
        <f ca="1">IFERROR(__xludf.UNSUPPORTED("""COMPUTED_VALUE"""),"N")</f>
        <v>N</v>
      </c>
      <c r="D32" s="4" t="str">
        <f ca="1">IFERROR(__xludf.UNSUPPORTED("""COMPUTED_VALUE"""),"Clarke, Ginjer L.")</f>
        <v>Clarke, Ginjer L.</v>
      </c>
      <c r="E32" s="5">
        <f ca="1">IFERROR(__xludf.UNSUPPORTED("""COMPUTED_VALUE"""),9780448445434)</f>
        <v>9780448445434</v>
      </c>
      <c r="F32" s="2"/>
      <c r="G32" s="2"/>
    </row>
    <row r="33" spans="1:7" ht="13.15">
      <c r="A33" s="3" t="str">
        <f ca="1">IFERROR(__xludf.UNSUPPORTED("""COMPUTED_VALUE"""),"3")</f>
        <v>3</v>
      </c>
      <c r="B33" s="4" t="str">
        <f ca="1">IFERROR(__xludf.UNSUPPORTED("""COMPUTED_VALUE"""),"Building Beavers")</f>
        <v>Building Beavers</v>
      </c>
      <c r="C33" s="3" t="str">
        <f ca="1">IFERROR(__xludf.UNSUPPORTED("""COMPUTED_VALUE"""),"N")</f>
        <v>N</v>
      </c>
      <c r="D33" s="4" t="str">
        <f ca="1">IFERROR(__xludf.UNSUPPORTED("""COMPUTED_VALUE"""),"Martin-James, Kathleen")</f>
        <v>Martin-James, Kathleen</v>
      </c>
      <c r="E33" s="5">
        <f ca="1">IFERROR(__xludf.UNSUPPORTED("""COMPUTED_VALUE"""),9780822536321)</f>
        <v>9780822536321</v>
      </c>
      <c r="F33" s="2"/>
      <c r="G33" s="2"/>
    </row>
    <row r="34" spans="1:7" ht="13.15">
      <c r="A34" s="3" t="str">
        <f ca="1">IFERROR(__xludf.UNSUPPORTED("""COMPUTED_VALUE"""),"3")</f>
        <v>3</v>
      </c>
      <c r="B34" s="4" t="str">
        <f ca="1">IFERROR(__xludf.UNSUPPORTED("""COMPUTED_VALUE"""),"Buster the Very Shy Dog")</f>
        <v>Buster the Very Shy Dog</v>
      </c>
      <c r="C34" s="3" t="str">
        <f ca="1">IFERROR(__xludf.UNSUPPORTED("""COMPUTED_VALUE"""),"F")</f>
        <v>F</v>
      </c>
      <c r="D34" s="4" t="str">
        <f ca="1">IFERROR(__xludf.UNSUPPORTED("""COMPUTED_VALUE"""),"Bechtold, Lisze")</f>
        <v>Bechtold, Lisze</v>
      </c>
      <c r="E34" s="5">
        <f ca="1">IFERROR(__xludf.UNSUPPORTED("""COMPUTED_VALUE"""),9780544336063)</f>
        <v>9780544336063</v>
      </c>
      <c r="F34" s="2"/>
      <c r="G34" s="2"/>
    </row>
    <row r="35" spans="1:7" ht="13.15">
      <c r="A35" s="3" t="str">
        <f ca="1">IFERROR(__xludf.UNSUPPORTED("""COMPUTED_VALUE"""),"3")</f>
        <v>3</v>
      </c>
      <c r="B35" s="4" t="str">
        <f ca="1">IFERROR(__xludf.UNSUPPORTED("""COMPUTED_VALUE"""),"Buster the Very Shy Dog Finds a Kitten")</f>
        <v>Buster the Very Shy Dog Finds a Kitten</v>
      </c>
      <c r="C35" s="3" t="str">
        <f ca="1">IFERROR(__xludf.UNSUPPORTED("""COMPUTED_VALUE"""),"F")</f>
        <v>F</v>
      </c>
      <c r="D35" s="4" t="str">
        <f ca="1">IFERROR(__xludf.UNSUPPORTED("""COMPUTED_VALUE"""),"Bechtold, Lisze")</f>
        <v>Bechtold, Lisze</v>
      </c>
      <c r="E35" s="5">
        <f ca="1">IFERROR(__xludf.UNSUPPORTED("""COMPUTED_VALUE"""),9780544336056)</f>
        <v>9780544336056</v>
      </c>
      <c r="F35" s="2"/>
      <c r="G35" s="2"/>
    </row>
    <row r="36" spans="1:7" ht="13.15">
      <c r="A36" s="3" t="str">
        <f ca="1">IFERROR(__xludf.UNSUPPORTED("""COMPUTED_VALUE"""),"3")</f>
        <v>3</v>
      </c>
      <c r="B36" s="4" t="str">
        <f ca="1">IFERROR(__xludf.UNSUPPORTED("""COMPUTED_VALUE"""),"Calvin Coconut: Hero of Hawaii")</f>
        <v>Calvin Coconut: Hero of Hawaii</v>
      </c>
      <c r="C36" s="3" t="str">
        <f ca="1">IFERROR(__xludf.UNSUPPORTED("""COMPUTED_VALUE"""),"F")</f>
        <v>F</v>
      </c>
      <c r="D36" s="4" t="str">
        <f ca="1">IFERROR(__xludf.UNSUPPORTED("""COMPUTED_VALUE"""),"Salisbury, Graham")</f>
        <v>Salisbury, Graham</v>
      </c>
      <c r="E36" s="5">
        <f ca="1">IFERROR(__xludf.UNSUPPORTED("""COMPUTED_VALUE"""),9780375865053)</f>
        <v>9780375865053</v>
      </c>
      <c r="F36" s="2"/>
      <c r="G36" s="2"/>
    </row>
    <row r="37" spans="1:7" ht="13.15">
      <c r="A37" s="3" t="str">
        <f ca="1">IFERROR(__xludf.UNSUPPORTED("""COMPUTED_VALUE"""),"3")</f>
        <v>3</v>
      </c>
      <c r="B37" s="4" t="str">
        <f ca="1">IFERROR(__xludf.UNSUPPORTED("""COMPUTED_VALUE"""),"Cam Jansen: The Ghostly Mystery")</f>
        <v>Cam Jansen: The Ghostly Mystery</v>
      </c>
      <c r="C37" s="3" t="str">
        <f ca="1">IFERROR(__xludf.UNSUPPORTED("""COMPUTED_VALUE"""),"F")</f>
        <v>F</v>
      </c>
      <c r="D37" s="4" t="str">
        <f ca="1">IFERROR(__xludf.UNSUPPORTED("""COMPUTED_VALUE"""),"Adler, David A.")</f>
        <v>Adler, David A.</v>
      </c>
      <c r="E37" s="5">
        <f ca="1">IFERROR(__xludf.UNSUPPORTED("""COMPUTED_VALUE"""),9780142402870)</f>
        <v>9780142402870</v>
      </c>
      <c r="F37" s="2"/>
      <c r="G37" s="2"/>
    </row>
    <row r="38" spans="1:7" ht="13.15">
      <c r="A38" s="3" t="str">
        <f ca="1">IFERROR(__xludf.UNSUPPORTED("""COMPUTED_VALUE"""),"3")</f>
        <v>3</v>
      </c>
      <c r="B38" s="4" t="str">
        <f ca="1">IFERROR(__xludf.UNSUPPORTED("""COMPUTED_VALUE"""),"Cam Jansen: The Mystery of Flight 54")</f>
        <v>Cam Jansen: The Mystery of Flight 54</v>
      </c>
      <c r="C38" s="3" t="str">
        <f ca="1">IFERROR(__xludf.UNSUPPORTED("""COMPUTED_VALUE"""),"F")</f>
        <v>F</v>
      </c>
      <c r="D38" s="4" t="str">
        <f ca="1">IFERROR(__xludf.UNSUPPORTED("""COMPUTED_VALUE"""),"Adler, David A.")</f>
        <v>Adler, David A.</v>
      </c>
      <c r="E38" s="5">
        <f ca="1">IFERROR(__xludf.UNSUPPORTED("""COMPUTED_VALUE"""),9780142401798)</f>
        <v>9780142401798</v>
      </c>
      <c r="F38" s="2"/>
      <c r="G38" s="2"/>
    </row>
    <row r="39" spans="1:7" ht="13.15">
      <c r="A39" s="3" t="str">
        <f ca="1">IFERROR(__xludf.UNSUPPORTED("""COMPUTED_VALUE"""),"3")</f>
        <v>3</v>
      </c>
      <c r="B39" s="4" t="str">
        <f ca="1">IFERROR(__xludf.UNSUPPORTED("""COMPUTED_VALUE"""),"Cam Jansen: The Scary Snake Mystery")</f>
        <v>Cam Jansen: The Scary Snake Mystery</v>
      </c>
      <c r="C39" s="3" t="str">
        <f ca="1">IFERROR(__xludf.UNSUPPORTED("""COMPUTED_VALUE"""),"F")</f>
        <v>F</v>
      </c>
      <c r="D39" s="4" t="str">
        <f ca="1">IFERROR(__xludf.UNSUPPORTED("""COMPUTED_VALUE"""),"Adler, David A.")</f>
        <v>Adler, David A.</v>
      </c>
      <c r="E39" s="5">
        <f ca="1">IFERROR(__xludf.UNSUPPORTED("""COMPUTED_VALUE"""),9780142402887)</f>
        <v>9780142402887</v>
      </c>
      <c r="F39" s="2"/>
      <c r="G39" s="2"/>
    </row>
    <row r="40" spans="1:7" ht="13.15">
      <c r="A40" s="3" t="str">
        <f ca="1">IFERROR(__xludf.UNSUPPORTED("""COMPUTED_VALUE"""),"3")</f>
        <v>3</v>
      </c>
      <c r="B40" s="4" t="str">
        <f ca="1">IFERROR(__xludf.UNSUPPORTED("""COMPUTED_VALUE"""),"The Canary Caper")</f>
        <v>The Canary Caper</v>
      </c>
      <c r="C40" s="3" t="str">
        <f ca="1">IFERROR(__xludf.UNSUPPORTED("""COMPUTED_VALUE"""),"F")</f>
        <v>F</v>
      </c>
      <c r="D40" s="4" t="str">
        <f ca="1">IFERROR(__xludf.UNSUPPORTED("""COMPUTED_VALUE"""),"Roy, Ron")</f>
        <v>Roy, Ron</v>
      </c>
      <c r="E40" s="5">
        <f ca="1">IFERROR(__xludf.UNSUPPORTED("""COMPUTED_VALUE"""),9780679885931)</f>
        <v>9780679885931</v>
      </c>
      <c r="F40" s="2"/>
      <c r="G40" s="2"/>
    </row>
    <row r="41" spans="1:7" ht="13.15">
      <c r="A41" s="3" t="str">
        <f ca="1">IFERROR(__xludf.UNSUPPORTED("""COMPUTED_VALUE"""),"3")</f>
        <v>3</v>
      </c>
      <c r="B41" s="4" t="str">
        <f ca="1">IFERROR(__xludf.UNSUPPORTED("""COMPUTED_VALUE"""),"Captain Awesome to the Rescue!")</f>
        <v>Captain Awesome to the Rescue!</v>
      </c>
      <c r="C41" s="3" t="str">
        <f ca="1">IFERROR(__xludf.UNSUPPORTED("""COMPUTED_VALUE"""),"F")</f>
        <v>F</v>
      </c>
      <c r="D41" s="4" t="str">
        <f ca="1">IFERROR(__xludf.UNSUPPORTED("""COMPUTED_VALUE"""),"Kirby, Stan")</f>
        <v>Kirby, Stan</v>
      </c>
      <c r="E41" s="5">
        <f ca="1">IFERROR(__xludf.UNSUPPORTED("""COMPUTED_VALUE"""),9781442435612)</f>
        <v>9781442435612</v>
      </c>
      <c r="F41" s="2"/>
      <c r="G41" s="2"/>
    </row>
    <row r="42" spans="1:7" ht="13.15">
      <c r="A42" s="3" t="str">
        <f ca="1">IFERROR(__xludf.UNSUPPORTED("""COMPUTED_VALUE"""),"3")</f>
        <v>3</v>
      </c>
      <c r="B42" s="4" t="str">
        <f ca="1">IFERROR(__xludf.UNSUPPORTED("""COMPUTED_VALUE"""),"Captain Awesome vs. Nacho Cheese Man")</f>
        <v>Captain Awesome vs. Nacho Cheese Man</v>
      </c>
      <c r="C42" s="3" t="str">
        <f ca="1">IFERROR(__xludf.UNSUPPORTED("""COMPUTED_VALUE"""),"F")</f>
        <v>F</v>
      </c>
      <c r="D42" s="4" t="str">
        <f ca="1">IFERROR(__xludf.UNSUPPORTED("""COMPUTED_VALUE"""),"Kirby, Stan")</f>
        <v>Kirby, Stan</v>
      </c>
      <c r="E42" s="5">
        <f ca="1">IFERROR(__xludf.UNSUPPORTED("""COMPUTED_VALUE"""),9781442435636)</f>
        <v>9781442435636</v>
      </c>
      <c r="F42" s="2"/>
      <c r="G42" s="2"/>
    </row>
    <row r="43" spans="1:7" ht="13.15">
      <c r="A43" s="3" t="str">
        <f ca="1">IFERROR(__xludf.UNSUPPORTED("""COMPUTED_VALUE"""),"3")</f>
        <v>3</v>
      </c>
      <c r="B43" s="4" t="str">
        <f ca="1">IFERROR(__xludf.UNSUPPORTED("""COMPUTED_VALUE"""),"The Case of the Amazing Zelda")</f>
        <v>The Case of the Amazing Zelda</v>
      </c>
      <c r="C43" s="3" t="str">
        <f ca="1">IFERROR(__xludf.UNSUPPORTED("""COMPUTED_VALUE"""),"F")</f>
        <v>F</v>
      </c>
      <c r="D43" s="4" t="str">
        <f ca="1">IFERROR(__xludf.UNSUPPORTED("""COMPUTED_VALUE"""),"Montgomery, Lewis B.")</f>
        <v>Montgomery, Lewis B.</v>
      </c>
      <c r="E43" s="5">
        <f ca="1">IFERROR(__xludf.UNSUPPORTED("""COMPUTED_VALUE"""),9781575652962)</f>
        <v>9781575652962</v>
      </c>
      <c r="F43" s="2"/>
      <c r="G43" s="2"/>
    </row>
    <row r="44" spans="1:7" ht="13.15">
      <c r="A44" s="3" t="str">
        <f ca="1">IFERROR(__xludf.UNSUPPORTED("""COMPUTED_VALUE"""),"3")</f>
        <v>3</v>
      </c>
      <c r="B44" s="4" t="str">
        <f ca="1">IFERROR(__xludf.UNSUPPORTED("""COMPUTED_VALUE"""),"The Case of the Crooked Campaign")</f>
        <v>The Case of the Crooked Campaign</v>
      </c>
      <c r="C44" s="3" t="str">
        <f ca="1">IFERROR(__xludf.UNSUPPORTED("""COMPUTED_VALUE"""),"F")</f>
        <v>F</v>
      </c>
      <c r="D44" s="4" t="str">
        <f ca="1">IFERROR(__xludf.UNSUPPORTED("""COMPUTED_VALUE"""),"Montgomery, Lewis B.")</f>
        <v>Montgomery, Lewis B.</v>
      </c>
      <c r="E44" s="5">
        <f ca="1">IFERROR(__xludf.UNSUPPORTED("""COMPUTED_VALUE"""),9781575654362)</f>
        <v>9781575654362</v>
      </c>
      <c r="F44" s="2"/>
      <c r="G44" s="2"/>
    </row>
    <row r="45" spans="1:7" ht="13.15">
      <c r="A45" s="3" t="str">
        <f ca="1">IFERROR(__xludf.UNSUPPORTED("""COMPUTED_VALUE"""),"3")</f>
        <v>3</v>
      </c>
      <c r="B45" s="4" t="str">
        <f ca="1">IFERROR(__xludf.UNSUPPORTED("""COMPUTED_VALUE"""),"The Case of the Locked Box")</f>
        <v>The Case of the Locked Box</v>
      </c>
      <c r="C45" s="3" t="str">
        <f ca="1">IFERROR(__xludf.UNSUPPORTED("""COMPUTED_VALUE"""),"F")</f>
        <v>F</v>
      </c>
      <c r="D45" s="4" t="str">
        <f ca="1">IFERROR(__xludf.UNSUPPORTED("""COMPUTED_VALUE"""),"Montgomery, Lewis B.")</f>
        <v>Montgomery, Lewis B.</v>
      </c>
      <c r="E45" s="5">
        <f ca="1">IFERROR(__xludf.UNSUPPORTED("""COMPUTED_VALUE"""),9781575656267)</f>
        <v>9781575656267</v>
      </c>
      <c r="F45" s="2"/>
      <c r="G45" s="2"/>
    </row>
    <row r="46" spans="1:7" ht="13.15">
      <c r="A46" s="3" t="str">
        <f ca="1">IFERROR(__xludf.UNSUPPORTED("""COMPUTED_VALUE"""),"3")</f>
        <v>3</v>
      </c>
      <c r="B46" s="4" t="str">
        <f ca="1">IFERROR(__xludf.UNSUPPORTED("""COMPUTED_VALUE"""),"The Case of the Purple Pool")</f>
        <v>The Case of the Purple Pool</v>
      </c>
      <c r="C46" s="3" t="str">
        <f ca="1">IFERROR(__xludf.UNSUPPORTED("""COMPUTED_VALUE"""),"F")</f>
        <v>F</v>
      </c>
      <c r="D46" s="4" t="str">
        <f ca="1">IFERROR(__xludf.UNSUPPORTED("""COMPUTED_VALUE"""),"Montgomery, Lewis B.")</f>
        <v>Montgomery, Lewis B.</v>
      </c>
      <c r="E46" s="5">
        <f ca="1">IFERROR(__xludf.UNSUPPORTED("""COMPUTED_VALUE"""),9781575653426)</f>
        <v>9781575653426</v>
      </c>
      <c r="F46" s="2"/>
      <c r="G46" s="2"/>
    </row>
    <row r="47" spans="1:7" ht="13.15">
      <c r="A47" s="3" t="str">
        <f ca="1">IFERROR(__xludf.UNSUPPORTED("""COMPUTED_VALUE"""),"3")</f>
        <v>3</v>
      </c>
      <c r="B47" s="4" t="str">
        <f ca="1">IFERROR(__xludf.UNSUPPORTED("""COMPUTED_VALUE"""),"Climate")</f>
        <v>Climate</v>
      </c>
      <c r="C47" s="3" t="str">
        <f ca="1">IFERROR(__xludf.UNSUPPORTED("""COMPUTED_VALUE"""),"N")</f>
        <v>N</v>
      </c>
      <c r="D47" s="4" t="str">
        <f ca="1">IFERROR(__xludf.UNSUPPORTED("""COMPUTED_VALUE"""),"Maloof, Torrey")</f>
        <v>Maloof, Torrey</v>
      </c>
      <c r="E47" s="5">
        <f ca="1">IFERROR(__xludf.UNSUPPORTED("""COMPUTED_VALUE"""),9781480746497)</f>
        <v>9781480746497</v>
      </c>
      <c r="F47" s="2"/>
      <c r="G47" s="2"/>
    </row>
    <row r="48" spans="1:7" ht="13.15">
      <c r="A48" s="3" t="str">
        <f ca="1">IFERROR(__xludf.UNSUPPORTED("""COMPUTED_VALUE"""),"3")</f>
        <v>3</v>
      </c>
      <c r="B48" s="4" t="str">
        <f ca="1">IFERROR(__xludf.UNSUPPORTED("""COMPUTED_VALUE"""),"Cody and the Fountain of Happiness")</f>
        <v>Cody and the Fountain of Happiness</v>
      </c>
      <c r="C48" s="3" t="str">
        <f ca="1">IFERROR(__xludf.UNSUPPORTED("""COMPUTED_VALUE"""),"F")</f>
        <v>F</v>
      </c>
      <c r="D48" s="4" t="str">
        <f ca="1">IFERROR(__xludf.UNSUPPORTED("""COMPUTED_VALUE"""),"Springstubb, Tricia")</f>
        <v>Springstubb, Tricia</v>
      </c>
      <c r="E48" s="5">
        <f ca="1">IFERROR(__xludf.UNSUPPORTED("""COMPUTED_VALUE"""),9780763687533)</f>
        <v>9780763687533</v>
      </c>
      <c r="F48" s="2"/>
      <c r="G48" s="2"/>
    </row>
    <row r="49" spans="1:7" ht="13.15">
      <c r="A49" s="3" t="str">
        <f ca="1">IFERROR(__xludf.UNSUPPORTED("""COMPUTED_VALUE"""),"3")</f>
        <v>3</v>
      </c>
      <c r="B49" s="4" t="str">
        <f ca="1">IFERROR(__xludf.UNSUPPORTED("""COMPUTED_VALUE"""),"Comics Squad: Recess!")</f>
        <v>Comics Squad: Recess!</v>
      </c>
      <c r="C49" s="3" t="str">
        <f ca="1">IFERROR(__xludf.UNSUPPORTED("""COMPUTED_VALUE"""),"F")</f>
        <v>F</v>
      </c>
      <c r="D49" s="4" t="str">
        <f ca="1">IFERROR(__xludf.UNSUPPORTED("""COMPUTED_VALUE"""),"Holm, Jennifer  et. al")</f>
        <v>Holm, Jennifer  et. al</v>
      </c>
      <c r="E49" s="5">
        <f ca="1">IFERROR(__xludf.UNSUPPORTED("""COMPUTED_VALUE"""),9780385370035)</f>
        <v>9780385370035</v>
      </c>
      <c r="F49" s="2"/>
      <c r="G49" s="2"/>
    </row>
    <row r="50" spans="1:7" ht="13.15">
      <c r="A50" s="3" t="str">
        <f ca="1">IFERROR(__xludf.UNSUPPORTED("""COMPUTED_VALUE"""),"3")</f>
        <v>3</v>
      </c>
      <c r="B50" s="4" t="str">
        <f ca="1">IFERROR(__xludf.UNSUPPORTED("""COMPUTED_VALUE"""),"Cork and Fuzz: Finders Keepers")</f>
        <v>Cork and Fuzz: Finders Keepers</v>
      </c>
      <c r="C50" s="3" t="str">
        <f ca="1">IFERROR(__xludf.UNSUPPORTED("""COMPUTED_VALUE"""),"F")</f>
        <v>F</v>
      </c>
      <c r="D50" s="4" t="str">
        <f ca="1">IFERROR(__xludf.UNSUPPORTED("""COMPUTED_VALUE"""),"Chaconas, Dori")</f>
        <v>Chaconas, Dori</v>
      </c>
      <c r="E50" s="5">
        <f ca="1">IFERROR(__xludf.UNSUPPORTED("""COMPUTED_VALUE"""),9780142418697)</f>
        <v>9780142418697</v>
      </c>
      <c r="F50" s="2"/>
      <c r="G50" s="2"/>
    </row>
    <row r="51" spans="1:7" ht="13.15">
      <c r="A51" s="3" t="str">
        <f ca="1">IFERROR(__xludf.UNSUPPORTED("""COMPUTED_VALUE"""),"3")</f>
        <v>3</v>
      </c>
      <c r="B51" s="4" t="str">
        <f ca="1">IFERROR(__xludf.UNSUPPORTED("""COMPUTED_VALUE"""),"Cork and Fuzz: No Fooling")</f>
        <v>Cork and Fuzz: No Fooling</v>
      </c>
      <c r="C51" s="3" t="str">
        <f ca="1">IFERROR(__xludf.UNSUPPORTED("""COMPUTED_VALUE"""),"F")</f>
        <v>F</v>
      </c>
      <c r="D51" s="4" t="str">
        <f ca="1">IFERROR(__xludf.UNSUPPORTED("""COMPUTED_VALUE"""),"Chaconas, Dori")</f>
        <v>Chaconas, Dori</v>
      </c>
      <c r="E51" s="5">
        <f ca="1">IFERROR(__xludf.UNSUPPORTED("""COMPUTED_VALUE"""),9780142422625)</f>
        <v>9780142422625</v>
      </c>
      <c r="F51" s="2"/>
      <c r="G51" s="2"/>
    </row>
    <row r="52" spans="1:7" ht="13.15">
      <c r="A52" s="3" t="str">
        <f ca="1">IFERROR(__xludf.UNSUPPORTED("""COMPUTED_VALUE"""),"3")</f>
        <v>3</v>
      </c>
      <c r="B52" s="4" t="str">
        <f ca="1">IFERROR(__xludf.UNSUPPORTED("""COMPUTED_VALUE"""),"Cork and Fuzz: The Babysitters")</f>
        <v>Cork and Fuzz: The Babysitters</v>
      </c>
      <c r="C52" s="3" t="str">
        <f ca="1">IFERROR(__xludf.UNSUPPORTED("""COMPUTED_VALUE"""),"F")</f>
        <v>F</v>
      </c>
      <c r="D52" s="4" t="str">
        <f ca="1">IFERROR(__xludf.UNSUPPORTED("""COMPUTED_VALUE"""),"Chaconas, Dori")</f>
        <v>Chaconas, Dori</v>
      </c>
      <c r="E52" s="5">
        <f ca="1">IFERROR(__xludf.UNSUPPORTED("""COMPUTED_VALUE"""),9780448480503)</f>
        <v>9780448480503</v>
      </c>
      <c r="F52" s="2"/>
      <c r="G52" s="2"/>
    </row>
    <row r="53" spans="1:7" ht="13.15">
      <c r="A53" s="3" t="str">
        <f ca="1">IFERROR(__xludf.UNSUPPORTED("""COMPUTED_VALUE"""),"3")</f>
        <v>3</v>
      </c>
      <c r="B53" s="4" t="str">
        <f ca="1">IFERROR(__xludf.UNSUPPORTED("""COMPUTED_VALUE"""),"Cottontail Rabbits")</f>
        <v>Cottontail Rabbits</v>
      </c>
      <c r="C53" s="3" t="str">
        <f ca="1">IFERROR(__xludf.UNSUPPORTED("""COMPUTED_VALUE"""),"N")</f>
        <v>N</v>
      </c>
      <c r="D53" s="4" t="str">
        <f ca="1">IFERROR(__xludf.UNSUPPORTED("""COMPUTED_VALUE"""),"Ellerbusch Gallagher, Kristin")</f>
        <v>Ellerbusch Gallagher, Kristin</v>
      </c>
      <c r="E53" s="5">
        <f ca="1">IFERROR(__xludf.UNSUPPORTED("""COMPUTED_VALUE"""),9780822536239)</f>
        <v>9780822536239</v>
      </c>
      <c r="F53" s="2"/>
      <c r="G53" s="2"/>
    </row>
    <row r="54" spans="1:7" ht="13.15">
      <c r="A54" s="3" t="str">
        <f ca="1">IFERROR(__xludf.UNSUPPORTED("""COMPUTED_VALUE"""),"3")</f>
        <v>3</v>
      </c>
      <c r="B54" s="4" t="str">
        <f ca="1">IFERROR(__xludf.UNSUPPORTED("""COMPUTED_VALUE"""),"The Cricket in Times Square")</f>
        <v>The Cricket in Times Square</v>
      </c>
      <c r="C54" s="3" t="str">
        <f ca="1">IFERROR(__xludf.UNSUPPORTED("""COMPUTED_VALUE"""),"F")</f>
        <v>F</v>
      </c>
      <c r="D54" s="4" t="str">
        <f ca="1">IFERROR(__xludf.UNSUPPORTED("""COMPUTED_VALUE"""),"Selden, George")</f>
        <v>Selden, George</v>
      </c>
      <c r="E54" s="5">
        <f ca="1">IFERROR(__xludf.UNSUPPORTED("""COMPUTED_VALUE"""),9780312380038)</f>
        <v>9780312380038</v>
      </c>
      <c r="F54" s="2"/>
      <c r="G54" s="2"/>
    </row>
    <row r="55" spans="1:7" ht="13.15">
      <c r="A55" s="3" t="str">
        <f ca="1">IFERROR(__xludf.UNSUPPORTED("""COMPUTED_VALUE"""),"3")</f>
        <v>3</v>
      </c>
      <c r="B55" s="4" t="str">
        <f ca="1">IFERROR(__xludf.UNSUPPORTED("""COMPUTED_VALUE"""),"The Curse of the Cheese Pyramid")</f>
        <v>The Curse of the Cheese Pyramid</v>
      </c>
      <c r="C55" s="3" t="str">
        <f ca="1">IFERROR(__xludf.UNSUPPORTED("""COMPUTED_VALUE"""),"F")</f>
        <v>F</v>
      </c>
      <c r="D55" s="4" t="str">
        <f ca="1">IFERROR(__xludf.UNSUPPORTED("""COMPUTED_VALUE"""),"Stilton, Geronimo")</f>
        <v>Stilton, Geronimo</v>
      </c>
      <c r="E55" s="5">
        <f ca="1">IFERROR(__xludf.UNSUPPORTED("""COMPUTED_VALUE"""),9780439559645)</f>
        <v>9780439559645</v>
      </c>
      <c r="F55" s="2"/>
      <c r="G55" s="2"/>
    </row>
    <row r="56" spans="1:7" ht="13.15">
      <c r="A56" s="3" t="str">
        <f ca="1">IFERROR(__xludf.UNSUPPORTED("""COMPUTED_VALUE"""),"3")</f>
        <v>3</v>
      </c>
      <c r="B56" s="4" t="str">
        <f ca="1">IFERROR(__xludf.UNSUPPORTED("""COMPUTED_VALUE"""),"The Dalai Lama: A Life of Compassion")</f>
        <v>The Dalai Lama: A Life of Compassion</v>
      </c>
      <c r="C56" s="3" t="str">
        <f ca="1">IFERROR(__xludf.UNSUPPORTED("""COMPUTED_VALUE"""),"N")</f>
        <v>N</v>
      </c>
      <c r="D56" s="4" t="str">
        <f ca="1">IFERROR(__xludf.UNSUPPORTED("""COMPUTED_VALUE"""),"Rivera, Sheila")</f>
        <v>Rivera, Sheila</v>
      </c>
      <c r="E56" s="5">
        <f ca="1">IFERROR(__xludf.UNSUPPORTED("""COMPUTED_VALUE"""),9780822564355)</f>
        <v>9780822564355</v>
      </c>
      <c r="F56" s="2"/>
      <c r="G56" s="2"/>
    </row>
    <row r="57" spans="1:7" ht="13.15">
      <c r="A57" s="3" t="str">
        <f ca="1">IFERROR(__xludf.UNSUPPORTED("""COMPUTED_VALUE"""),"3")</f>
        <v>3</v>
      </c>
      <c r="B57" s="4" t="str">
        <f ca="1">IFERROR(__xludf.UNSUPPORTED("""COMPUTED_VALUE"""),"Deadliest Animals")</f>
        <v>Deadliest Animals</v>
      </c>
      <c r="C57" s="3" t="str">
        <f ca="1">IFERROR(__xludf.UNSUPPORTED("""COMPUTED_VALUE"""),"N")</f>
        <v>N</v>
      </c>
      <c r="D57" s="4" t="str">
        <f ca="1">IFERROR(__xludf.UNSUPPORTED("""COMPUTED_VALUE"""),"Stewart, Melissa")</f>
        <v>Stewart, Melissa</v>
      </c>
      <c r="E57" s="5">
        <f ca="1">IFERROR(__xludf.UNSUPPORTED("""COMPUTED_VALUE"""),9781426307577)</f>
        <v>9781426307577</v>
      </c>
      <c r="F57" s="2"/>
      <c r="G57" s="2"/>
    </row>
    <row r="58" spans="1:7" ht="13.15">
      <c r="A58" s="3" t="str">
        <f ca="1">IFERROR(__xludf.UNSUPPORTED("""COMPUTED_VALUE"""),"3")</f>
        <v>3</v>
      </c>
      <c r="B58" s="4" t="str">
        <f ca="1">IFERROR(__xludf.UNSUPPORTED("""COMPUTED_VALUE"""),"Detecting Tsunamis")</f>
        <v>Detecting Tsunamis</v>
      </c>
      <c r="C58" s="3" t="str">
        <f ca="1">IFERROR(__xludf.UNSUPPORTED("""COMPUTED_VALUE"""),"N")</f>
        <v>N</v>
      </c>
      <c r="D58" s="4" t="str">
        <f ca="1">IFERROR(__xludf.UNSUPPORTED("""COMPUTED_VALUE"""),"Ventura, Marne")</f>
        <v>Ventura, Marne</v>
      </c>
      <c r="E58" s="5">
        <f ca="1">IFERROR(__xludf.UNSUPPORTED("""COMPUTED_VALUE"""),9781635170610)</f>
        <v>9781635170610</v>
      </c>
      <c r="F58" s="2"/>
      <c r="G58" s="2"/>
    </row>
    <row r="59" spans="1:7" ht="13.15">
      <c r="A59" s="3" t="str">
        <f ca="1">IFERROR(__xludf.UNSUPPORTED("""COMPUTED_VALUE"""),"3")</f>
        <v>3</v>
      </c>
      <c r="B59" s="4" t="str">
        <f ca="1">IFERROR(__xludf.UNSUPPORTED("""COMPUTED_VALUE"""),"Dog Days")</f>
        <v>Dog Days</v>
      </c>
      <c r="C59" s="3" t="str">
        <f ca="1">IFERROR(__xludf.UNSUPPORTED("""COMPUTED_VALUE"""),"F")</f>
        <v>F</v>
      </c>
      <c r="D59" s="4" t="str">
        <f ca="1">IFERROR(__xludf.UNSUPPORTED("""COMPUTED_VALUE"""),"English, Karen")</f>
        <v>English, Karen</v>
      </c>
      <c r="E59" s="5">
        <f ca="1">IFERROR(__xludf.UNSUPPORTED("""COMPUTED_VALUE"""),9780544339125)</f>
        <v>9780544339125</v>
      </c>
      <c r="F59" s="2"/>
      <c r="G59" s="2"/>
    </row>
    <row r="60" spans="1:7" ht="13.15">
      <c r="A60" s="3" t="str">
        <f ca="1">IFERROR(__xludf.UNSUPPORTED("""COMPUTED_VALUE"""),"3")</f>
        <v>3</v>
      </c>
      <c r="B60" s="4" t="str">
        <f ca="1">IFERROR(__xludf.UNSUPPORTED("""COMPUTED_VALUE"""),"Don't Feed the Geckos")</f>
        <v>Don't Feed the Geckos</v>
      </c>
      <c r="C60" s="3" t="str">
        <f ca="1">IFERROR(__xludf.UNSUPPORTED("""COMPUTED_VALUE"""),"F")</f>
        <v>F</v>
      </c>
      <c r="D60" s="4" t="str">
        <f ca="1">IFERROR(__xludf.UNSUPPORTED("""COMPUTED_VALUE"""),"English, Karen")</f>
        <v>English, Karen</v>
      </c>
      <c r="E60" s="5">
        <f ca="1">IFERROR(__xludf.UNSUPPORTED("""COMPUTED_VALUE"""),9780544810839)</f>
        <v>9780544810839</v>
      </c>
      <c r="F60" s="2"/>
      <c r="G60" s="2"/>
    </row>
    <row r="61" spans="1:7" ht="13.15">
      <c r="A61" s="3" t="str">
        <f ca="1">IFERROR(__xludf.UNSUPPORTED("""COMPUTED_VALUE"""),"3")</f>
        <v>3</v>
      </c>
      <c r="B61" s="4" t="str">
        <f ca="1">IFERROR(__xludf.UNSUPPORTED("""COMPUTED_VALUE"""),"The Dream Stealer")</f>
        <v>The Dream Stealer</v>
      </c>
      <c r="C61" s="3" t="str">
        <f ca="1">IFERROR(__xludf.UNSUPPORTED("""COMPUTED_VALUE"""),"F")</f>
        <v>F</v>
      </c>
      <c r="D61" s="4" t="str">
        <f ca="1">IFERROR(__xludf.UNSUPPORTED("""COMPUTED_VALUE"""),"Fleischmann, Sid")</f>
        <v>Fleischmann, Sid</v>
      </c>
      <c r="E61" s="5">
        <f ca="1">IFERROR(__xludf.UNSUPPORTED("""COMPUTED_VALUE"""),9780061787294)</f>
        <v>9780061787294</v>
      </c>
      <c r="F61" s="2"/>
      <c r="G61" s="2"/>
    </row>
    <row r="62" spans="1:7" ht="13.15">
      <c r="A62" s="3" t="str">
        <f ca="1">IFERROR(__xludf.UNSUPPORTED("""COMPUTED_VALUE"""),"3")</f>
        <v>3</v>
      </c>
      <c r="B62" s="4" t="str">
        <f ca="1">IFERROR(__xludf.UNSUPPORTED("""COMPUTED_VALUE"""),"Elephants of Africa")</f>
        <v>Elephants of Africa</v>
      </c>
      <c r="C62" s="3" t="str">
        <f ca="1">IFERROR(__xludf.UNSUPPORTED("""COMPUTED_VALUE"""),"N")</f>
        <v>N</v>
      </c>
      <c r="D62" s="4" t="str">
        <f ca="1">IFERROR(__xludf.UNSUPPORTED("""COMPUTED_VALUE"""),"Gibbons, Gail")</f>
        <v>Gibbons, Gail</v>
      </c>
      <c r="E62" s="5">
        <f ca="1">IFERROR(__xludf.UNSUPPORTED("""COMPUTED_VALUE"""),9780823422999)</f>
        <v>9780823422999</v>
      </c>
      <c r="F62" s="2"/>
      <c r="G62" s="2"/>
    </row>
    <row r="63" spans="1:7" ht="13.15">
      <c r="A63" s="3" t="str">
        <f ca="1">IFERROR(__xludf.UNSUPPORTED("""COMPUTED_VALUE"""),"3")</f>
        <v>3</v>
      </c>
      <c r="B63" s="4" t="str">
        <f ca="1">IFERROR(__xludf.UNSUPPORTED("""COMPUTED_VALUE"""),"Ellis Island")</f>
        <v>Ellis Island</v>
      </c>
      <c r="C63" s="3" t="str">
        <f ca="1">IFERROR(__xludf.UNSUPPORTED("""COMPUTED_VALUE"""),"N")</f>
        <v>N</v>
      </c>
      <c r="D63" s="4" t="str">
        <f ca="1">IFERROR(__xludf.UNSUPPORTED("""COMPUTED_VALUE"""),"Carney, Elizabeth")</f>
        <v>Carney, Elizabeth</v>
      </c>
      <c r="E63" s="5">
        <f ca="1">IFERROR(__xludf.UNSUPPORTED("""COMPUTED_VALUE"""),9781426323416)</f>
        <v>9781426323416</v>
      </c>
      <c r="F63" s="2"/>
      <c r="G63" s="2"/>
    </row>
    <row r="64" spans="1:7" ht="26.45">
      <c r="A64" s="3" t="str">
        <f ca="1">IFERROR(__xludf.UNSUPPORTED("""COMPUTED_VALUE"""),"3")</f>
        <v>3</v>
      </c>
      <c r="B64" s="4" t="str">
        <f ca="1">IFERROR(__xludf.UNSUPPORTED("""COMPUTED_VALUE"""),"Encyclopedia Brown and the Case of the Mysterious Handprints")</f>
        <v>Encyclopedia Brown and the Case of the Mysterious Handprints</v>
      </c>
      <c r="C64" s="3" t="str">
        <f ca="1">IFERROR(__xludf.UNSUPPORTED("""COMPUTED_VALUE"""),"F")</f>
        <v>F</v>
      </c>
      <c r="D64" s="4" t="str">
        <f ca="1">IFERROR(__xludf.UNSUPPORTED("""COMPUTED_VALUE"""),"Sobol, Donald J.")</f>
        <v>Sobol, Donald J.</v>
      </c>
      <c r="E64" s="5">
        <f ca="1">IFERROR(__xludf.UNSUPPORTED("""COMPUTED_VALUE"""),9780553157390)</f>
        <v>9780553157390</v>
      </c>
      <c r="F64" s="2"/>
      <c r="G64" s="2"/>
    </row>
    <row r="65" spans="1:7" ht="26.45">
      <c r="A65" s="3" t="str">
        <f ca="1">IFERROR(__xludf.UNSUPPORTED("""COMPUTED_VALUE"""),"3")</f>
        <v>3</v>
      </c>
      <c r="B65" s="4" t="str">
        <f ca="1">IFERROR(__xludf.UNSUPPORTED("""COMPUTED_VALUE"""),"Experiments in Forces and Motion with Toys and Everyday Stuff")</f>
        <v>Experiments in Forces and Motion with Toys and Everyday Stuff</v>
      </c>
      <c r="C65" s="3" t="str">
        <f ca="1">IFERROR(__xludf.UNSUPPORTED("""COMPUTED_VALUE"""),"N")</f>
        <v>N</v>
      </c>
      <c r="D65" s="4" t="str">
        <f ca="1">IFERROR(__xludf.UNSUPPORTED("""COMPUTED_VALUE"""),"Sohn, Emily")</f>
        <v>Sohn, Emily</v>
      </c>
      <c r="E65" s="5">
        <f ca="1">IFERROR(__xludf.UNSUPPORTED("""COMPUTED_VALUE"""),9781491450727)</f>
        <v>9781491450727</v>
      </c>
      <c r="F65" s="2"/>
      <c r="G65" s="2"/>
    </row>
    <row r="66" spans="1:7" ht="13.15">
      <c r="A66" s="3" t="str">
        <f ca="1">IFERROR(__xludf.UNSUPPORTED("""COMPUTED_VALUE"""),"3")</f>
        <v>3</v>
      </c>
      <c r="B66" s="4" t="str">
        <f ca="1">IFERROR(__xludf.UNSUPPORTED("""COMPUTED_VALUE"""),"Extreme Babymouse")</f>
        <v>Extreme Babymouse</v>
      </c>
      <c r="C66" s="3" t="str">
        <f ca="1">IFERROR(__xludf.UNSUPPORTED("""COMPUTED_VALUE"""),"F")</f>
        <v>F</v>
      </c>
      <c r="D66" s="4" t="str">
        <f ca="1">IFERROR(__xludf.UNSUPPORTED("""COMPUTED_VALUE"""),"Holm, Jennifer &amp; Matthew")</f>
        <v>Holm, Jennifer &amp; Matthew</v>
      </c>
      <c r="E66" s="5">
        <f ca="1">IFERROR(__xludf.UNSUPPORTED("""COMPUTED_VALUE"""),9780307931603)</f>
        <v>9780307931603</v>
      </c>
      <c r="F66" s="2"/>
      <c r="G66" s="2"/>
    </row>
    <row r="67" spans="1:7" ht="13.15">
      <c r="A67" s="3" t="str">
        <f ca="1">IFERROR(__xludf.UNSUPPORTED("""COMPUTED_VALUE"""),"3")</f>
        <v>3</v>
      </c>
      <c r="B67" s="4" t="str">
        <f ca="1">IFERROR(__xludf.UNSUPPORTED("""COMPUTED_VALUE"""),"Extreme Weather")</f>
        <v>Extreme Weather</v>
      </c>
      <c r="C67" s="3" t="str">
        <f ca="1">IFERROR(__xludf.UNSUPPORTED("""COMPUTED_VALUE"""),"N")</f>
        <v>N</v>
      </c>
      <c r="D67" s="4" t="str">
        <f ca="1">IFERROR(__xludf.UNSUPPORTED("""COMPUTED_VALUE"""),"Maloof, Torrey")</f>
        <v>Maloof, Torrey</v>
      </c>
      <c r="E67" s="5">
        <f ca="1">IFERROR(__xludf.UNSUPPORTED("""COMPUTED_VALUE"""),9781480746473)</f>
        <v>9781480746473</v>
      </c>
      <c r="F67" s="2"/>
      <c r="G67" s="2"/>
    </row>
    <row r="68" spans="1:7" ht="13.15">
      <c r="A68" s="3" t="str">
        <f ca="1">IFERROR(__xludf.UNSUPPORTED("""COMPUTED_VALUE"""),"3")</f>
        <v>3</v>
      </c>
      <c r="B68" s="4" t="str">
        <f ca="1">IFERROR(__xludf.UNSUPPORTED("""COMPUTED_VALUE"""),"The Eye of the Whale: A Rescue Story")</f>
        <v>The Eye of the Whale: A Rescue Story</v>
      </c>
      <c r="C68" s="3" t="str">
        <f ca="1">IFERROR(__xludf.UNSUPPORTED("""COMPUTED_VALUE"""),"N")</f>
        <v>N</v>
      </c>
      <c r="D68" s="4" t="str">
        <f ca="1">IFERROR(__xludf.UNSUPPORTED("""COMPUTED_VALUE"""),"O'Connell, Jennifer")</f>
        <v>O'Connell, Jennifer</v>
      </c>
      <c r="E68" s="5">
        <f ca="1">IFERROR(__xludf.UNSUPPORTED("""COMPUTED_VALUE"""),9780884483953)</f>
        <v>9780884483953</v>
      </c>
      <c r="F68" s="2"/>
      <c r="G68" s="2"/>
    </row>
    <row r="69" spans="1:7" ht="13.15">
      <c r="A69" s="3" t="str">
        <f ca="1">IFERROR(__xludf.UNSUPPORTED("""COMPUTED_VALUE"""),"3")</f>
        <v>3</v>
      </c>
      <c r="B69" s="4" t="str">
        <f ca="1">IFERROR(__xludf.UNSUPPORTED("""COMPUTED_VALUE"""),"Felix Takes the Stage")</f>
        <v>Felix Takes the Stage</v>
      </c>
      <c r="C69" s="3" t="str">
        <f ca="1">IFERROR(__xludf.UNSUPPORTED("""COMPUTED_VALUE"""),"F")</f>
        <v>F</v>
      </c>
      <c r="D69" s="4" t="str">
        <f ca="1">IFERROR(__xludf.UNSUPPORTED("""COMPUTED_VALUE"""),"Lasky, Kathryn")</f>
        <v>Lasky, Kathryn</v>
      </c>
      <c r="E69" s="5">
        <f ca="1">IFERROR(__xludf.UNSUPPORTED("""COMPUTED_VALUE"""),9780545117302)</f>
        <v>9780545117302</v>
      </c>
      <c r="F69" s="2"/>
      <c r="G69" s="2"/>
    </row>
    <row r="70" spans="1:7" ht="13.15">
      <c r="A70" s="3" t="str">
        <f ca="1">IFERROR(__xludf.UNSUPPORTED("""COMPUTED_VALUE"""),"3")</f>
        <v>3</v>
      </c>
      <c r="B70" s="4" t="str">
        <f ca="1">IFERROR(__xludf.UNSUPPORTED("""COMPUTED_VALUE"""),"The Fenway Foul-Up")</f>
        <v>The Fenway Foul-Up</v>
      </c>
      <c r="C70" s="3" t="str">
        <f ca="1">IFERROR(__xludf.UNSUPPORTED("""COMPUTED_VALUE"""),"F")</f>
        <v>F</v>
      </c>
      <c r="D70" s="4" t="str">
        <f ca="1">IFERROR(__xludf.UNSUPPORTED("""COMPUTED_VALUE"""),"Kelly, David A.")</f>
        <v>Kelly, David A.</v>
      </c>
      <c r="E70" s="5">
        <f ca="1">IFERROR(__xludf.UNSUPPORTED("""COMPUTED_VALUE"""),9780375867033)</f>
        <v>9780375867033</v>
      </c>
      <c r="F70" s="2"/>
      <c r="G70" s="2"/>
    </row>
    <row r="71" spans="1:7" ht="13.15">
      <c r="A71" s="3" t="str">
        <f ca="1">IFERROR(__xludf.UNSUPPORTED("""COMPUTED_VALUE"""),"3")</f>
        <v>3</v>
      </c>
      <c r="B71" s="4" t="str">
        <f ca="1">IFERROR(__xludf.UNSUPPORTED("""COMPUTED_VALUE"""),"Fire and Ice: Stories of Winter from Around the World")</f>
        <v>Fire and Ice: Stories of Winter from Around the World</v>
      </c>
      <c r="C71" s="3" t="str">
        <f ca="1">IFERROR(__xludf.UNSUPPORTED("""COMPUTED_VALUE"""),"F")</f>
        <v>F</v>
      </c>
      <c r="D71" s="4" t="str">
        <f ca="1">IFERROR(__xludf.UNSUPPORTED("""COMPUTED_VALUE"""),"Don, Lari")</f>
        <v>Don, Lari</v>
      </c>
      <c r="E71" s="5">
        <f ca="1">IFERROR(__xludf.UNSUPPORTED("""COMPUTED_VALUE"""),9781512413458)</f>
        <v>9781512413458</v>
      </c>
      <c r="F71" s="2"/>
      <c r="G71" s="2"/>
    </row>
    <row r="72" spans="1:7" ht="13.15">
      <c r="A72" s="3" t="str">
        <f ca="1">IFERROR(__xludf.UNSUPPORTED("""COMPUTED_VALUE"""),"3")</f>
        <v>3</v>
      </c>
      <c r="B72" s="4" t="str">
        <f ca="1">IFERROR(__xludf.UNSUPPORTED("""COMPUTED_VALUE"""),"Firefighters: Then and Now")</f>
        <v>Firefighters: Then and Now</v>
      </c>
      <c r="C72" s="3" t="str">
        <f ca="1">IFERROR(__xludf.UNSUPPORTED("""COMPUTED_VALUE"""),"N")</f>
        <v>N</v>
      </c>
      <c r="D72" s="4" t="str">
        <f ca="1">IFERROR(__xludf.UNSUPPORTED("""COMPUTED_VALUE"""),"Settle, Melissa A.")</f>
        <v>Settle, Melissa A.</v>
      </c>
      <c r="E72" s="5">
        <f ca="1">IFERROR(__xludf.UNSUPPORTED("""COMPUTED_VALUE"""),9780743993715)</f>
        <v>9780743993715</v>
      </c>
      <c r="F72" s="2"/>
      <c r="G72" s="2"/>
    </row>
    <row r="73" spans="1:7" ht="13.15">
      <c r="A73" s="3" t="str">
        <f ca="1">IFERROR(__xludf.UNSUPPORTED("""COMPUTED_VALUE"""),"3")</f>
        <v>3</v>
      </c>
      <c r="B73" s="4" t="str">
        <f ca="1">IFERROR(__xludf.UNSUPPORTED("""COMPUTED_VALUE"""),"Florence Nightingale")</f>
        <v>Florence Nightingale</v>
      </c>
      <c r="C73" s="3" t="str">
        <f ca="1">IFERROR(__xludf.UNSUPPORTED("""COMPUTED_VALUE"""),"N")</f>
        <v>N</v>
      </c>
      <c r="D73" s="4" t="str">
        <f ca="1">IFERROR(__xludf.UNSUPPORTED("""COMPUTED_VALUE"""),"Zemlicka, Shannon")</f>
        <v>Zemlicka, Shannon</v>
      </c>
      <c r="E73" s="5">
        <f ca="1">IFERROR(__xludf.UNSUPPORTED("""COMPUTED_VALUE"""),9780876141021)</f>
        <v>9780876141021</v>
      </c>
      <c r="F73" s="2"/>
      <c r="G73" s="2"/>
    </row>
    <row r="74" spans="1:7" ht="13.15">
      <c r="A74" s="3" t="str">
        <f ca="1">IFERROR(__xludf.UNSUPPORTED("""COMPUTED_VALUE"""),"3")</f>
        <v>3</v>
      </c>
      <c r="B74" s="4" t="str">
        <f ca="1">IFERROR(__xludf.UNSUPPORTED("""COMPUTED_VALUE"""),"The Flying Beaver Brothers and the Hot-Air Baboons")</f>
        <v>The Flying Beaver Brothers and the Hot-Air Baboons</v>
      </c>
      <c r="C74" s="3" t="str">
        <f ca="1">IFERROR(__xludf.UNSUPPORTED("""COMPUTED_VALUE"""),"F")</f>
        <v>F</v>
      </c>
      <c r="D74" s="4" t="str">
        <f ca="1">IFERROR(__xludf.UNSUPPORTED("""COMPUTED_VALUE"""),"Eaton, Maxwell III")</f>
        <v>Eaton, Maxwell III</v>
      </c>
      <c r="E74" s="5">
        <f ca="1">IFERROR(__xludf.UNSUPPORTED("""COMPUTED_VALUE"""),9780385754668)</f>
        <v>9780385754668</v>
      </c>
      <c r="F74" s="2"/>
      <c r="G74" s="2"/>
    </row>
    <row r="75" spans="1:7" ht="13.15">
      <c r="A75" s="3" t="str">
        <f ca="1">IFERROR(__xludf.UNSUPPORTED("""COMPUTED_VALUE"""),"3")</f>
        <v>3</v>
      </c>
      <c r="B75" s="4" t="str">
        <f ca="1">IFERROR(__xludf.UNSUPPORTED("""COMPUTED_VALUE"""),"The Flying Beaver Brothers and the Mud-Slinging Moles")</f>
        <v>The Flying Beaver Brothers and the Mud-Slinging Moles</v>
      </c>
      <c r="C75" s="3" t="str">
        <f ca="1">IFERROR(__xludf.UNSUPPORTED("""COMPUTED_VALUE"""),"F")</f>
        <v>F</v>
      </c>
      <c r="D75" s="4" t="str">
        <f ca="1">IFERROR(__xludf.UNSUPPORTED("""COMPUTED_VALUE"""),"Eaton, Maxwell III")</f>
        <v>Eaton, Maxwell III</v>
      </c>
      <c r="E75" s="5">
        <f ca="1">IFERROR(__xludf.UNSUPPORTED("""COMPUTED_VALUE"""),9780449810194)</f>
        <v>9780449810194</v>
      </c>
      <c r="F75" s="2"/>
      <c r="G75" s="2"/>
    </row>
    <row r="76" spans="1:7" ht="13.15">
      <c r="A76" s="3" t="str">
        <f ca="1">IFERROR(__xludf.UNSUPPORTED("""COMPUTED_VALUE"""),"3")</f>
        <v>3</v>
      </c>
      <c r="B76" s="4" t="str">
        <f ca="1">IFERROR(__xludf.UNSUPPORTED("""COMPUTED_VALUE"""),"Four Mice Deep in the Jungle")</f>
        <v>Four Mice Deep in the Jungle</v>
      </c>
      <c r="C76" s="3" t="str">
        <f ca="1">IFERROR(__xludf.UNSUPPORTED("""COMPUTED_VALUE"""),"F")</f>
        <v>F</v>
      </c>
      <c r="D76" s="4" t="str">
        <f ca="1">IFERROR(__xludf.UNSUPPORTED("""COMPUTED_VALUE"""),"Stilton, Geronimo")</f>
        <v>Stilton, Geronimo</v>
      </c>
      <c r="E76" s="5">
        <f ca="1">IFERROR(__xludf.UNSUPPORTED("""COMPUTED_VALUE"""),9780439559676)</f>
        <v>9780439559676</v>
      </c>
      <c r="F76" s="2"/>
      <c r="G76" s="2"/>
    </row>
    <row r="77" spans="1:7" ht="13.15">
      <c r="A77" s="3" t="str">
        <f ca="1">IFERROR(__xludf.UNSUPPORTED("""COMPUTED_VALUE"""),"3")</f>
        <v>3</v>
      </c>
      <c r="B77" s="4" t="str">
        <f ca="1">IFERROR(__xludf.UNSUPPORTED("""COMPUTED_VALUE"""),"Freddie Ramos Springs into Action")</f>
        <v>Freddie Ramos Springs into Action</v>
      </c>
      <c r="C77" s="3" t="str">
        <f ca="1">IFERROR(__xludf.UNSUPPORTED("""COMPUTED_VALUE"""),"F")</f>
        <v>F</v>
      </c>
      <c r="D77" s="4" t="str">
        <f ca="1">IFERROR(__xludf.UNSUPPORTED("""COMPUTED_VALUE"""),"Jules, Jacqueline")</f>
        <v>Jules, Jacqueline</v>
      </c>
      <c r="E77" s="5">
        <f ca="1">IFERROR(__xludf.UNSUPPORTED("""COMPUTED_VALUE"""),9780807594834)</f>
        <v>9780807594834</v>
      </c>
      <c r="F77" s="2"/>
      <c r="G77" s="2"/>
    </row>
    <row r="78" spans="1:7" ht="13.15">
      <c r="A78" s="3" t="str">
        <f ca="1">IFERROR(__xludf.UNSUPPORTED("""COMPUTED_VALUE"""),"3")</f>
        <v>3</v>
      </c>
      <c r="B78" s="4" t="str">
        <f ca="1">IFERROR(__xludf.UNSUPPORTED("""COMPUTED_VALUE"""),"From Cub to Tiger")</f>
        <v>From Cub to Tiger</v>
      </c>
      <c r="C78" s="3" t="str">
        <f ca="1">IFERROR(__xludf.UNSUPPORTED("""COMPUTED_VALUE"""),"N")</f>
        <v>N</v>
      </c>
      <c r="D78" s="4" t="str">
        <f ca="1">IFERROR(__xludf.UNSUPPORTED("""COMPUTED_VALUE"""),"Boothroyd, Jennifer")</f>
        <v>Boothroyd, Jennifer</v>
      </c>
      <c r="E78" s="5">
        <f ca="1">IFERROR(__xludf.UNSUPPORTED("""COMPUTED_VALUE"""),9781512418354)</f>
        <v>9781512418354</v>
      </c>
      <c r="F78" s="2"/>
      <c r="G78" s="2"/>
    </row>
    <row r="79" spans="1:7" ht="13.15">
      <c r="A79" s="3" t="str">
        <f ca="1">IFERROR(__xludf.UNSUPPORTED("""COMPUTED_VALUE"""),"3")</f>
        <v>3</v>
      </c>
      <c r="B79" s="4" t="str">
        <f ca="1">IFERROR(__xludf.UNSUPPORTED("""COMPUTED_VALUE"""),"From Egg to Ladybug")</f>
        <v>From Egg to Ladybug</v>
      </c>
      <c r="C79" s="3" t="str">
        <f ca="1">IFERROR(__xludf.UNSUPPORTED("""COMPUTED_VALUE"""),"N")</f>
        <v>N</v>
      </c>
      <c r="D79" s="4" t="str">
        <f ca="1">IFERROR(__xludf.UNSUPPORTED("""COMPUTED_VALUE"""),"Owings, Lisa")</f>
        <v>Owings, Lisa</v>
      </c>
      <c r="E79" s="5">
        <f ca="1">IFERROR(__xludf.UNSUPPORTED("""COMPUTED_VALUE"""),9781512412987)</f>
        <v>9781512412987</v>
      </c>
      <c r="F79" s="2"/>
      <c r="G79" s="2"/>
    </row>
    <row r="80" spans="1:7" ht="13.15">
      <c r="A80" s="3" t="str">
        <f ca="1">IFERROR(__xludf.UNSUPPORTED("""COMPUTED_VALUE"""),"3")</f>
        <v>3</v>
      </c>
      <c r="B80" s="4" t="str">
        <f ca="1">IFERROR(__xludf.UNSUPPORTED("""COMPUTED_VALUE"""),"From Iron to Car")</f>
        <v>From Iron to Car</v>
      </c>
      <c r="C80" s="3" t="str">
        <f ca="1">IFERROR(__xludf.UNSUPPORTED("""COMPUTED_VALUE"""),"N")</f>
        <v>N</v>
      </c>
      <c r="D80" s="4" t="str">
        <f ca="1">IFERROR(__xludf.UNSUPPORTED("""COMPUTED_VALUE"""),"Zemlicka, Shannon")</f>
        <v>Zemlicka, Shannon</v>
      </c>
      <c r="E80" s="5">
        <f ca="1">IFERROR(__xludf.UNSUPPORTED("""COMPUTED_VALUE"""),9781467707954)</f>
        <v>9781467707954</v>
      </c>
      <c r="F80" s="2"/>
      <c r="G80" s="2"/>
    </row>
    <row r="81" spans="1:7" ht="13.15">
      <c r="A81" s="3" t="str">
        <f ca="1">IFERROR(__xludf.UNSUPPORTED("""COMPUTED_VALUE"""),"3")</f>
        <v>3</v>
      </c>
      <c r="B81" s="4" t="str">
        <f ca="1">IFERROR(__xludf.UNSUPPORTED("""COMPUTED_VALUE"""),"From Joey to Kangaroo")</f>
        <v>From Joey to Kangaroo</v>
      </c>
      <c r="C81" s="3" t="str">
        <f ca="1">IFERROR(__xludf.UNSUPPORTED("""COMPUTED_VALUE"""),"N")</f>
        <v>N</v>
      </c>
      <c r="D81" s="4" t="str">
        <f ca="1">IFERROR(__xludf.UNSUPPORTED("""COMPUTED_VALUE"""),"Owings, Lisa")</f>
        <v>Owings, Lisa</v>
      </c>
      <c r="E81" s="5">
        <f ca="1">IFERROR(__xludf.UNSUPPORTED("""COMPUTED_VALUE"""),9781512418439)</f>
        <v>9781512418439</v>
      </c>
      <c r="F81" s="2"/>
      <c r="G81" s="2"/>
    </row>
    <row r="82" spans="1:7" ht="13.15">
      <c r="A82" s="3" t="str">
        <f ca="1">IFERROR(__xludf.UNSUPPORTED("""COMPUTED_VALUE"""),"3")</f>
        <v>3</v>
      </c>
      <c r="B82" s="4" t="str">
        <f ca="1">IFERROR(__xludf.UNSUPPORTED("""COMPUTED_VALUE"""),"Gentle Manatees")</f>
        <v>Gentle Manatees</v>
      </c>
      <c r="C82" s="3" t="str">
        <f ca="1">IFERROR(__xludf.UNSUPPORTED("""COMPUTED_VALUE"""),"N")</f>
        <v>N</v>
      </c>
      <c r="D82" s="4" t="str">
        <f ca="1">IFERROR(__xludf.UNSUPPORTED("""COMPUTED_VALUE"""),"Martin-James, Kathleen")</f>
        <v>Martin-James, Kathleen</v>
      </c>
      <c r="E82" s="5">
        <f ca="1">IFERROR(__xludf.UNSUPPORTED("""COMPUTED_VALUE"""),9780822524410)</f>
        <v>9780822524410</v>
      </c>
      <c r="F82" s="2"/>
      <c r="G82" s="2"/>
    </row>
    <row r="83" spans="1:7" ht="13.15">
      <c r="A83" s="3" t="str">
        <f ca="1">IFERROR(__xludf.UNSUPPORTED("""COMPUTED_VALUE"""),"3")</f>
        <v>3</v>
      </c>
      <c r="B83" s="4" t="str">
        <f ca="1">IFERROR(__xludf.UNSUPPORTED("""COMPUTED_VALUE"""),"Giant Isopods and Other Crafty Crustaceans")</f>
        <v>Giant Isopods and Other Crafty Crustaceans</v>
      </c>
      <c r="C83" s="3" t="str">
        <f ca="1">IFERROR(__xludf.UNSUPPORTED("""COMPUTED_VALUE"""),"N")</f>
        <v>N</v>
      </c>
      <c r="D83" s="4" t="str">
        <f ca="1">IFERROR(__xludf.UNSUPPORTED("""COMPUTED_VALUE"""),"Moore, Heidi")</f>
        <v>Moore, Heidi</v>
      </c>
      <c r="E83" s="5">
        <f ca="1">IFERROR(__xludf.UNSUPPORTED("""COMPUTED_VALUE"""),9781410942050)</f>
        <v>9781410942050</v>
      </c>
      <c r="F83" s="2"/>
      <c r="G83" s="2"/>
    </row>
    <row r="84" spans="1:7" ht="13.15">
      <c r="A84" s="3" t="str">
        <f ca="1">IFERROR(__xludf.UNSUPPORTED("""COMPUTED_VALUE"""),"3")</f>
        <v>3</v>
      </c>
      <c r="B84" s="4" t="str">
        <f ca="1">IFERROR(__xludf.UNSUPPORTED("""COMPUTED_VALUE"""),"Give My Regrets to Broadway")</f>
        <v>Give My Regrets to Broadway</v>
      </c>
      <c r="C84" s="3" t="str">
        <f ca="1">IFERROR(__xludf.UNSUPPORTED("""COMPUTED_VALUE"""),"F")</f>
        <v>F</v>
      </c>
      <c r="D84" s="4" t="str">
        <f ca="1">IFERROR(__xludf.UNSUPPORTED("""COMPUTED_VALUE"""),"Hale, Bruce")</f>
        <v>Hale, Bruce</v>
      </c>
      <c r="E84" s="5">
        <f ca="1">IFERROR(__xludf.UNSUPPORTED("""COMPUTED_VALUE"""),9780152167301)</f>
        <v>9780152167301</v>
      </c>
      <c r="F84" s="2"/>
      <c r="G84" s="2"/>
    </row>
    <row r="85" spans="1:7" ht="13.15">
      <c r="A85" s="3" t="str">
        <f ca="1">IFERROR(__xludf.UNSUPPORTED("""COMPUTED_VALUE"""),"3")</f>
        <v>3</v>
      </c>
      <c r="B85" s="4" t="str">
        <f ca="1">IFERROR(__xludf.UNSUPPORTED("""COMPUTED_VALUE"""),"Going Green")</f>
        <v>Going Green</v>
      </c>
      <c r="C85" s="3" t="str">
        <f ca="1">IFERROR(__xludf.UNSUPPORTED("""COMPUTED_VALUE"""),"F")</f>
        <v>F</v>
      </c>
      <c r="D85" s="4" t="str">
        <f ca="1">IFERROR(__xludf.UNSUPPORTED("""COMPUTED_VALUE"""),"Pakkala, Christine")</f>
        <v>Pakkala, Christine</v>
      </c>
      <c r="E85" s="5">
        <f ca="1">IFERROR(__xludf.UNSUPPORTED("""COMPUTED_VALUE"""),9781629791135)</f>
        <v>9781629791135</v>
      </c>
      <c r="F85" s="2"/>
      <c r="G85" s="2"/>
    </row>
    <row r="86" spans="1:7" ht="13.15">
      <c r="A86" s="3" t="str">
        <f ca="1">IFERROR(__xludf.UNSUPPORTED("""COMPUTED_VALUE"""),"3")</f>
        <v>3</v>
      </c>
      <c r="B86" s="4" t="str">
        <f ca="1">IFERROR(__xludf.UNSUPPORTED("""COMPUTED_VALUE"""),"Gorillas")</f>
        <v>Gorillas</v>
      </c>
      <c r="C86" s="3" t="str">
        <f ca="1">IFERROR(__xludf.UNSUPPORTED("""COMPUTED_VALUE"""),"N")</f>
        <v>N</v>
      </c>
      <c r="D86" s="4" t="str">
        <f ca="1">IFERROR(__xludf.UNSUPPORTED("""COMPUTED_VALUE"""),"Simon, Seymour")</f>
        <v>Simon, Seymour</v>
      </c>
      <c r="E86" s="5">
        <f ca="1">IFERROR(__xludf.UNSUPPORTED("""COMPUTED_VALUE"""),9780060891015)</f>
        <v>9780060891015</v>
      </c>
      <c r="F86" s="2"/>
      <c r="G86" s="2"/>
    </row>
    <row r="87" spans="1:7" ht="26.45">
      <c r="A87" s="3" t="str">
        <f ca="1">IFERROR(__xludf.UNSUPPORTED("""COMPUTED_VALUE"""),"3")</f>
        <v>3</v>
      </c>
      <c r="B87" s="4" t="str">
        <f ca="1">IFERROR(__xludf.UNSUPPORTED("""COMPUTED_VALUE"""),"The Great Cake Mystery: Precious Ramotswe's Very First Case")</f>
        <v>The Great Cake Mystery: Precious Ramotswe's Very First Case</v>
      </c>
      <c r="C87" s="3" t="str">
        <f ca="1">IFERROR(__xludf.UNSUPPORTED("""COMPUTED_VALUE"""),"F")</f>
        <v>F</v>
      </c>
      <c r="D87" s="4" t="str">
        <f ca="1">IFERROR(__xludf.UNSUPPORTED("""COMPUTED_VALUE"""),"McCall Smith, Alexander")</f>
        <v>McCall Smith, Alexander</v>
      </c>
      <c r="E87" s="5">
        <f ca="1">IFERROR(__xludf.UNSUPPORTED("""COMPUTED_VALUE"""),9780307743893)</f>
        <v>9780307743893</v>
      </c>
      <c r="F87" s="2"/>
      <c r="G87" s="2"/>
    </row>
    <row r="88" spans="1:7" ht="13.15">
      <c r="A88" s="3" t="str">
        <f ca="1">IFERROR(__xludf.UNSUPPORTED("""COMPUTED_VALUE"""),"3")</f>
        <v>3</v>
      </c>
      <c r="B88" s="4" t="str">
        <f ca="1">IFERROR(__xludf.UNSUPPORTED("""COMPUTED_VALUE"""),"Growing Up Pedro")</f>
        <v>Growing Up Pedro</v>
      </c>
      <c r="C88" s="3" t="str">
        <f ca="1">IFERROR(__xludf.UNSUPPORTED("""COMPUTED_VALUE"""),"N")</f>
        <v>N</v>
      </c>
      <c r="D88" s="4" t="str">
        <f ca="1">IFERROR(__xludf.UNSUPPORTED("""COMPUTED_VALUE"""),"Tavares, Matt")</f>
        <v>Tavares, Matt</v>
      </c>
      <c r="E88" s="5">
        <f ca="1">IFERROR(__xludf.UNSUPPORTED("""COMPUTED_VALUE"""),9780763693114)</f>
        <v>9780763693114</v>
      </c>
      <c r="F88" s="2"/>
      <c r="G88" s="2"/>
    </row>
    <row r="89" spans="1:7" ht="13.15">
      <c r="A89" s="3" t="str">
        <f ca="1">IFERROR(__xludf.UNSUPPORTED("""COMPUTED_VALUE"""),"3")</f>
        <v>3</v>
      </c>
      <c r="B89" s="4" t="str">
        <f ca="1">IFERROR(__xludf.UNSUPPORTED("""COMPUTED_VALUE"""),"Gustave Eiffel's Spectacular Idea: The Eiffel Tower")</f>
        <v>Gustave Eiffel's Spectacular Idea: The Eiffel Tower</v>
      </c>
      <c r="C89" s="3" t="str">
        <f ca="1">IFERROR(__xludf.UNSUPPORTED("""COMPUTED_VALUE"""),"N")</f>
        <v>N</v>
      </c>
      <c r="D89" s="4" t="str">
        <f ca="1">IFERROR(__xludf.UNSUPPORTED("""COMPUTED_VALUE"""),"Cooper, Sharonn Katz")</f>
        <v>Cooper, Sharonn Katz</v>
      </c>
      <c r="E89" s="5">
        <f ca="1">IFERROR(__xludf.UNSUPPORTED("""COMPUTED_VALUE"""),9781479571666)</f>
        <v>9781479571666</v>
      </c>
      <c r="F89" s="2"/>
      <c r="G89" s="2"/>
    </row>
    <row r="90" spans="1:7" ht="13.15">
      <c r="A90" s="3" t="str">
        <f ca="1">IFERROR(__xludf.UNSUPPORTED("""COMPUTED_VALUE"""),"3")</f>
        <v>3</v>
      </c>
      <c r="B90" s="4" t="str">
        <f ca="1">IFERROR(__xludf.UNSUPPORTED("""COMPUTED_VALUE"""),"The Hamster of the Baskervilles")</f>
        <v>The Hamster of the Baskervilles</v>
      </c>
      <c r="C90" s="3" t="str">
        <f ca="1">IFERROR(__xludf.UNSUPPORTED("""COMPUTED_VALUE"""),"F")</f>
        <v>F</v>
      </c>
      <c r="D90" s="4" t="str">
        <f ca="1">IFERROR(__xludf.UNSUPPORTED("""COMPUTED_VALUE"""),"Hale, Bruce")</f>
        <v>Hale, Bruce</v>
      </c>
      <c r="E90" s="5">
        <f ca="1">IFERROR(__xludf.UNSUPPORTED("""COMPUTED_VALUE"""),9780152025090)</f>
        <v>9780152025090</v>
      </c>
      <c r="F90" s="2"/>
      <c r="G90" s="2"/>
    </row>
    <row r="91" spans="1:7" ht="13.15">
      <c r="A91" s="3" t="str">
        <f ca="1">IFERROR(__xludf.UNSUPPORTED("""COMPUTED_VALUE"""),"3")</f>
        <v>3</v>
      </c>
      <c r="B91" s="4" t="str">
        <f ca="1">IFERROR(__xludf.UNSUPPORTED("""COMPUTED_VALUE"""),"Hand to Paw: Protecting Animals")</f>
        <v>Hand to Paw: Protecting Animals</v>
      </c>
      <c r="C91" s="3" t="str">
        <f ca="1">IFERROR(__xludf.UNSUPPORTED("""COMPUTED_VALUE"""),"N")</f>
        <v>N</v>
      </c>
      <c r="D91" s="4" t="str">
        <f ca="1">IFERROR(__xludf.UNSUPPORTED("""COMPUTED_VALUE"""),"Cohn, Jessica")</f>
        <v>Cohn, Jessica</v>
      </c>
      <c r="E91" s="5">
        <f ca="1">IFERROR(__xludf.UNSUPPORTED("""COMPUTED_VALUE"""),9781433348679)</f>
        <v>9781433348679</v>
      </c>
      <c r="F91" s="2"/>
      <c r="G91" s="2"/>
    </row>
    <row r="92" spans="1:7" ht="13.15">
      <c r="A92" s="3" t="str">
        <f ca="1">IFERROR(__xludf.UNSUPPORTED("""COMPUTED_VALUE"""),"3")</f>
        <v>3</v>
      </c>
      <c r="B92" s="4" t="str">
        <f ca="1">IFERROR(__xludf.UNSUPPORTED("""COMPUTED_VALUE"""),"Hidden Army: Clay Soldiers of Ancient China")</f>
        <v>Hidden Army: Clay Soldiers of Ancient China</v>
      </c>
      <c r="C92" s="3" t="str">
        <f ca="1">IFERROR(__xludf.UNSUPPORTED("""COMPUTED_VALUE"""),"N")</f>
        <v>N</v>
      </c>
      <c r="D92" s="4" t="str">
        <f ca="1">IFERROR(__xludf.UNSUPPORTED("""COMPUTED_VALUE"""),"O'Connor, Jane")</f>
        <v>O'Connor, Jane</v>
      </c>
      <c r="E92" s="5">
        <f ca="1">IFERROR(__xludf.UNSUPPORTED("""COMPUTED_VALUE"""),9780448455808)</f>
        <v>9780448455808</v>
      </c>
      <c r="F92" s="2"/>
      <c r="G92" s="2"/>
    </row>
    <row r="93" spans="1:7" ht="13.15">
      <c r="A93" s="3" t="str">
        <f ca="1">IFERROR(__xludf.UNSUPPORTED("""COMPUTED_VALUE"""),"3")</f>
        <v>3</v>
      </c>
      <c r="B93" s="4" t="str">
        <f ca="1">IFERROR(__xludf.UNSUPPORTED("""COMPUTED_VALUE"""),"Horse Heroes: True Stories of Amazing Horses")</f>
        <v>Horse Heroes: True Stories of Amazing Horses</v>
      </c>
      <c r="C93" s="3" t="str">
        <f ca="1">IFERROR(__xludf.UNSUPPORTED("""COMPUTED_VALUE"""),"N")</f>
        <v>N</v>
      </c>
      <c r="D93" s="4" t="str">
        <f ca="1">IFERROR(__xludf.UNSUPPORTED("""COMPUTED_VALUE"""),"Petty, Kate")</f>
        <v>Petty, Kate</v>
      </c>
      <c r="E93" s="5">
        <f ca="1">IFERROR(__xludf.UNSUPPORTED("""COMPUTED_VALUE"""),9780756692971)</f>
        <v>9780756692971</v>
      </c>
      <c r="F93" s="2"/>
      <c r="G93" s="2"/>
    </row>
    <row r="94" spans="1:7" ht="13.15">
      <c r="A94" s="3" t="str">
        <f ca="1">IFERROR(__xludf.UNSUPPORTED("""COMPUTED_VALUE"""),"3")</f>
        <v>3</v>
      </c>
      <c r="B94" s="4" t="str">
        <f ca="1">IFERROR(__xludf.UNSUPPORTED("""COMPUTED_VALUE"""),"Horses Up Close")</f>
        <v>Horses Up Close</v>
      </c>
      <c r="C94" s="3" t="str">
        <f ca="1">IFERROR(__xludf.UNSUPPORTED("""COMPUTED_VALUE"""),"N")</f>
        <v>N</v>
      </c>
      <c r="D94" s="4" t="str">
        <f ca="1">IFERROR(__xludf.UNSUPPORTED("""COMPUTED_VALUE"""),"Blazeman, Christopher")</f>
        <v>Blazeman, Christopher</v>
      </c>
      <c r="E94" s="5">
        <f ca="1">IFERROR(__xludf.UNSUPPORTED("""COMPUTED_VALUE"""),9781433336171)</f>
        <v>9781433336171</v>
      </c>
      <c r="F94" s="2"/>
      <c r="G94" s="2"/>
    </row>
    <row r="95" spans="1:7" ht="26.45">
      <c r="A95" s="3" t="str">
        <f ca="1">IFERROR(__xludf.UNSUPPORTED("""COMPUTED_VALUE"""),"3")</f>
        <v>3</v>
      </c>
      <c r="B95" s="4" t="str">
        <f ca="1">IFERROR(__xludf.UNSUPPORTED("""COMPUTED_VALUE"""),"How to Clean A Hippopotamus: A Look at Unusual Animal Partnerships")</f>
        <v>How to Clean A Hippopotamus: A Look at Unusual Animal Partnerships</v>
      </c>
      <c r="C95" s="3" t="str">
        <f ca="1">IFERROR(__xludf.UNSUPPORTED("""COMPUTED_VALUE"""),"N")</f>
        <v>N</v>
      </c>
      <c r="D95" s="4" t="str">
        <f ca="1">IFERROR(__xludf.UNSUPPORTED("""COMPUTED_VALUE"""),"Jenkins, Steve &amp; Page, Robin")</f>
        <v>Jenkins, Steve &amp; Page, Robin</v>
      </c>
      <c r="E95" s="5">
        <f ca="1">IFERROR(__xludf.UNSUPPORTED("""COMPUTED_VALUE"""),9780547994840)</f>
        <v>9780547994840</v>
      </c>
      <c r="F95" s="2"/>
      <c r="G95" s="2"/>
    </row>
    <row r="96" spans="1:7" ht="13.15">
      <c r="A96" s="3" t="str">
        <f ca="1">IFERROR(__xludf.UNSUPPORTED("""COMPUTED_VALUE"""),"3")</f>
        <v>3</v>
      </c>
      <c r="B96" s="4" t="str">
        <f ca="1">IFERROR(__xludf.UNSUPPORTED("""COMPUTED_VALUE"""),"I Survived the Sinking of the Titanic, 1912")</f>
        <v>I Survived the Sinking of the Titanic, 1912</v>
      </c>
      <c r="C96" s="3" t="str">
        <f ca="1">IFERROR(__xludf.UNSUPPORTED("""COMPUTED_VALUE"""),"F")</f>
        <v>F</v>
      </c>
      <c r="D96" s="4" t="str">
        <f ca="1">IFERROR(__xludf.UNSUPPORTED("""COMPUTED_VALUE"""),"Tarshis, Lauren")</f>
        <v>Tarshis, Lauren</v>
      </c>
      <c r="E96" s="5">
        <f ca="1">IFERROR(__xludf.UNSUPPORTED("""COMPUTED_VALUE"""),9780545206945)</f>
        <v>9780545206945</v>
      </c>
      <c r="F96" s="2"/>
      <c r="G96" s="2"/>
    </row>
    <row r="97" spans="1:7" ht="13.15">
      <c r="A97" s="3" t="str">
        <f ca="1">IFERROR(__xludf.UNSUPPORTED("""COMPUTED_VALUE"""),"3")</f>
        <v>3</v>
      </c>
      <c r="B97" s="4" t="str">
        <f ca="1">IFERROR(__xludf.UNSUPPORTED("""COMPUTED_VALUE"""),"If You Lived with the Iroquois")</f>
        <v>If You Lived with the Iroquois</v>
      </c>
      <c r="C97" s="3" t="str">
        <f ca="1">IFERROR(__xludf.UNSUPPORTED("""COMPUTED_VALUE"""),"N")</f>
        <v>N</v>
      </c>
      <c r="D97" s="4" t="str">
        <f ca="1">IFERROR(__xludf.UNSUPPORTED("""COMPUTED_VALUE"""),"Levine, Ellen")</f>
        <v>Levine, Ellen</v>
      </c>
      <c r="E97" s="5">
        <f ca="1">IFERROR(__xludf.UNSUPPORTED("""COMPUTED_VALUE"""),9780590674454)</f>
        <v>9780590674454</v>
      </c>
      <c r="F97" s="2"/>
      <c r="G97" s="2"/>
    </row>
    <row r="98" spans="1:7" ht="13.15">
      <c r="A98" s="3" t="str">
        <f ca="1">IFERROR(__xludf.UNSUPPORTED("""COMPUTED_VALUE"""),"3")</f>
        <v>3</v>
      </c>
      <c r="B98" s="4" t="str">
        <f ca="1">IFERROR(__xludf.UNSUPPORTED("""COMPUTED_VALUE"""),"Indian Shoes")</f>
        <v>Indian Shoes</v>
      </c>
      <c r="C98" s="3" t="str">
        <f ca="1">IFERROR(__xludf.UNSUPPORTED("""COMPUTED_VALUE"""),"F")</f>
        <v>F</v>
      </c>
      <c r="D98" s="4" t="str">
        <f ca="1">IFERROR(__xludf.UNSUPPORTED("""COMPUTED_VALUE"""),"Smith, Cynthia Leitich")</f>
        <v>Smith, Cynthia Leitich</v>
      </c>
      <c r="E98" s="5">
        <f ca="1">IFERROR(__xludf.UNSUPPORTED("""COMPUTED_VALUE"""),9780060295318)</f>
        <v>9780060295318</v>
      </c>
      <c r="F98" s="2"/>
      <c r="G98" s="2"/>
    </row>
    <row r="99" spans="1:7" ht="13.15">
      <c r="A99" s="3" t="str">
        <f ca="1">IFERROR(__xludf.UNSUPPORTED("""COMPUTED_VALUE"""),"3")</f>
        <v>3</v>
      </c>
      <c r="B99" s="4" t="str">
        <f ca="1">IFERROR(__xludf.UNSUPPORTED("""COMPUTED_VALUE"""),"Insects")</f>
        <v>Insects</v>
      </c>
      <c r="C99" s="3" t="str">
        <f ca="1">IFERROR(__xludf.UNSUPPORTED("""COMPUTED_VALUE"""),"N")</f>
        <v>N</v>
      </c>
      <c r="D99" s="4" t="str">
        <f ca="1">IFERROR(__xludf.UNSUPPORTED("""COMPUTED_VALUE"""),"Simon, Seymour")</f>
        <v>Simon, Seymour</v>
      </c>
      <c r="E99" s="5">
        <f ca="1">IFERROR(__xludf.UNSUPPORTED("""COMPUTED_VALUE"""),9780062289148)</f>
        <v>9780062289148</v>
      </c>
      <c r="F99" s="2"/>
      <c r="G99" s="2"/>
    </row>
    <row r="100" spans="1:7" ht="13.15">
      <c r="A100" s="3" t="str">
        <f ca="1">IFERROR(__xludf.UNSUPPORTED("""COMPUTED_VALUE"""),"3")</f>
        <v>3</v>
      </c>
      <c r="B100" s="4" t="str">
        <f ca="1">IFERROR(__xludf.UNSUPPORTED("""COMPUTED_VALUE"""),"Inspector Flytrap")</f>
        <v>Inspector Flytrap</v>
      </c>
      <c r="C100" s="3" t="str">
        <f ca="1">IFERROR(__xludf.UNSUPPORTED("""COMPUTED_VALUE"""),"F")</f>
        <v>F</v>
      </c>
      <c r="D100" s="4" t="str">
        <f ca="1">IFERROR(__xludf.UNSUPPORTED("""COMPUTED_VALUE"""),"Angleberger, Tom")</f>
        <v>Angleberger, Tom</v>
      </c>
      <c r="E100" s="5">
        <f ca="1">IFERROR(__xludf.UNSUPPORTED("""COMPUTED_VALUE"""),9781419709654)</f>
        <v>9781419709654</v>
      </c>
      <c r="F100" s="2"/>
      <c r="G100" s="2"/>
    </row>
    <row r="101" spans="1:7" ht="13.15">
      <c r="A101" s="3" t="str">
        <f ca="1">IFERROR(__xludf.UNSUPPORTED("""COMPUTED_VALUE"""),"3")</f>
        <v>3</v>
      </c>
      <c r="B101" s="4" t="str">
        <f ca="1">IFERROR(__xludf.UNSUPPORTED("""COMPUTED_VALUE"""),"Iris and Walter and Cousin Howie")</f>
        <v>Iris and Walter and Cousin Howie</v>
      </c>
      <c r="C101" s="3" t="str">
        <f ca="1">IFERROR(__xludf.UNSUPPORTED("""COMPUTED_VALUE"""),"F")</f>
        <v>F</v>
      </c>
      <c r="D101" s="4" t="str">
        <f ca="1">IFERROR(__xludf.UNSUPPORTED("""COMPUTED_VALUE"""),"Guest, Elissa Haden")</f>
        <v>Guest, Elissa Haden</v>
      </c>
      <c r="E101" s="5">
        <f ca="1">IFERROR(__xludf.UNSUPPORTED("""COMPUTED_VALUE"""),9780547850689)</f>
        <v>9780547850689</v>
      </c>
      <c r="F101" s="2"/>
      <c r="G101" s="2"/>
    </row>
    <row r="102" spans="1:7" ht="13.15">
      <c r="A102" s="3" t="str">
        <f ca="1">IFERROR(__xludf.UNSUPPORTED("""COMPUTED_VALUE"""),"3")</f>
        <v>3</v>
      </c>
      <c r="B102" s="4" t="str">
        <f ca="1">IFERROR(__xludf.UNSUPPORTED("""COMPUTED_VALUE"""),"Iris and Walter: Lost and Found")</f>
        <v>Iris and Walter: Lost and Found</v>
      </c>
      <c r="C102" s="3" t="str">
        <f ca="1">IFERROR(__xludf.UNSUPPORTED("""COMPUTED_VALUE"""),"F")</f>
        <v>F</v>
      </c>
      <c r="D102" s="4" t="str">
        <f ca="1">IFERROR(__xludf.UNSUPPORTED("""COMPUTED_VALUE"""),"Guest, Elissa Haden")</f>
        <v>Guest, Elissa Haden</v>
      </c>
      <c r="E102" s="5">
        <f ca="1">IFERROR(__xludf.UNSUPPORTED("""COMPUTED_VALUE"""),9780544227897)</f>
        <v>9780544227897</v>
      </c>
      <c r="F102" s="2"/>
      <c r="G102" s="2"/>
    </row>
    <row r="103" spans="1:7" ht="13.15">
      <c r="A103" s="3" t="str">
        <f ca="1">IFERROR(__xludf.UNSUPPORTED("""COMPUTED_VALUE"""),"3")</f>
        <v>3</v>
      </c>
      <c r="B103" s="4" t="str">
        <f ca="1">IFERROR(__xludf.UNSUPPORTED("""COMPUTED_VALUE"""),"Iris and Walter: True Friends")</f>
        <v>Iris and Walter: True Friends</v>
      </c>
      <c r="C103" s="3" t="str">
        <f ca="1">IFERROR(__xludf.UNSUPPORTED("""COMPUTED_VALUE"""),"F")</f>
        <v>F</v>
      </c>
      <c r="D103" s="4" t="str">
        <f ca="1">IFERROR(__xludf.UNSUPPORTED("""COMPUTED_VALUE"""),"Guest, Elissa Haden")</f>
        <v>Guest, Elissa Haden</v>
      </c>
      <c r="E103" s="5">
        <f ca="1">IFERROR(__xludf.UNSUPPORTED("""COMPUTED_VALUE"""),9780544456037)</f>
        <v>9780544456037</v>
      </c>
      <c r="F103" s="2"/>
      <c r="G103" s="2"/>
    </row>
    <row r="104" spans="1:7" ht="13.15">
      <c r="A104" s="3" t="str">
        <f ca="1">IFERROR(__xludf.UNSUPPORTED("""COMPUTED_VALUE"""),"3")</f>
        <v>3</v>
      </c>
      <c r="B104" s="4" t="str">
        <f ca="1">IFERROR(__xludf.UNSUPPORTED("""COMPUTED_VALUE"""),"It Came from Ohio! My Life as a Writer")</f>
        <v>It Came from Ohio! My Life as a Writer</v>
      </c>
      <c r="C104" s="3" t="str">
        <f ca="1">IFERROR(__xludf.UNSUPPORTED("""COMPUTED_VALUE"""),"N")</f>
        <v>N</v>
      </c>
      <c r="D104" s="4" t="str">
        <f ca="1">IFERROR(__xludf.UNSUPPORTED("""COMPUTED_VALUE"""),"Stine, R. L.")</f>
        <v>Stine, R. L.</v>
      </c>
      <c r="E104" s="5">
        <f ca="1">IFERROR(__xludf.UNSUPPORTED("""COMPUTED_VALUE"""),9780545828901)</f>
        <v>9780545828901</v>
      </c>
      <c r="F104" s="2"/>
      <c r="G104" s="2"/>
    </row>
    <row r="105" spans="1:7" ht="13.15">
      <c r="A105" s="3" t="str">
        <f ca="1">IFERROR(__xludf.UNSUPPORTED("""COMPUTED_VALUE"""),"3")</f>
        <v>3</v>
      </c>
      <c r="B105" s="4" t="str">
        <f ca="1">IFERROR(__xludf.UNSUPPORTED("""COMPUTED_VALUE"""),"Jacqueline Woodson")</f>
        <v>Jacqueline Woodson</v>
      </c>
      <c r="C105" s="3" t="str">
        <f ca="1">IFERROR(__xludf.UNSUPPORTED("""COMPUTED_VALUE"""),"N")</f>
        <v>N</v>
      </c>
      <c r="D105" s="4" t="str">
        <f ca="1">IFERROR(__xludf.UNSUPPORTED("""COMPUTED_VALUE"""),"Simons, Lisa M. Bolt")</f>
        <v>Simons, Lisa M. Bolt</v>
      </c>
      <c r="E105" s="5">
        <f ca="1">IFERROR(__xludf.UNSUPPORTED("""COMPUTED_VALUE"""),9781515735632)</f>
        <v>9781515735632</v>
      </c>
      <c r="F105" s="2"/>
      <c r="G105" s="2"/>
    </row>
    <row r="106" spans="1:7" ht="13.15">
      <c r="A106" s="3" t="str">
        <f ca="1">IFERROR(__xludf.UNSUPPORTED("""COMPUTED_VALUE"""),"3")</f>
        <v>3</v>
      </c>
      <c r="B106" s="4" t="str">
        <f ca="1">IFERROR(__xludf.UNSUPPORTED("""COMPUTED_VALUE"""),"James and the Giant Peach")</f>
        <v>James and the Giant Peach</v>
      </c>
      <c r="C106" s="3" t="str">
        <f ca="1">IFERROR(__xludf.UNSUPPORTED("""COMPUTED_VALUE"""),"F")</f>
        <v>F</v>
      </c>
      <c r="D106" s="4" t="str">
        <f ca="1">IFERROR(__xludf.UNSUPPORTED("""COMPUTED_VALUE"""),"Dahl, Roald")</f>
        <v>Dahl, Roald</v>
      </c>
      <c r="E106" s="5">
        <f ca="1">IFERROR(__xludf.UNSUPPORTED("""COMPUTED_VALUE"""),9780140374247)</f>
        <v>9780140374247</v>
      </c>
      <c r="F106" s="2"/>
      <c r="G106" s="2"/>
    </row>
    <row r="107" spans="1:7" ht="13.15">
      <c r="A107" s="3" t="str">
        <f ca="1">IFERROR(__xludf.UNSUPPORTED("""COMPUTED_VALUE"""),"3")</f>
        <v>3</v>
      </c>
      <c r="B107" s="4" t="str">
        <f ca="1">IFERROR(__xludf.UNSUPPORTED("""COMPUTED_VALUE"""),"Kadir Nelson")</f>
        <v>Kadir Nelson</v>
      </c>
      <c r="C107" s="3" t="str">
        <f ca="1">IFERROR(__xludf.UNSUPPORTED("""COMPUTED_VALUE"""),"N")</f>
        <v>N</v>
      </c>
      <c r="D107" s="4" t="str">
        <f ca="1">IFERROR(__xludf.UNSUPPORTED("""COMPUTED_VALUE"""),"Simons, Lisa M. Bolt")</f>
        <v>Simons, Lisa M. Bolt</v>
      </c>
      <c r="E107" s="5">
        <f ca="1">IFERROR(__xludf.UNSUPPORTED("""COMPUTED_VALUE"""),9781515735618)</f>
        <v>9781515735618</v>
      </c>
      <c r="F107" s="2"/>
      <c r="G107" s="2"/>
    </row>
    <row r="108" spans="1:7" ht="13.15">
      <c r="A108" s="3" t="str">
        <f ca="1">IFERROR(__xludf.UNSUPPORTED("""COMPUTED_VALUE"""),"3")</f>
        <v>3</v>
      </c>
      <c r="B108" s="4" t="str">
        <f ca="1">IFERROR(__xludf.UNSUPPORTED("""COMPUTED_VALUE"""),"Killer Whales")</f>
        <v>Killer Whales</v>
      </c>
      <c r="C108" s="3" t="str">
        <f ca="1">IFERROR(__xludf.UNSUPPORTED("""COMPUTED_VALUE"""),"N")</f>
        <v>N</v>
      </c>
      <c r="D108" s="4" t="str">
        <f ca="1">IFERROR(__xludf.UNSUPPORTED("""COMPUTED_VALUE"""),"Simon, Seymour")</f>
        <v>Simon, Seymour</v>
      </c>
      <c r="E108" s="5">
        <f ca="1">IFERROR(__xludf.UNSUPPORTED("""COMPUTED_VALUE"""),9781587171420)</f>
        <v>9781587171420</v>
      </c>
      <c r="F108" s="2"/>
      <c r="G108" s="2"/>
    </row>
    <row r="109" spans="1:7" ht="13.15">
      <c r="A109" s="3" t="str">
        <f ca="1">IFERROR(__xludf.UNSUPPORTED("""COMPUTED_VALUE"""),"3")</f>
        <v>3</v>
      </c>
      <c r="B109" s="4" t="str">
        <f ca="1">IFERROR(__xludf.UNSUPPORTED("""COMPUTED_VALUE"""),"The L.A. Dodger")</f>
        <v>The L.A. Dodger</v>
      </c>
      <c r="C109" s="3" t="str">
        <f ca="1">IFERROR(__xludf.UNSUPPORTED("""COMPUTED_VALUE"""),"F")</f>
        <v>F</v>
      </c>
      <c r="D109" s="4" t="str">
        <f ca="1">IFERROR(__xludf.UNSUPPORTED("""COMPUTED_VALUE"""),"Kelly, David A.")</f>
        <v>Kelly, David A.</v>
      </c>
      <c r="E109" s="5">
        <f ca="1">IFERROR(__xludf.UNSUPPORTED("""COMPUTED_VALUE"""),9780375868856)</f>
        <v>9780375868856</v>
      </c>
      <c r="F109" s="2"/>
      <c r="G109" s="2"/>
    </row>
    <row r="110" spans="1:7" ht="13.15">
      <c r="A110" s="3" t="str">
        <f ca="1">IFERROR(__xludf.UNSUPPORTED("""COMPUTED_VALUE"""),"3")</f>
        <v>3</v>
      </c>
      <c r="B110" s="4" t="str">
        <f ca="1">IFERROR(__xludf.UNSUPPORTED("""COMPUTED_VALUE"""),"Leroy Ninker Saddles Up")</f>
        <v>Leroy Ninker Saddles Up</v>
      </c>
      <c r="C110" s="3" t="str">
        <f ca="1">IFERROR(__xludf.UNSUPPORTED("""COMPUTED_VALUE"""),"F")</f>
        <v>F</v>
      </c>
      <c r="D110" s="4" t="str">
        <f ca="1">IFERROR(__xludf.UNSUPPORTED("""COMPUTED_VALUE"""),"DiCamillo, Kate")</f>
        <v>DiCamillo, Kate</v>
      </c>
      <c r="E110" s="5">
        <f ca="1">IFERROR(__xludf.UNSUPPORTED("""COMPUTED_VALUE"""),9780763680121)</f>
        <v>9780763680121</v>
      </c>
      <c r="F110" s="2"/>
      <c r="G110" s="2"/>
    </row>
    <row r="111" spans="1:7" ht="13.15">
      <c r="A111" s="3" t="str">
        <f ca="1">IFERROR(__xludf.UNSUPPORTED("""COMPUTED_VALUE"""),"3")</f>
        <v>3</v>
      </c>
      <c r="B111" s="4" t="str">
        <f ca="1">IFERROR(__xludf.UNSUPPORTED("""COMPUTED_VALUE"""),"Lunch Lady and the Cyborg Substitute")</f>
        <v>Lunch Lady and the Cyborg Substitute</v>
      </c>
      <c r="C111" s="3" t="str">
        <f ca="1">IFERROR(__xludf.UNSUPPORTED("""COMPUTED_VALUE"""),"F")</f>
        <v>F</v>
      </c>
      <c r="D111" s="4" t="str">
        <f ca="1">IFERROR(__xludf.UNSUPPORTED("""COMPUTED_VALUE"""),"Krosoczka, Jarrett J.")</f>
        <v>Krosoczka, Jarrett J.</v>
      </c>
      <c r="E111" s="5">
        <f ca="1">IFERROR(__xludf.UNSUPPORTED("""COMPUTED_VALUE"""),9780375846830)</f>
        <v>9780375846830</v>
      </c>
      <c r="F111" s="2"/>
      <c r="G111" s="2"/>
    </row>
    <row r="112" spans="1:7" ht="13.15">
      <c r="A112" s="3" t="str">
        <f ca="1">IFERROR(__xludf.UNSUPPORTED("""COMPUTED_VALUE"""),"3")</f>
        <v>3</v>
      </c>
      <c r="B112" s="4" t="str">
        <f ca="1">IFERROR(__xludf.UNSUPPORTED("""COMPUTED_VALUE"""),"Lunch Lady and the League of Librarians")</f>
        <v>Lunch Lady and the League of Librarians</v>
      </c>
      <c r="C112" s="3" t="str">
        <f ca="1">IFERROR(__xludf.UNSUPPORTED("""COMPUTED_VALUE"""),"F")</f>
        <v>F</v>
      </c>
      <c r="D112" s="4" t="str">
        <f ca="1">IFERROR(__xludf.UNSUPPORTED("""COMPUTED_VALUE"""),"Krosoczka, Jarrett J.")</f>
        <v>Krosoczka, Jarrett J.</v>
      </c>
      <c r="E112" s="5">
        <f ca="1">IFERROR(__xludf.UNSUPPORTED("""COMPUTED_VALUE"""),9780375846847)</f>
        <v>9780375846847</v>
      </c>
      <c r="F112" s="2"/>
      <c r="G112" s="2"/>
    </row>
    <row r="113" spans="1:7" ht="13.15">
      <c r="A113" s="3" t="str">
        <f ca="1">IFERROR(__xludf.UNSUPPORTED("""COMPUTED_VALUE"""),"3")</f>
        <v>3</v>
      </c>
      <c r="B113" s="4" t="str">
        <f ca="1">IFERROR(__xludf.UNSUPPORTED("""COMPUTED_VALUE"""),"Magic Pickle Graphic Novel")</f>
        <v>Magic Pickle Graphic Novel</v>
      </c>
      <c r="C113" s="3" t="str">
        <f ca="1">IFERROR(__xludf.UNSUPPORTED("""COMPUTED_VALUE"""),"F")</f>
        <v>F</v>
      </c>
      <c r="D113" s="4" t="str">
        <f ca="1">IFERROR(__xludf.UNSUPPORTED("""COMPUTED_VALUE"""),"Morse, Scott")</f>
        <v>Morse, Scott</v>
      </c>
      <c r="E113" s="5">
        <f ca="1">IFERROR(__xludf.UNSUPPORTED("""COMPUTED_VALUE"""),9780439879958)</f>
        <v>9780439879958</v>
      </c>
      <c r="F113" s="2"/>
      <c r="G113" s="2"/>
    </row>
    <row r="114" spans="1:7" ht="13.15">
      <c r="A114" s="3" t="str">
        <f ca="1">IFERROR(__xludf.UNSUPPORTED("""COMPUTED_VALUE"""),"3")</f>
        <v>3</v>
      </c>
      <c r="B114" s="4" t="str">
        <f ca="1">IFERROR(__xludf.UNSUPPORTED("""COMPUTED_VALUE"""),"Mars")</f>
        <v>Mars</v>
      </c>
      <c r="C114" s="3" t="str">
        <f ca="1">IFERROR(__xludf.UNSUPPORTED("""COMPUTED_VALUE"""),"N")</f>
        <v>N</v>
      </c>
      <c r="D114" s="4" t="str">
        <f ca="1">IFERROR(__xludf.UNSUPPORTED("""COMPUTED_VALUE"""),"Carney, Elizabeth")</f>
        <v>Carney, Elizabeth</v>
      </c>
      <c r="E114" s="5">
        <f ca="1">IFERROR(__xludf.UNSUPPORTED("""COMPUTED_VALUE"""),9781426317477)</f>
        <v>9781426317477</v>
      </c>
      <c r="F114" s="2"/>
      <c r="G114" s="2"/>
    </row>
    <row r="115" spans="1:7" ht="13.15">
      <c r="A115" s="3" t="str">
        <f ca="1">IFERROR(__xludf.UNSUPPORTED("""COMPUTED_VALUE"""),"3")</f>
        <v>3</v>
      </c>
      <c r="B115" s="4" t="str">
        <f ca="1">IFERROR(__xludf.UNSUPPORTED("""COMPUTED_VALUE"""),"Marty McGuire")</f>
        <v>Marty McGuire</v>
      </c>
      <c r="C115" s="3" t="str">
        <f ca="1">IFERROR(__xludf.UNSUPPORTED("""COMPUTED_VALUE"""),"F")</f>
        <v>F</v>
      </c>
      <c r="D115" s="4" t="str">
        <f ca="1">IFERROR(__xludf.UNSUPPORTED("""COMPUTED_VALUE"""),"Messner, Kate")</f>
        <v>Messner, Kate</v>
      </c>
      <c r="E115" s="5">
        <f ca="1">IFERROR(__xludf.UNSUPPORTED("""COMPUTED_VALUE"""),9780545142465)</f>
        <v>9780545142465</v>
      </c>
      <c r="F115" s="2"/>
      <c r="G115" s="2"/>
    </row>
    <row r="116" spans="1:7" ht="26.45">
      <c r="A116" s="3" t="str">
        <f ca="1">IFERROR(__xludf.UNSUPPORTED("""COMPUTED_VALUE"""),"3")</f>
        <v>3</v>
      </c>
      <c r="B116" s="4" t="str">
        <f ca="1">IFERROR(__xludf.UNSUPPORTED("""COMPUTED_VALUE"""),"The Mary Celeste: An Unsolved Mystery from History")</f>
        <v>The Mary Celeste: An Unsolved Mystery from History</v>
      </c>
      <c r="C116" s="3" t="str">
        <f ca="1">IFERROR(__xludf.UNSUPPORTED("""COMPUTED_VALUE"""),"N")</f>
        <v>N</v>
      </c>
      <c r="D116" s="4" t="str">
        <f ca="1">IFERROR(__xludf.UNSUPPORTED("""COMPUTED_VALUE"""),"Yolen, Jane &amp; Stemple, Heidi Elisabet Yolen")</f>
        <v>Yolen, Jane &amp; Stemple, Heidi Elisabet Yolen</v>
      </c>
      <c r="E116" s="5">
        <f ca="1">IFERROR(__xludf.UNSUPPORTED("""COMPUTED_VALUE"""),9780689851223)</f>
        <v>9780689851223</v>
      </c>
      <c r="F116" s="2"/>
      <c r="G116" s="2"/>
    </row>
    <row r="117" spans="1:7" ht="13.15">
      <c r="A117" s="3" t="str">
        <f ca="1">IFERROR(__xludf.UNSUPPORTED("""COMPUTED_VALUE"""),"3")</f>
        <v>3</v>
      </c>
      <c r="B117" s="4" t="str">
        <f ca="1">IFERROR(__xludf.UNSUPPORTED("""COMPUTED_VALUE"""),"Matilda")</f>
        <v>Matilda</v>
      </c>
      <c r="C117" s="3" t="str">
        <f ca="1">IFERROR(__xludf.UNSUPPORTED("""COMPUTED_VALUE"""),"F")</f>
        <v>F</v>
      </c>
      <c r="D117" s="4" t="str">
        <f ca="1">IFERROR(__xludf.UNSUPPORTED("""COMPUTED_VALUE"""),"Dahl, Roald")</f>
        <v>Dahl, Roald</v>
      </c>
      <c r="E117" s="5">
        <f ca="1">IFERROR(__xludf.UNSUPPORTED("""COMPUTED_VALUE"""),9780142410370)</f>
        <v>9780142410370</v>
      </c>
      <c r="F117" s="2"/>
      <c r="G117" s="2"/>
    </row>
    <row r="118" spans="1:7" ht="13.15">
      <c r="A118" s="3" t="str">
        <f ca="1">IFERROR(__xludf.UNSUPPORTED("""COMPUTED_VALUE"""),"3")</f>
        <v>3</v>
      </c>
      <c r="B118" s="4" t="str">
        <f ca="1">IFERROR(__xludf.UNSUPPORTED("""COMPUTED_VALUE"""),"Maybelle in the Soup")</f>
        <v>Maybelle in the Soup</v>
      </c>
      <c r="C118" s="3" t="str">
        <f ca="1">IFERROR(__xludf.UNSUPPORTED("""COMPUTED_VALUE"""),"F")</f>
        <v>F</v>
      </c>
      <c r="D118" s="4" t="str">
        <f ca="1">IFERROR(__xludf.UNSUPPORTED("""COMPUTED_VALUE"""),"Speck, Katie")</f>
        <v>Speck, Katie</v>
      </c>
      <c r="E118" s="5">
        <f ca="1">IFERROR(__xludf.UNSUPPORTED("""COMPUTED_VALUE"""),9781250062758)</f>
        <v>9781250062758</v>
      </c>
      <c r="F118" s="2"/>
      <c r="G118" s="2"/>
    </row>
    <row r="119" spans="1:7" ht="13.15">
      <c r="A119" s="3" t="str">
        <f ca="1">IFERROR(__xludf.UNSUPPORTED("""COMPUTED_VALUE"""),"3")</f>
        <v>3</v>
      </c>
      <c r="B119" s="4" t="str">
        <f ca="1">IFERROR(__xludf.UNSUPPORTED("""COMPUTED_VALUE"""),"The Meeting")</f>
        <v>The Meeting</v>
      </c>
      <c r="C119" s="3" t="str">
        <f ca="1">IFERROR(__xludf.UNSUPPORTED("""COMPUTED_VALUE"""),"F")</f>
        <v>F</v>
      </c>
      <c r="D119" s="4" t="str">
        <f ca="1">IFERROR(__xludf.UNSUPPORTED("""COMPUTED_VALUE"""),"Luciani, Brigitte")</f>
        <v>Luciani, Brigitte</v>
      </c>
      <c r="E119" s="5">
        <f ca="1">IFERROR(__xludf.UNSUPPORTED("""COMPUTED_VALUE"""),9780761356318)</f>
        <v>9780761356318</v>
      </c>
      <c r="F119" s="2"/>
      <c r="G119" s="2"/>
    </row>
    <row r="120" spans="1:7" ht="13.15">
      <c r="A120" s="3" t="str">
        <f ca="1">IFERROR(__xludf.UNSUPPORTED("""COMPUTED_VALUE"""),"3")</f>
        <v>3</v>
      </c>
      <c r="B120" s="4" t="str">
        <f ca="1">IFERROR(__xludf.UNSUPPORTED("""COMPUTED_VALUE"""),"Mercy Watson Thinks Like a Pig")</f>
        <v>Mercy Watson Thinks Like a Pig</v>
      </c>
      <c r="C120" s="3" t="str">
        <f ca="1">IFERROR(__xludf.UNSUPPORTED("""COMPUTED_VALUE"""),"F")</f>
        <v>F</v>
      </c>
      <c r="D120" s="4" t="str">
        <f ca="1">IFERROR(__xludf.UNSUPPORTED("""COMPUTED_VALUE"""),"DiCamillo, Kate")</f>
        <v>DiCamillo, Kate</v>
      </c>
      <c r="E120" s="5">
        <f ca="1">IFERROR(__xludf.UNSUPPORTED("""COMPUTED_VALUE"""),9780763652319)</f>
        <v>9780763652319</v>
      </c>
      <c r="F120" s="2"/>
      <c r="G120" s="2"/>
    </row>
    <row r="121" spans="1:7" ht="13.15">
      <c r="A121" s="3" t="str">
        <f ca="1">IFERROR(__xludf.UNSUPPORTED("""COMPUTED_VALUE"""),"3")</f>
        <v>3</v>
      </c>
      <c r="B121" s="4" t="str">
        <f ca="1">IFERROR(__xludf.UNSUPPORTED("""COMPUTED_VALUE"""),"Mercy Watson: Princess in Disguise")</f>
        <v>Mercy Watson: Princess in Disguise</v>
      </c>
      <c r="C121" s="3" t="str">
        <f ca="1">IFERROR(__xludf.UNSUPPORTED("""COMPUTED_VALUE"""),"F")</f>
        <v>F</v>
      </c>
      <c r="D121" s="4" t="str">
        <f ca="1">IFERROR(__xludf.UNSUPPORTED("""COMPUTED_VALUE"""),"DiCamillo, Kate")</f>
        <v>DiCamillo, Kate</v>
      </c>
      <c r="E121" s="5">
        <f ca="1">IFERROR(__xludf.UNSUPPORTED("""COMPUTED_VALUE"""),9780763649517)</f>
        <v>9780763649517</v>
      </c>
      <c r="F121" s="2"/>
      <c r="G121" s="2"/>
    </row>
    <row r="122" spans="1:7" ht="13.15">
      <c r="A122" s="3" t="str">
        <f ca="1">IFERROR(__xludf.UNSUPPORTED("""COMPUTED_VALUE"""),"3")</f>
        <v>3</v>
      </c>
      <c r="B122" s="4" t="str">
        <f ca="1">IFERROR(__xludf.UNSUPPORTED("""COMPUTED_VALUE"""),"Mercy Watson: Something Wonky This Way Comes")</f>
        <v>Mercy Watson: Something Wonky This Way Comes</v>
      </c>
      <c r="C122" s="3" t="str">
        <f ca="1">IFERROR(__xludf.UNSUPPORTED("""COMPUTED_VALUE"""),"F")</f>
        <v>F</v>
      </c>
      <c r="D122" s="4" t="str">
        <f ca="1">IFERROR(__xludf.UNSUPPORTED("""COMPUTED_VALUE"""),"DiCamillo, Kate")</f>
        <v>DiCamillo, Kate</v>
      </c>
      <c r="E122" s="5">
        <f ca="1">IFERROR(__xludf.UNSUPPORTED("""COMPUTED_VALUE"""),9780763652326)</f>
        <v>9780763652326</v>
      </c>
      <c r="F122" s="2"/>
      <c r="G122" s="2"/>
    </row>
    <row r="123" spans="1:7" ht="13.15">
      <c r="A123" s="3" t="str">
        <f ca="1">IFERROR(__xludf.UNSUPPORTED("""COMPUTED_VALUE"""),"3")</f>
        <v>3</v>
      </c>
      <c r="B123" s="4" t="str">
        <f ca="1">IFERROR(__xludf.UNSUPPORTED("""COMPUTED_VALUE"""),"Message Received!")</f>
        <v>Message Received!</v>
      </c>
      <c r="C123" s="3" t="str">
        <f ca="1">IFERROR(__xludf.UNSUPPORTED("""COMPUTED_VALUE"""),"N")</f>
        <v>N</v>
      </c>
      <c r="D123" s="4" t="str">
        <f ca="1">IFERROR(__xludf.UNSUPPORTED("""COMPUTED_VALUE"""),"Coan, Sharon")</f>
        <v>Coan, Sharon</v>
      </c>
      <c r="E123" s="5">
        <f ca="1">IFERROR(__xludf.UNSUPPORTED("""COMPUTED_VALUE"""),9781480745650)</f>
        <v>9781480745650</v>
      </c>
      <c r="F123" s="2"/>
      <c r="G123" s="2"/>
    </row>
    <row r="124" spans="1:7" ht="13.15">
      <c r="A124" s="3" t="str">
        <f ca="1">IFERROR(__xludf.UNSUPPORTED("""COMPUTED_VALUE"""),"3")</f>
        <v>3</v>
      </c>
      <c r="B124" s="4" t="str">
        <f ca="1">IFERROR(__xludf.UNSUPPORTED("""COMPUTED_VALUE"""),"Midnight on the Moon")</f>
        <v>Midnight on the Moon</v>
      </c>
      <c r="C124" s="3" t="str">
        <f ca="1">IFERROR(__xludf.UNSUPPORTED("""COMPUTED_VALUE"""),"F")</f>
        <v>F</v>
      </c>
      <c r="D124" s="4" t="str">
        <f ca="1">IFERROR(__xludf.UNSUPPORTED("""COMPUTED_VALUE"""),"Osborne, Mary Pope")</f>
        <v>Osborne, Mary Pope</v>
      </c>
      <c r="E124" s="5">
        <f ca="1">IFERROR(__xludf.UNSUPPORTED("""COMPUTED_VALUE"""),9780679863748)</f>
        <v>9780679863748</v>
      </c>
      <c r="F124" s="2"/>
      <c r="G124" s="2"/>
    </row>
    <row r="125" spans="1:7" ht="13.15">
      <c r="A125" s="3" t="str">
        <f ca="1">IFERROR(__xludf.UNSUPPORTED("""COMPUTED_VALUE"""),"3")</f>
        <v>3</v>
      </c>
      <c r="B125" s="4" t="str">
        <f ca="1">IFERROR(__xludf.UNSUPPORTED("""COMPUTED_VALUE"""),"Mighty Bison")</f>
        <v>Mighty Bison</v>
      </c>
      <c r="C125" s="3" t="str">
        <f ca="1">IFERROR(__xludf.UNSUPPORTED("""COMPUTED_VALUE"""),"N")</f>
        <v>N</v>
      </c>
      <c r="D125" s="4" t="str">
        <f ca="1">IFERROR(__xludf.UNSUPPORTED("""COMPUTED_VALUE"""),"Larson, Jennifer S.")</f>
        <v>Larson, Jennifer S.</v>
      </c>
      <c r="E125" s="5">
        <f ca="1">IFERROR(__xludf.UNSUPPORTED("""COMPUTED_VALUE"""),9780822558415)</f>
        <v>9780822558415</v>
      </c>
      <c r="F125" s="2"/>
      <c r="G125" s="2"/>
    </row>
    <row r="126" spans="1:7" ht="13.15">
      <c r="A126" s="3" t="str">
        <f ca="1">IFERROR(__xludf.UNSUPPORTED("""COMPUTED_VALUE"""),"3")</f>
        <v>3</v>
      </c>
      <c r="B126" s="4" t="str">
        <f ca="1">IFERROR(__xludf.UNSUPPORTED("""COMPUTED_VALUE"""),"The Miniature World of Marvin &amp; James")</f>
        <v>The Miniature World of Marvin &amp; James</v>
      </c>
      <c r="C126" s="3" t="str">
        <f ca="1">IFERROR(__xludf.UNSUPPORTED("""COMPUTED_VALUE"""),"F")</f>
        <v>F</v>
      </c>
      <c r="D126" s="4" t="str">
        <f ca="1">IFERROR(__xludf.UNSUPPORTED("""COMPUTED_VALUE"""),"Broach, Elise")</f>
        <v>Broach, Elise</v>
      </c>
      <c r="E126" s="5">
        <f ca="1">IFERROR(__xludf.UNSUPPORTED("""COMPUTED_VALUE"""),9781250069580)</f>
        <v>9781250069580</v>
      </c>
      <c r="F126" s="2"/>
      <c r="G126" s="2"/>
    </row>
    <row r="127" spans="1:7" ht="13.15">
      <c r="A127" s="3" t="str">
        <f ca="1">IFERROR(__xludf.UNSUPPORTED("""COMPUTED_VALUE"""),"3")</f>
        <v>3</v>
      </c>
      <c r="B127" s="4" t="str">
        <f ca="1">IFERROR(__xludf.UNSUPPORTED("""COMPUTED_VALUE"""),"Mohandas Gandhi: A Life of Integrity")</f>
        <v>Mohandas Gandhi: A Life of Integrity</v>
      </c>
      <c r="C127" s="3" t="str">
        <f ca="1">IFERROR(__xludf.UNSUPPORTED("""COMPUTED_VALUE"""),"N")</f>
        <v>N</v>
      </c>
      <c r="D127" s="4" t="str">
        <f ca="1">IFERROR(__xludf.UNSUPPORTED("""COMPUTED_VALUE"""),"Rivera, Sheila")</f>
        <v>Rivera, Sheila</v>
      </c>
      <c r="E127" s="5">
        <f ca="1">IFERROR(__xludf.UNSUPPORTED("""COMPUTED_VALUE"""),9780822564324)</f>
        <v>9780822564324</v>
      </c>
      <c r="F127" s="2"/>
      <c r="G127" s="2"/>
    </row>
    <row r="128" spans="1:7" ht="13.15">
      <c r="A128" s="3" t="str">
        <f ca="1">IFERROR(__xludf.UNSUPPORTED("""COMPUTED_VALUE"""),"3")</f>
        <v>3</v>
      </c>
      <c r="B128" s="4" t="str">
        <f ca="1">IFERROR(__xludf.UNSUPPORTED("""COMPUTED_VALUE"""),"Monster Beach")</f>
        <v>Monster Beach</v>
      </c>
      <c r="C128" s="3" t="str">
        <f ca="1">IFERROR(__xludf.UNSUPPORTED("""COMPUTED_VALUE"""),"F")</f>
        <v>F</v>
      </c>
      <c r="D128" s="4" t="str">
        <f ca="1">IFERROR(__xludf.UNSUPPORTED("""COMPUTED_VALUE"""),"O'Reilly, Sean")</f>
        <v>O'Reilly, Sean</v>
      </c>
      <c r="E128" s="5">
        <f ca="1">IFERROR(__xludf.UNSUPPORTED("""COMPUTED_VALUE"""),9781434246080)</f>
        <v>9781434246080</v>
      </c>
      <c r="F128" s="2"/>
      <c r="G128" s="2"/>
    </row>
    <row r="129" spans="1:7" ht="13.15">
      <c r="A129" s="3" t="str">
        <f ca="1">IFERROR(__xludf.UNSUPPORTED("""COMPUTED_VALUE"""),"3")</f>
        <v>3</v>
      </c>
      <c r="B129" s="4" t="str">
        <f ca="1">IFERROR(__xludf.UNSUPPORTED("""COMPUTED_VALUE"""),"Mr. Putter &amp; Tabby Clear the Decks")</f>
        <v>Mr. Putter &amp; Tabby Clear the Decks</v>
      </c>
      <c r="C129" s="3" t="str">
        <f ca="1">IFERROR(__xludf.UNSUPPORTED("""COMPUTED_VALUE"""),"F")</f>
        <v>F</v>
      </c>
      <c r="D129" s="4" t="str">
        <f ca="1">IFERROR(__xludf.UNSUPPORTED("""COMPUTED_VALUE"""),"Rylant, Cynthia")</f>
        <v>Rylant, Cynthia</v>
      </c>
      <c r="E129" s="5">
        <f ca="1">IFERROR(__xludf.UNSUPPORTED("""COMPUTED_VALUE"""),9780547576954)</f>
        <v>9780547576954</v>
      </c>
      <c r="F129" s="2"/>
      <c r="G129" s="2"/>
    </row>
    <row r="130" spans="1:7" ht="13.15">
      <c r="A130" s="3" t="str">
        <f ca="1">IFERROR(__xludf.UNSUPPORTED("""COMPUTED_VALUE"""),"3")</f>
        <v>3</v>
      </c>
      <c r="B130" s="4" t="str">
        <f ca="1">IFERROR(__xludf.UNSUPPORTED("""COMPUTED_VALUE"""),"Mr. Putter &amp; Tabby Take the Train")</f>
        <v>Mr. Putter &amp; Tabby Take the Train</v>
      </c>
      <c r="C130" s="3" t="str">
        <f ca="1">IFERROR(__xludf.UNSUPPORTED("""COMPUTED_VALUE"""),"F")</f>
        <v>F</v>
      </c>
      <c r="D130" s="4" t="str">
        <f ca="1">IFERROR(__xludf.UNSUPPORTED("""COMPUTED_VALUE"""),"Rylant, Cynthia")</f>
        <v>Rylant, Cynthia</v>
      </c>
      <c r="E130" s="5">
        <f ca="1">IFERROR(__xludf.UNSUPPORTED("""COMPUTED_VALUE"""),9780152023898)</f>
        <v>9780152023898</v>
      </c>
      <c r="F130" s="2"/>
      <c r="G130" s="2"/>
    </row>
    <row r="131" spans="1:7" ht="13.15">
      <c r="A131" s="3" t="str">
        <f ca="1">IFERROR(__xludf.UNSUPPORTED("""COMPUTED_VALUE"""),"3")</f>
        <v>3</v>
      </c>
      <c r="B131" s="4" t="str">
        <f ca="1">IFERROR(__xludf.UNSUPPORTED("""COMPUTED_VALUE"""),"Mr. Putter &amp; Tabby Write the Book")</f>
        <v>Mr. Putter &amp; Tabby Write the Book</v>
      </c>
      <c r="C131" s="3" t="str">
        <f ca="1">IFERROR(__xludf.UNSUPPORTED("""COMPUTED_VALUE"""),"F")</f>
        <v>F</v>
      </c>
      <c r="D131" s="4" t="str">
        <f ca="1">IFERROR(__xludf.UNSUPPORTED("""COMPUTED_VALUE"""),"Rylant, Cynthia")</f>
        <v>Rylant, Cynthia</v>
      </c>
      <c r="E131" s="5">
        <f ca="1">IFERROR(__xludf.UNSUPPORTED("""COMPUTED_VALUE"""),9780152002428)</f>
        <v>9780152002428</v>
      </c>
      <c r="F131" s="2"/>
      <c r="G131" s="2"/>
    </row>
    <row r="132" spans="1:7" ht="13.15">
      <c r="A132" s="3" t="str">
        <f ca="1">IFERROR(__xludf.UNSUPPORTED("""COMPUTED_VALUE"""),"3")</f>
        <v>3</v>
      </c>
      <c r="B132" s="4" t="str">
        <f ca="1">IFERROR(__xludf.UNSUPPORTED("""COMPUTED_VALUE"""),"Mummies")</f>
        <v>Mummies</v>
      </c>
      <c r="C132" s="3" t="str">
        <f ca="1">IFERROR(__xludf.UNSUPPORTED("""COMPUTED_VALUE"""),"N")</f>
        <v>N</v>
      </c>
      <c r="D132" s="4" t="str">
        <f ca="1">IFERROR(__xludf.UNSUPPORTED("""COMPUTED_VALUE"""),"Carney, Elizabeth")</f>
        <v>Carney, Elizabeth</v>
      </c>
      <c r="E132" s="5">
        <f ca="1">IFERROR(__xludf.UNSUPPORTED("""COMPUTED_VALUE"""),9781426305283)</f>
        <v>9781426305283</v>
      </c>
      <c r="F132" s="2"/>
      <c r="G132" s="2"/>
    </row>
    <row r="133" spans="1:7" ht="13.15">
      <c r="A133" s="3" t="str">
        <f ca="1">IFERROR(__xludf.UNSUPPORTED("""COMPUTED_VALUE"""),"3")</f>
        <v>3</v>
      </c>
      <c r="B133" s="4" t="str">
        <f ca="1">IFERROR(__xludf.UNSUPPORTED("""COMPUTED_VALUE"""),"The Mystery of Mr. Nice")</f>
        <v>The Mystery of Mr. Nice</v>
      </c>
      <c r="C133" s="3" t="str">
        <f ca="1">IFERROR(__xludf.UNSUPPORTED("""COMPUTED_VALUE"""),"F")</f>
        <v>F</v>
      </c>
      <c r="D133" s="4" t="str">
        <f ca="1">IFERROR(__xludf.UNSUPPORTED("""COMPUTED_VALUE"""),"Hale, Bruce")</f>
        <v>Hale, Bruce</v>
      </c>
      <c r="E133" s="5">
        <f ca="1">IFERROR(__xludf.UNSUPPORTED("""COMPUTED_VALUE"""),9780152025151)</f>
        <v>9780152025151</v>
      </c>
      <c r="F133" s="2"/>
      <c r="G133" s="2"/>
    </row>
    <row r="134" spans="1:7" ht="26.45">
      <c r="A134" s="3" t="str">
        <f ca="1">IFERROR(__xludf.UNSUPPORTED("""COMPUTED_VALUE"""),"3")</f>
        <v>3</v>
      </c>
      <c r="B134" s="4" t="str">
        <f ca="1">IFERROR(__xludf.UNSUPPORTED("""COMPUTED_VALUE"""),"Nate the Great and the Big Sniff")</f>
        <v>Nate the Great and the Big Sniff</v>
      </c>
      <c r="C134" s="3" t="str">
        <f ca="1">IFERROR(__xludf.UNSUPPORTED("""COMPUTED_VALUE"""),"F")</f>
        <v>F</v>
      </c>
      <c r="D134" s="4" t="str">
        <f ca="1">IFERROR(__xludf.UNSUPPORTED("""COMPUTED_VALUE"""),"Sharmat, Marjorie Weinmann, Sharmat, Mitchell")</f>
        <v>Sharmat, Marjorie Weinmann, Sharmat, Mitchell</v>
      </c>
      <c r="E134" s="5">
        <f ca="1">IFERROR(__xludf.UNSUPPORTED("""COMPUTED_VALUE"""),9780440415022)</f>
        <v>9780440415022</v>
      </c>
      <c r="F134" s="2"/>
      <c r="G134" s="2"/>
    </row>
    <row r="135" spans="1:7" ht="26.45">
      <c r="A135" s="3" t="str">
        <f ca="1">IFERROR(__xludf.UNSUPPORTED("""COMPUTED_VALUE"""),"3")</f>
        <v>3</v>
      </c>
      <c r="B135" s="4" t="str">
        <f ca="1">IFERROR(__xludf.UNSUPPORTED("""COMPUTED_VALUE"""),"Nate the Great and the Monster Mess")</f>
        <v>Nate the Great and the Monster Mess</v>
      </c>
      <c r="C135" s="3" t="str">
        <f ca="1">IFERROR(__xludf.UNSUPPORTED("""COMPUTED_VALUE"""),"F")</f>
        <v>F</v>
      </c>
      <c r="D135" s="4" t="str">
        <f ca="1">IFERROR(__xludf.UNSUPPORTED("""COMPUTED_VALUE"""),"Sharmat, Marjorie Weinmann, Sharmat, Mitchell")</f>
        <v>Sharmat, Marjorie Weinmann, Sharmat, Mitchell</v>
      </c>
      <c r="E135" s="5">
        <f ca="1">IFERROR(__xludf.UNSUPPORTED("""COMPUTED_VALUE"""),9780440416623)</f>
        <v>9780440416623</v>
      </c>
      <c r="F135" s="2"/>
      <c r="G135" s="2"/>
    </row>
    <row r="136" spans="1:7" ht="26.45">
      <c r="A136" s="3" t="str">
        <f ca="1">IFERROR(__xludf.UNSUPPORTED("""COMPUTED_VALUE"""),"3")</f>
        <v>3</v>
      </c>
      <c r="B136" s="4" t="str">
        <f ca="1">IFERROR(__xludf.UNSUPPORTED("""COMPUTED_VALUE"""),"Nate the Great on the Owl Express")</f>
        <v>Nate the Great on the Owl Express</v>
      </c>
      <c r="C136" s="3" t="str">
        <f ca="1">IFERROR(__xludf.UNSUPPORTED("""COMPUTED_VALUE"""),"F")</f>
        <v>F</v>
      </c>
      <c r="D136" s="4" t="str">
        <f ca="1">IFERROR(__xludf.UNSUPPORTED("""COMPUTED_VALUE"""),"Sharmat, Marjorie Weinmann, Sharmat, Mitchell")</f>
        <v>Sharmat, Marjorie Weinmann, Sharmat, Mitchell</v>
      </c>
      <c r="E136" s="5">
        <f ca="1">IFERROR(__xludf.UNSUPPORTED("""COMPUTED_VALUE"""),9780440419273)</f>
        <v>9780440419273</v>
      </c>
      <c r="F136" s="2"/>
      <c r="G136" s="2"/>
    </row>
    <row r="137" spans="1:7" ht="26.45">
      <c r="A137" s="3" t="str">
        <f ca="1">IFERROR(__xludf.UNSUPPORTED("""COMPUTED_VALUE"""),"3")</f>
        <v>3</v>
      </c>
      <c r="B137" s="4" t="str">
        <f ca="1">IFERROR(__xludf.UNSUPPORTED("""COMPUTED_VALUE"""),"Nate the Great, Where Are You?")</f>
        <v>Nate the Great, Where Are You?</v>
      </c>
      <c r="C137" s="3" t="str">
        <f ca="1">IFERROR(__xludf.UNSUPPORTED("""COMPUTED_VALUE"""),"F")</f>
        <v>F</v>
      </c>
      <c r="D137" s="4" t="str">
        <f ca="1">IFERROR(__xludf.UNSUPPORTED("""COMPUTED_VALUE"""),"Sharmat, Marjorie Weinmann, Sharmat, Mitchell")</f>
        <v>Sharmat, Marjorie Weinmann, Sharmat, Mitchell</v>
      </c>
      <c r="E137" s="5">
        <f ca="1">IFERROR(__xludf.UNSUPPORTED("""COMPUTED_VALUE"""),9780449810781)</f>
        <v>9780449810781</v>
      </c>
      <c r="F137" s="2"/>
      <c r="G137" s="2"/>
    </row>
    <row r="138" spans="1:7" ht="13.15">
      <c r="A138" s="3" t="str">
        <f ca="1">IFERROR(__xludf.UNSUPPORTED("""COMPUTED_VALUE"""),"3")</f>
        <v>3</v>
      </c>
      <c r="B138" s="4" t="str">
        <f ca="1">IFERROR(__xludf.UNSUPPORTED("""COMPUTED_VALUE"""),"Nelson Mandela")</f>
        <v>Nelson Mandela</v>
      </c>
      <c r="C138" s="3" t="str">
        <f ca="1">IFERROR(__xludf.UNSUPPORTED("""COMPUTED_VALUE"""),"N")</f>
        <v>N</v>
      </c>
      <c r="D138" s="4" t="str">
        <f ca="1">IFERROR(__xludf.UNSUPPORTED("""COMPUTED_VALUE"""),"Kramer, Barbara")</f>
        <v>Kramer, Barbara</v>
      </c>
      <c r="E138" s="5">
        <f ca="1">IFERROR(__xludf.UNSUPPORTED("""COMPUTED_VALUE"""),9781426317637)</f>
        <v>9781426317637</v>
      </c>
      <c r="F138" s="2"/>
      <c r="G138" s="2"/>
    </row>
    <row r="139" spans="1:7" ht="13.15">
      <c r="A139" s="3" t="str">
        <f ca="1">IFERROR(__xludf.UNSUPPORTED("""COMPUTED_VALUE"""),"3")</f>
        <v>3</v>
      </c>
      <c r="B139" s="4" t="str">
        <f ca="1">IFERROR(__xludf.UNSUPPORTED("""COMPUTED_VALUE"""),"Next Stop: The Caribbean")</f>
        <v>Next Stop: The Caribbean</v>
      </c>
      <c r="C139" s="3" t="str">
        <f ca="1">IFERROR(__xludf.UNSUPPORTED("""COMPUTED_VALUE"""),"N")</f>
        <v>N</v>
      </c>
      <c r="D139" s="4" t="str">
        <f ca="1">IFERROR(__xludf.UNSUPPORTED("""COMPUTED_VALUE"""),"McDonnell, Ginger")</f>
        <v>McDonnell, Ginger</v>
      </c>
      <c r="E139" s="5">
        <f ca="1">IFERROR(__xludf.UNSUPPORTED("""COMPUTED_VALUE"""),9781433336126)</f>
        <v>9781433336126</v>
      </c>
      <c r="F139" s="2"/>
      <c r="G139" s="2"/>
    </row>
    <row r="140" spans="1:7" ht="13.15">
      <c r="A140" s="3" t="str">
        <f ca="1">IFERROR(__xludf.UNSUPPORTED("""COMPUTED_VALUE"""),"3")</f>
        <v>3</v>
      </c>
      <c r="B140" s="4" t="str">
        <f ca="1">IFERROR(__xludf.UNSUPPORTED("""COMPUTED_VALUE"""),"The Night Fairy")</f>
        <v>The Night Fairy</v>
      </c>
      <c r="C140" s="3" t="str">
        <f ca="1">IFERROR(__xludf.UNSUPPORTED("""COMPUTED_VALUE"""),"F")</f>
        <v>F</v>
      </c>
      <c r="D140" s="4" t="str">
        <f ca="1">IFERROR(__xludf.UNSUPPORTED("""COMPUTED_VALUE"""),"Schlitz, Laura Amy")</f>
        <v>Schlitz, Laura Amy</v>
      </c>
      <c r="E140" s="5">
        <f ca="1">IFERROR(__xludf.UNSUPPORTED("""COMPUTED_VALUE"""),9780763652951)</f>
        <v>9780763652951</v>
      </c>
      <c r="F140" s="2"/>
      <c r="G140" s="2"/>
    </row>
    <row r="141" spans="1:7" ht="13.15">
      <c r="A141" s="3" t="str">
        <f ca="1">IFERROR(__xludf.UNSUPPORTED("""COMPUTED_VALUE"""),"3")</f>
        <v>3</v>
      </c>
      <c r="B141" s="4" t="str">
        <f ca="1">IFERROR(__xludf.UNSUPPORTED("""COMPUTED_VALUE"""),"Nighttime: Too Dark to See")</f>
        <v>Nighttime: Too Dark to See</v>
      </c>
      <c r="C141" s="3" t="str">
        <f ca="1">IFERROR(__xludf.UNSUPPORTED("""COMPUTED_VALUE"""),"F")</f>
        <v>F</v>
      </c>
      <c r="D141" s="4" t="str">
        <f ca="1">IFERROR(__xludf.UNSUPPORTED("""COMPUTED_VALUE"""),"Strasser, Todd")</f>
        <v>Strasser, Todd</v>
      </c>
      <c r="E141" s="5">
        <f ca="1">IFERROR(__xludf.UNSUPPORTED("""COMPUTED_VALUE"""),9780545124768)</f>
        <v>9780545124768</v>
      </c>
      <c r="F141" s="2"/>
      <c r="G141" s="2"/>
    </row>
    <row r="142" spans="1:7" ht="13.15">
      <c r="A142" s="3" t="str">
        <f ca="1">IFERROR(__xludf.UNSUPPORTED("""COMPUTED_VALUE"""),"3")</f>
        <v>3</v>
      </c>
      <c r="B142" s="4" t="str">
        <f ca="1">IFERROR(__xludf.UNSUPPORTED("""COMPUTED_VALUE"""),"Nighty-Nightmare")</f>
        <v>Nighty-Nightmare</v>
      </c>
      <c r="C142" s="3" t="str">
        <f ca="1">IFERROR(__xludf.UNSUPPORTED("""COMPUTED_VALUE"""),"F")</f>
        <v>F</v>
      </c>
      <c r="D142" s="4" t="str">
        <f ca="1">IFERROR(__xludf.UNSUPPORTED("""COMPUTED_VALUE"""),"Howe, James")</f>
        <v>Howe, James</v>
      </c>
      <c r="E142" s="5">
        <f ca="1">IFERROR(__xludf.UNSUPPORTED("""COMPUTED_VALUE"""),9781416939665)</f>
        <v>9781416939665</v>
      </c>
      <c r="F142" s="2"/>
      <c r="G142" s="2"/>
    </row>
    <row r="143" spans="1:7" ht="13.15">
      <c r="A143" s="3" t="str">
        <f ca="1">IFERROR(__xludf.UNSUPPORTED("""COMPUTED_VALUE"""),"3")</f>
        <v>3</v>
      </c>
      <c r="B143" s="4" t="str">
        <f ca="1">IFERROR(__xludf.UNSUPPORTED("""COMPUTED_VALUE"""),"Nikki and Deja")</f>
        <v>Nikki and Deja</v>
      </c>
      <c r="C143" s="3" t="str">
        <f ca="1">IFERROR(__xludf.UNSUPPORTED("""COMPUTED_VALUE"""),"F")</f>
        <v>F</v>
      </c>
      <c r="D143" s="4" t="str">
        <f ca="1">IFERROR(__xludf.UNSUPPORTED("""COMPUTED_VALUE"""),"English, Karen")</f>
        <v>English, Karen</v>
      </c>
      <c r="E143" s="5">
        <f ca="1">IFERROR(__xludf.UNSUPPORTED("""COMPUTED_VALUE"""),9780547133621)</f>
        <v>9780547133621</v>
      </c>
      <c r="F143" s="2"/>
      <c r="G143" s="2"/>
    </row>
    <row r="144" spans="1:7" ht="13.15">
      <c r="A144" s="3" t="str">
        <f ca="1">IFERROR(__xludf.UNSUPPORTED("""COMPUTED_VALUE"""),"3")</f>
        <v>3</v>
      </c>
      <c r="B144" s="4" t="str">
        <f ca="1">IFERROR(__xludf.UNSUPPORTED("""COMPUTED_VALUE"""),"Owls")</f>
        <v>Owls</v>
      </c>
      <c r="C144" s="3" t="str">
        <f ca="1">IFERROR(__xludf.UNSUPPORTED("""COMPUTED_VALUE"""),"N")</f>
        <v>N</v>
      </c>
      <c r="D144" s="4" t="str">
        <f ca="1">IFERROR(__xludf.UNSUPPORTED("""COMPUTED_VALUE"""),"Gibbons, Gail")</f>
        <v>Gibbons, Gail</v>
      </c>
      <c r="E144" s="5">
        <f ca="1">IFERROR(__xludf.UNSUPPORTED("""COMPUTED_VALUE"""),9780823420148)</f>
        <v>9780823420148</v>
      </c>
      <c r="F144" s="2"/>
      <c r="G144" s="2"/>
    </row>
    <row r="145" spans="1:7" ht="13.15">
      <c r="A145" s="3" t="str">
        <f ca="1">IFERROR(__xludf.UNSUPPORTED("""COMPUTED_VALUE"""),"3")</f>
        <v>3</v>
      </c>
      <c r="B145" s="4" t="str">
        <f ca="1">IFERROR(__xludf.UNSUPPORTED("""COMPUTED_VALUE"""),"The Pain and the Great One")</f>
        <v>The Pain and the Great One</v>
      </c>
      <c r="C145" s="3" t="str">
        <f ca="1">IFERROR(__xludf.UNSUPPORTED("""COMPUTED_VALUE"""),"F")</f>
        <v>F</v>
      </c>
      <c r="D145" s="4" t="str">
        <f ca="1">IFERROR(__xludf.UNSUPPORTED("""COMPUTED_VALUE"""),"Blume, Judy")</f>
        <v>Blume, Judy</v>
      </c>
      <c r="E145" s="5">
        <f ca="1">IFERROR(__xludf.UNSUPPORTED("""COMPUTED_VALUE"""),9781481411455)</f>
        <v>9781481411455</v>
      </c>
      <c r="F145" s="2"/>
      <c r="G145" s="2"/>
    </row>
    <row r="146" spans="1:7" ht="13.15">
      <c r="A146" s="3" t="str">
        <f ca="1">IFERROR(__xludf.UNSUPPORTED("""COMPUTED_VALUE"""),"3")</f>
        <v>3</v>
      </c>
      <c r="B146" s="4" t="str">
        <f ca="1">IFERROR(__xludf.UNSUPPORTED("""COMPUTED_VALUE"""),"Pigsticks and Harold and the Incredible Journey")</f>
        <v>Pigsticks and Harold and the Incredible Journey</v>
      </c>
      <c r="C146" s="3" t="str">
        <f ca="1">IFERROR(__xludf.UNSUPPORTED("""COMPUTED_VALUE"""),"F")</f>
        <v>F</v>
      </c>
      <c r="D146" s="4" t="str">
        <f ca="1">IFERROR(__xludf.UNSUPPORTED("""COMPUTED_VALUE"""),"Milway, Alex")</f>
        <v>Milway, Alex</v>
      </c>
      <c r="E146" s="5">
        <f ca="1">IFERROR(__xludf.UNSUPPORTED("""COMPUTED_VALUE"""),9780763681050)</f>
        <v>9780763681050</v>
      </c>
      <c r="F146" s="2"/>
      <c r="G146" s="2"/>
    </row>
    <row r="147" spans="1:7" ht="13.15">
      <c r="A147" s="3" t="str">
        <f ca="1">IFERROR(__xludf.UNSUPPORTED("""COMPUTED_VALUE"""),"3")</f>
        <v>3</v>
      </c>
      <c r="B147" s="4" t="str">
        <f ca="1">IFERROR(__xludf.UNSUPPORTED("""COMPUTED_VALUE"""),"The Pinstripe Ghost")</f>
        <v>The Pinstripe Ghost</v>
      </c>
      <c r="C147" s="3" t="str">
        <f ca="1">IFERROR(__xludf.UNSUPPORTED("""COMPUTED_VALUE"""),"F")</f>
        <v>F</v>
      </c>
      <c r="D147" s="4" t="str">
        <f ca="1">IFERROR(__xludf.UNSUPPORTED("""COMPUTED_VALUE"""),"Kelly, David A.")</f>
        <v>Kelly, David A.</v>
      </c>
      <c r="E147" s="5">
        <f ca="1">IFERROR(__xludf.UNSUPPORTED("""COMPUTED_VALUE"""),9780375867040)</f>
        <v>9780375867040</v>
      </c>
      <c r="F147" s="2"/>
      <c r="G147" s="2"/>
    </row>
    <row r="148" spans="1:7" ht="13.15">
      <c r="A148" s="3" t="str">
        <f ca="1">IFERROR(__xludf.UNSUPPORTED("""COMPUTED_VALUE"""),"3")</f>
        <v>3</v>
      </c>
      <c r="B148" s="4" t="str">
        <f ca="1">IFERROR(__xludf.UNSUPPORTED("""COMPUTED_VALUE"""),"Poppy the Pirate Dog")</f>
        <v>Poppy the Pirate Dog</v>
      </c>
      <c r="C148" s="3" t="str">
        <f ca="1">IFERROR(__xludf.UNSUPPORTED("""COMPUTED_VALUE"""),"F")</f>
        <v>F</v>
      </c>
      <c r="D148" s="4" t="str">
        <f ca="1">IFERROR(__xludf.UNSUPPORTED("""COMPUTED_VALUE"""),"Kessler, Liz")</f>
        <v>Kessler, Liz</v>
      </c>
      <c r="E148" s="5">
        <f ca="1">IFERROR(__xludf.UNSUPPORTED("""COMPUTED_VALUE"""),9780763676612)</f>
        <v>9780763676612</v>
      </c>
      <c r="F148" s="2"/>
      <c r="G148" s="2"/>
    </row>
    <row r="149" spans="1:7" ht="13.15">
      <c r="A149" s="3" t="str">
        <f ca="1">IFERROR(__xludf.UNSUPPORTED("""COMPUTED_VALUE"""),"3")</f>
        <v>3</v>
      </c>
      <c r="B149" s="4" t="str">
        <f ca="1">IFERROR(__xludf.UNSUPPORTED("""COMPUTED_VALUE"""),"Poppy the Pirate Dog's New Shipmate")</f>
        <v>Poppy the Pirate Dog's New Shipmate</v>
      </c>
      <c r="C149" s="3" t="str">
        <f ca="1">IFERROR(__xludf.UNSUPPORTED("""COMPUTED_VALUE"""),"F")</f>
        <v>F</v>
      </c>
      <c r="D149" s="4" t="str">
        <f ca="1">IFERROR(__xludf.UNSUPPORTED("""COMPUTED_VALUE"""),"Kessler, Liz")</f>
        <v>Kessler, Liz</v>
      </c>
      <c r="E149" s="5">
        <f ca="1">IFERROR(__xludf.UNSUPPORTED("""COMPUTED_VALUE"""),9780763680312)</f>
        <v>9780763680312</v>
      </c>
      <c r="F149" s="2"/>
      <c r="G149" s="2"/>
    </row>
    <row r="150" spans="1:7" ht="13.15">
      <c r="A150" s="3" t="str">
        <f ca="1">IFERROR(__xludf.UNSUPPORTED("""COMPUTED_VALUE"""),"3")</f>
        <v>3</v>
      </c>
      <c r="B150" s="4" t="str">
        <f ca="1">IFERROR(__xludf.UNSUPPORTED("""COMPUTED_VALUE"""),"The Possum Always Rings Twice")</f>
        <v>The Possum Always Rings Twice</v>
      </c>
      <c r="C150" s="3" t="str">
        <f ca="1">IFERROR(__xludf.UNSUPPORTED("""COMPUTED_VALUE"""),"F")</f>
        <v>F</v>
      </c>
      <c r="D150" s="4" t="str">
        <f ca="1">IFERROR(__xludf.UNSUPPORTED("""COMPUTED_VALUE"""),"Hale, Bruce")</f>
        <v>Hale, Bruce</v>
      </c>
      <c r="E150" s="5">
        <f ca="1">IFERROR(__xludf.UNSUPPORTED("""COMPUTED_VALUE"""),9780152052331)</f>
        <v>9780152052331</v>
      </c>
      <c r="F150" s="2"/>
      <c r="G150" s="2"/>
    </row>
    <row r="151" spans="1:7" ht="13.15">
      <c r="A151" s="3" t="str">
        <f ca="1">IFERROR(__xludf.UNSUPPORTED("""COMPUTED_VALUE"""),"3")</f>
        <v>3</v>
      </c>
      <c r="B151" s="4" t="str">
        <f ca="1">IFERROR(__xludf.UNSUPPORTED("""COMPUTED_VALUE"""),"Pouncing Bobcats")</f>
        <v>Pouncing Bobcats</v>
      </c>
      <c r="C151" s="3" t="str">
        <f ca="1">IFERROR(__xludf.UNSUPPORTED("""COMPUTED_VALUE"""),"N")</f>
        <v>N</v>
      </c>
      <c r="D151" s="4" t="str">
        <f ca="1">IFERROR(__xludf.UNSUPPORTED("""COMPUTED_VALUE"""),"Riley, Joelle")</f>
        <v>Riley, Joelle</v>
      </c>
      <c r="E151" s="5">
        <f ca="1">IFERROR(__xludf.UNSUPPORTED("""COMPUTED_VALUE"""),9780822509653)</f>
        <v>9780822509653</v>
      </c>
      <c r="F151" s="2"/>
      <c r="G151" s="2"/>
    </row>
    <row r="152" spans="1:7" ht="13.15">
      <c r="A152" s="3" t="str">
        <f ca="1">IFERROR(__xludf.UNSUPPORTED("""COMPUTED_VALUE"""),"3")</f>
        <v>3</v>
      </c>
      <c r="B152" s="4" t="str">
        <f ca="1">IFERROR(__xludf.UNSUPPORTED("""COMPUTED_VALUE"""),"Inspector Flytrap in The President's Mane Is Missing")</f>
        <v>Inspector Flytrap in The President's Mane Is Missing</v>
      </c>
      <c r="C152" s="3" t="str">
        <f ca="1">IFERROR(__xludf.UNSUPPORTED("""COMPUTED_VALUE"""),"F")</f>
        <v>F</v>
      </c>
      <c r="D152" s="4" t="str">
        <f ca="1">IFERROR(__xludf.UNSUPPORTED("""COMPUTED_VALUE"""),"Angleberger, Tom")</f>
        <v>Angleberger, Tom</v>
      </c>
      <c r="E152" s="5">
        <f ca="1">IFERROR(__xludf.UNSUPPORTED("""COMPUTED_VALUE"""),9781419709661)</f>
        <v>9781419709661</v>
      </c>
      <c r="F152" s="2"/>
      <c r="G152" s="2"/>
    </row>
    <row r="153" spans="1:7" ht="13.15">
      <c r="A153" s="3" t="str">
        <f ca="1">IFERROR(__xludf.UNSUPPORTED("""COMPUTED_VALUE"""),"3")</f>
        <v>3</v>
      </c>
      <c r="B153" s="4" t="str">
        <f ca="1">IFERROR(__xludf.UNSUPPORTED("""COMPUTED_VALUE"""),"The Princess in Black and the Perfect Princess Party")</f>
        <v>The Princess in Black and the Perfect Princess Party</v>
      </c>
      <c r="C153" s="3" t="str">
        <f ca="1">IFERROR(__xludf.UNSUPPORTED("""COMPUTED_VALUE"""),"F")</f>
        <v>F</v>
      </c>
      <c r="D153" s="4" t="str">
        <f ca="1">IFERROR(__xludf.UNSUPPORTED("""COMPUTED_VALUE"""),"Hale, Shannon &amp; Hale, Dean")</f>
        <v>Hale, Shannon &amp; Hale, Dean</v>
      </c>
      <c r="E153" s="5">
        <f ca="1">IFERROR(__xludf.UNSUPPORTED("""COMPUTED_VALUE"""),9780763687588)</f>
        <v>9780763687588</v>
      </c>
      <c r="F153" s="2"/>
      <c r="G153" s="2"/>
    </row>
    <row r="154" spans="1:7" ht="13.15">
      <c r="A154" s="3" t="str">
        <f ca="1">IFERROR(__xludf.UNSUPPORTED("""COMPUTED_VALUE"""),"3")</f>
        <v>3</v>
      </c>
      <c r="B154" s="4" t="str">
        <f ca="1">IFERROR(__xludf.UNSUPPORTED("""COMPUTED_VALUE"""),"The Princess in Black")</f>
        <v>The Princess in Black</v>
      </c>
      <c r="C154" s="3" t="str">
        <f ca="1">IFERROR(__xludf.UNSUPPORTED("""COMPUTED_VALUE"""),"F")</f>
        <v>F</v>
      </c>
      <c r="D154" s="4" t="str">
        <f ca="1">IFERROR(__xludf.UNSUPPORTED("""COMPUTED_VALUE"""),"Hale, Shannon &amp; Hale, Dean")</f>
        <v>Hale, Shannon &amp; Hale, Dean</v>
      </c>
      <c r="E154" s="5">
        <f ca="1">IFERROR(__xludf.UNSUPPORTED("""COMPUTED_VALUE"""),9780763678883)</f>
        <v>9780763678883</v>
      </c>
      <c r="F154" s="2"/>
      <c r="G154" s="2"/>
    </row>
    <row r="155" spans="1:7" ht="13.15">
      <c r="A155" s="3" t="str">
        <f ca="1">IFERROR(__xludf.UNSUPPORTED("""COMPUTED_VALUE"""),"3")</f>
        <v>3</v>
      </c>
      <c r="B155" s="4" t="str">
        <f ca="1">IFERROR(__xludf.UNSUPPORTED("""COMPUTED_VALUE"""),"Race to the South Pole")</f>
        <v>Race to the South Pole</v>
      </c>
      <c r="C155" s="3" t="str">
        <f ca="1">IFERROR(__xludf.UNSUPPORTED("""COMPUTED_VALUE"""),"F")</f>
        <v>F</v>
      </c>
      <c r="D155" s="4" t="str">
        <f ca="1">IFERROR(__xludf.UNSUPPORTED("""COMPUTED_VALUE"""),"Messner, Kate")</f>
        <v>Messner, Kate</v>
      </c>
      <c r="E155" s="5">
        <f ca="1">IFERROR(__xludf.UNSUPPORTED("""COMPUTED_VALUE"""),9780545639255)</f>
        <v>9780545639255</v>
      </c>
      <c r="F155" s="2"/>
      <c r="G155" s="2"/>
    </row>
    <row r="156" spans="1:7" ht="13.15">
      <c r="A156" s="3" t="str">
        <f ca="1">IFERROR(__xludf.UNSUPPORTED("""COMPUTED_VALUE"""),"3")</f>
        <v>3</v>
      </c>
      <c r="B156" s="4" t="str">
        <f ca="1">IFERROR(__xludf.UNSUPPORTED("""COMPUTED_VALUE"""),"Rainforests")</f>
        <v>Rainforests</v>
      </c>
      <c r="C156" s="3" t="str">
        <f ca="1">IFERROR(__xludf.UNSUPPORTED("""COMPUTED_VALUE"""),"N")</f>
        <v>N</v>
      </c>
      <c r="D156" s="4" t="str">
        <f ca="1">IFERROR(__xludf.UNSUPPORTED("""COMPUTED_VALUE"""),"Franklin, Yvonne")</f>
        <v>Franklin, Yvonne</v>
      </c>
      <c r="E156" s="5">
        <f ca="1">IFERROR(__xludf.UNSUPPORTED("""COMPUTED_VALUE"""),9781433303197)</f>
        <v>9781433303197</v>
      </c>
      <c r="F156" s="2"/>
      <c r="G156" s="2"/>
    </row>
    <row r="157" spans="1:7" ht="13.15">
      <c r="A157" s="3" t="str">
        <f ca="1">IFERROR(__xludf.UNSUPPORTED("""COMPUTED_VALUE"""),"3")</f>
        <v>3</v>
      </c>
      <c r="B157" s="4" t="str">
        <f ca="1">IFERROR(__xludf.UNSUPPORTED("""COMPUTED_VALUE"""),"Rats on the Roof and Other Stories")</f>
        <v>Rats on the Roof and Other Stories</v>
      </c>
      <c r="C157" s="3" t="str">
        <f ca="1">IFERROR(__xludf.UNSUPPORTED("""COMPUTED_VALUE"""),"F")</f>
        <v>F</v>
      </c>
      <c r="D157" s="4" t="str">
        <f ca="1">IFERROR(__xludf.UNSUPPORTED("""COMPUTED_VALUE"""),"Marshall, James")</f>
        <v>Marshall, James</v>
      </c>
      <c r="E157" s="5">
        <f ca="1">IFERROR(__xludf.UNSUPPORTED("""COMPUTED_VALUE"""),9780140386462)</f>
        <v>9780140386462</v>
      </c>
      <c r="F157" s="2"/>
      <c r="G157" s="2"/>
    </row>
    <row r="158" spans="1:7" ht="13.15">
      <c r="A158" s="3" t="str">
        <f ca="1">IFERROR(__xludf.UNSUPPORTED("""COMPUTED_VALUE"""),"3")</f>
        <v>3</v>
      </c>
      <c r="B158" s="4" t="str">
        <f ca="1">IFERROR(__xludf.UNSUPPORTED("""COMPUTED_VALUE"""),"The Report Card")</f>
        <v>The Report Card</v>
      </c>
      <c r="C158" s="3" t="str">
        <f ca="1">IFERROR(__xludf.UNSUPPORTED("""COMPUTED_VALUE"""),"F")</f>
        <v>F</v>
      </c>
      <c r="D158" s="4" t="str">
        <f ca="1">IFERROR(__xludf.UNSUPPORTED("""COMPUTED_VALUE"""),"Clements, Andrew")</f>
        <v>Clements, Andrew</v>
      </c>
      <c r="E158" s="5">
        <f ca="1">IFERROR(__xludf.UNSUPPORTED("""COMPUTED_VALUE"""),9780689845246)</f>
        <v>9780689845246</v>
      </c>
      <c r="F158" s="2"/>
      <c r="G158" s="2"/>
    </row>
    <row r="159" spans="1:7" ht="13.15">
      <c r="A159" s="3" t="str">
        <f ca="1">IFERROR(__xludf.UNSUPPORTED("""COMPUTED_VALUE"""),"3")</f>
        <v>3</v>
      </c>
      <c r="B159" s="4" t="str">
        <f ca="1">IFERROR(__xludf.UNSUPPORTED("""COMPUTED_VALUE"""),"Rescue on the Oregon Trail")</f>
        <v>Rescue on the Oregon Trail</v>
      </c>
      <c r="C159" s="3" t="str">
        <f ca="1">IFERROR(__xludf.UNSUPPORTED("""COMPUTED_VALUE"""),"F")</f>
        <v>F</v>
      </c>
      <c r="D159" s="4" t="str">
        <f ca="1">IFERROR(__xludf.UNSUPPORTED("""COMPUTED_VALUE"""),"Messner, Kate")</f>
        <v>Messner, Kate</v>
      </c>
      <c r="E159" s="5">
        <f ca="1">IFERROR(__xludf.UNSUPPORTED("""COMPUTED_VALUE"""),9780545639149)</f>
        <v>9780545639149</v>
      </c>
      <c r="F159" s="2"/>
      <c r="G159" s="2"/>
    </row>
    <row r="160" spans="1:7" ht="13.15">
      <c r="A160" s="3" t="str">
        <f ca="1">IFERROR(__xludf.UNSUPPORTED("""COMPUTED_VALUE"""),"3")</f>
        <v>3</v>
      </c>
      <c r="B160" s="4" t="str">
        <f ca="1">IFERROR(__xludf.UNSUPPORTED("""COMPUTED_VALUE"""),"Robots")</f>
        <v>Robots</v>
      </c>
      <c r="C160" s="3" t="str">
        <f ca="1">IFERROR(__xludf.UNSUPPORTED("""COMPUTED_VALUE"""),"N")</f>
        <v>N</v>
      </c>
      <c r="D160" s="4" t="str">
        <f ca="1">IFERROR(__xludf.UNSUPPORTED("""COMPUTED_VALUE"""),"Stewart, Melissa")</f>
        <v>Stewart, Melissa</v>
      </c>
      <c r="E160" s="5">
        <f ca="1">IFERROR(__xludf.UNSUPPORTED("""COMPUTED_VALUE"""),9781426313448)</f>
        <v>9781426313448</v>
      </c>
      <c r="F160" s="2"/>
      <c r="G160" s="2"/>
    </row>
    <row r="161" spans="1:7" ht="13.15">
      <c r="A161" s="3" t="str">
        <f ca="1">IFERROR(__xludf.UNSUPPORTED("""COMPUTED_VALUE"""),"3")</f>
        <v>3</v>
      </c>
      <c r="B161" s="4" t="str">
        <f ca="1">IFERROR(__xludf.UNSUPPORTED("""COMPUTED_VALUE"""),"Sacajawea: Her True Story")</f>
        <v>Sacajawea: Her True Story</v>
      </c>
      <c r="C161" s="3" t="str">
        <f ca="1">IFERROR(__xludf.UNSUPPORTED("""COMPUTED_VALUE"""),"N")</f>
        <v>N</v>
      </c>
      <c r="D161" s="4" t="str">
        <f ca="1">IFERROR(__xludf.UNSUPPORTED("""COMPUTED_VALUE"""),"Milton, Joyce")</f>
        <v>Milton, Joyce</v>
      </c>
      <c r="E161" s="5">
        <f ca="1">IFERROR(__xludf.UNSUPPORTED("""COMPUTED_VALUE"""),9780448425399)</f>
        <v>9780448425399</v>
      </c>
      <c r="F161" s="2"/>
      <c r="G161" s="2"/>
    </row>
    <row r="162" spans="1:7" ht="26.45">
      <c r="A162" s="3" t="str">
        <f ca="1">IFERROR(__xludf.UNSUPPORTED("""COMPUTED_VALUE"""),"3")</f>
        <v>3</v>
      </c>
      <c r="B162" s="4" t="str">
        <f ca="1">IFERROR(__xludf.UNSUPPORTED("""COMPUTED_VALUE"""),"Salamander Season")</f>
        <v>Salamander Season</v>
      </c>
      <c r="C162" s="3" t="str">
        <f ca="1">IFERROR(__xludf.UNSUPPORTED("""COMPUTED_VALUE"""),"H")</f>
        <v>H</v>
      </c>
      <c r="D162" s="4" t="str">
        <f ca="1">IFERROR(__xludf.UNSUPPORTED("""COMPUTED_VALUE"""),"Keats Curtis, Jennifer &amp;  J. Adam Frederick")</f>
        <v>Keats Curtis, Jennifer &amp;  J. Adam Frederick</v>
      </c>
      <c r="E162" s="5">
        <f ca="1">IFERROR(__xludf.UNSUPPORTED("""COMPUTED_VALUE"""),9781628555653)</f>
        <v>9781628555653</v>
      </c>
      <c r="F162" s="2"/>
      <c r="G162" s="2"/>
    </row>
    <row r="163" spans="1:7" ht="13.15">
      <c r="A163" s="3" t="str">
        <f ca="1">IFERROR(__xludf.UNSUPPORTED("""COMPUTED_VALUE"""),"3")</f>
        <v>3</v>
      </c>
      <c r="B163" s="4" t="str">
        <f ca="1">IFERROR(__xludf.UNSUPPORTED("""COMPUTED_VALUE"""),"Salsa Stories")</f>
        <v>Salsa Stories</v>
      </c>
      <c r="C163" s="3" t="str">
        <f ca="1">IFERROR(__xludf.UNSUPPORTED("""COMPUTED_VALUE"""),"F")</f>
        <v>F</v>
      </c>
      <c r="D163" s="4" t="str">
        <f ca="1">IFERROR(__xludf.UNSUPPORTED("""COMPUTED_VALUE"""),"Delacre, Lulu")</f>
        <v>Delacre, Lulu</v>
      </c>
      <c r="E163" s="5">
        <f ca="1">IFERROR(__xludf.UNSUPPORTED("""COMPUTED_VALUE"""),9780545430982)</f>
        <v>9780545430982</v>
      </c>
      <c r="F163" s="2"/>
      <c r="G163" s="2"/>
    </row>
    <row r="164" spans="1:7" ht="13.15">
      <c r="A164" s="3" t="str">
        <f ca="1">IFERROR(__xludf.UNSUPPORTED("""COMPUTED_VALUE"""),"3")</f>
        <v>3</v>
      </c>
      <c r="B164" s="4" t="str">
        <f ca="1">IFERROR(__xludf.UNSUPPORTED("""COMPUTED_VALUE"""),"Sam and Nate")</f>
        <v>Sam and Nate</v>
      </c>
      <c r="C164" s="3" t="str">
        <f ca="1">IFERROR(__xludf.UNSUPPORTED("""COMPUTED_VALUE"""),"F")</f>
        <v>F</v>
      </c>
      <c r="D164" s="4" t="str">
        <f ca="1">IFERROR(__xludf.UNSUPPORTED("""COMPUTED_VALUE"""),"Collins, P. J. Sarah")</f>
        <v>Collins, P. J. Sarah</v>
      </c>
      <c r="E164" s="5">
        <f ca="1">IFERROR(__xludf.UNSUPPORTED("""COMPUTED_VALUE"""),9781551433349)</f>
        <v>9781551433349</v>
      </c>
      <c r="F164" s="2"/>
      <c r="G164" s="2"/>
    </row>
    <row r="165" spans="1:7" ht="13.15">
      <c r="A165" s="3" t="str">
        <f ca="1">IFERROR(__xludf.UNSUPPORTED("""COMPUTED_VALUE"""),"3")</f>
        <v>3</v>
      </c>
      <c r="B165" s="4" t="str">
        <f ca="1">IFERROR(__xludf.UNSUPPORTED("""COMPUTED_VALUE"""),"Sharks")</f>
        <v>Sharks</v>
      </c>
      <c r="C165" s="3" t="str">
        <f ca="1">IFERROR(__xludf.UNSUPPORTED("""COMPUTED_VALUE"""),"N")</f>
        <v>N</v>
      </c>
      <c r="D165" s="4" t="str">
        <f ca="1">IFERROR(__xludf.UNSUPPORTED("""COMPUTED_VALUE"""),"Schreiber, Anne")</f>
        <v>Schreiber, Anne</v>
      </c>
      <c r="E165" s="5">
        <f ca="1">IFERROR(__xludf.UNSUPPORTED("""COMPUTED_VALUE"""),9781426302862)</f>
        <v>9781426302862</v>
      </c>
      <c r="F165" s="2"/>
      <c r="G165" s="2"/>
    </row>
    <row r="166" spans="1:7" ht="13.15">
      <c r="A166" s="3" t="str">
        <f ca="1">IFERROR(__xludf.UNSUPPORTED("""COMPUTED_VALUE"""),"3")</f>
        <v>3</v>
      </c>
      <c r="B166" s="4" t="str">
        <f ca="1">IFERROR(__xludf.UNSUPPORTED("""COMPUTED_VALUE"""),"Skateboard Party")</f>
        <v>Skateboard Party</v>
      </c>
      <c r="C166" s="3" t="str">
        <f ca="1">IFERROR(__xludf.UNSUPPORTED("""COMPUTED_VALUE"""),"F")</f>
        <v>F</v>
      </c>
      <c r="D166" s="4" t="str">
        <f ca="1">IFERROR(__xludf.UNSUPPORTED("""COMPUTED_VALUE"""),"English, Karen")</f>
        <v>English, Karen</v>
      </c>
      <c r="E166" s="5">
        <f ca="1">IFERROR(__xludf.UNSUPPORTED("""COMPUTED_VALUE"""),9780544582262)</f>
        <v>9780544582262</v>
      </c>
      <c r="F166" s="2"/>
      <c r="G166" s="2"/>
    </row>
    <row r="167" spans="1:7" ht="13.15">
      <c r="A167" s="3" t="str">
        <f ca="1">IFERROR(__xludf.UNSUPPORTED("""COMPUTED_VALUE"""),"3")</f>
        <v>3</v>
      </c>
      <c r="B167" s="4" t="str">
        <f ca="1">IFERROR(__xludf.UNSUPPORTED("""COMPUTED_VALUE"""),"Skyscrapers")</f>
        <v>Skyscrapers</v>
      </c>
      <c r="C167" s="3" t="str">
        <f ca="1">IFERROR(__xludf.UNSUPPORTED("""COMPUTED_VALUE"""),"N")</f>
        <v>N</v>
      </c>
      <c r="D167" s="4" t="str">
        <f ca="1">IFERROR(__xludf.UNSUPPORTED("""COMPUTED_VALUE"""),"Romero, Libby")</f>
        <v>Romero, Libby</v>
      </c>
      <c r="E167" s="5">
        <f ca="1">IFERROR(__xludf.UNSUPPORTED("""COMPUTED_VALUE"""),9781426326813)</f>
        <v>9781426326813</v>
      </c>
      <c r="F167" s="2"/>
      <c r="G167" s="2"/>
    </row>
    <row r="168" spans="1:7" ht="13.15">
      <c r="A168" s="3" t="str">
        <f ca="1">IFERROR(__xludf.UNSUPPORTED("""COMPUTED_VALUE"""),"3")</f>
        <v>3</v>
      </c>
      <c r="B168" s="4" t="str">
        <f ca="1">IFERROR(__xludf.UNSUPPORTED("""COMPUTED_VALUE"""),"Sleeping Beauty")</f>
        <v>Sleeping Beauty</v>
      </c>
      <c r="C168" s="3" t="str">
        <f ca="1">IFERROR(__xludf.UNSUPPORTED("""COMPUTED_VALUE"""),"F")</f>
        <v>F</v>
      </c>
      <c r="D168" s="4" t="str">
        <f ca="1">IFERROR(__xludf.UNSUPPORTED("""COMPUTED_VALUE"""),"Powell, Martin")</f>
        <v>Powell, Martin</v>
      </c>
      <c r="E168" s="5">
        <f ca="1">IFERROR(__xludf.UNSUPPORTED("""COMPUTED_VALUE"""),9781434213938)</f>
        <v>9781434213938</v>
      </c>
      <c r="F168" s="2"/>
      <c r="G168" s="2"/>
    </row>
    <row r="169" spans="1:7" ht="13.15">
      <c r="A169" s="3" t="str">
        <f ca="1">IFERROR(__xludf.UNSUPPORTED("""COMPUTED_VALUE"""),"3")</f>
        <v>3</v>
      </c>
      <c r="B169" s="4" t="str">
        <f ca="1">IFERROR(__xludf.UNSUPPORTED("""COMPUTED_VALUE"""),"Snakes")</f>
        <v>Snakes</v>
      </c>
      <c r="C169" s="3" t="str">
        <f ca="1">IFERROR(__xludf.UNSUPPORTED("""COMPUTED_VALUE"""),"N")</f>
        <v>N</v>
      </c>
      <c r="D169" s="4" t="str">
        <f ca="1">IFERROR(__xludf.UNSUPPORTED("""COMPUTED_VALUE"""),"Gibbons, Gail")</f>
        <v>Gibbons, Gail</v>
      </c>
      <c r="E169" s="5">
        <f ca="1">IFERROR(__xludf.UNSUPPORTED("""COMPUTED_VALUE"""),9780823423002)</f>
        <v>9780823423002</v>
      </c>
      <c r="F169" s="2"/>
      <c r="G169" s="2"/>
    </row>
    <row r="170" spans="1:7" ht="13.15">
      <c r="A170" s="3" t="str">
        <f ca="1">IFERROR(__xludf.UNSUPPORTED("""COMPUTED_VALUE"""),"3")</f>
        <v>3</v>
      </c>
      <c r="B170" s="4" t="str">
        <f ca="1">IFERROR(__xludf.UNSUPPORTED("""COMPUTED_VALUE"""),"Soupy Saturdays with the Pain &amp; the Great One")</f>
        <v>Soupy Saturdays with the Pain &amp; the Great One</v>
      </c>
      <c r="C170" s="3" t="str">
        <f ca="1">IFERROR(__xludf.UNSUPPORTED("""COMPUTED_VALUE"""),"F")</f>
        <v>F</v>
      </c>
      <c r="D170" s="4" t="str">
        <f ca="1">IFERROR(__xludf.UNSUPPORTED("""COMPUTED_VALUE"""),"Blume, Judy")</f>
        <v>Blume, Judy</v>
      </c>
      <c r="E170" s="5">
        <f ca="1">IFERROR(__xludf.UNSUPPORTED("""COMPUTED_VALUE"""),9780440420927)</f>
        <v>9780440420927</v>
      </c>
      <c r="F170" s="2"/>
      <c r="G170" s="2"/>
    </row>
    <row r="171" spans="1:7" ht="13.15">
      <c r="A171" s="3" t="str">
        <f ca="1">IFERROR(__xludf.UNSUPPORTED("""COMPUTED_VALUE"""),"3")</f>
        <v>3</v>
      </c>
      <c r="B171" s="4" t="str">
        <f ca="1">IFERROR(__xludf.UNSUPPORTED("""COMPUTED_VALUE"""),"Spiders")</f>
        <v>Spiders</v>
      </c>
      <c r="C171" s="3" t="str">
        <f ca="1">IFERROR(__xludf.UNSUPPORTED("""COMPUTED_VALUE"""),"N")</f>
        <v>N</v>
      </c>
      <c r="D171" s="4" t="str">
        <f ca="1">IFERROR(__xludf.UNSUPPORTED("""COMPUTED_VALUE"""),"Simon, Seymour")</f>
        <v>Simon, Seymour</v>
      </c>
      <c r="E171" s="5">
        <f ca="1">IFERROR(__xludf.UNSUPPORTED("""COMPUTED_VALUE"""),9780060891039)</f>
        <v>9780060891039</v>
      </c>
      <c r="F171" s="2"/>
      <c r="G171" s="2"/>
    </row>
    <row r="172" spans="1:7" ht="13.15">
      <c r="A172" s="3" t="str">
        <f ca="1">IFERROR(__xludf.UNSUPPORTED("""COMPUTED_VALUE"""),"3")</f>
        <v>3</v>
      </c>
      <c r="B172" s="4" t="str">
        <f ca="1">IFERROR(__xludf.UNSUPPORTED("""COMPUTED_VALUE"""),"Stallion by Starlight")</f>
        <v>Stallion by Starlight</v>
      </c>
      <c r="C172" s="3" t="str">
        <f ca="1">IFERROR(__xludf.UNSUPPORTED("""COMPUTED_VALUE"""),"F")</f>
        <v>F</v>
      </c>
      <c r="D172" s="4" t="str">
        <f ca="1">IFERROR(__xludf.UNSUPPORTED("""COMPUTED_VALUE"""),"Osborne, Mary Pope")</f>
        <v>Osborne, Mary Pope</v>
      </c>
      <c r="E172" s="5">
        <f ca="1">IFERROR(__xludf.UNSUPPORTED("""COMPUTED_VALUE"""),9780307980441)</f>
        <v>9780307980441</v>
      </c>
      <c r="F172" s="2"/>
      <c r="G172" s="2"/>
    </row>
    <row r="173" spans="1:7" ht="13.15">
      <c r="A173" s="3" t="str">
        <f ca="1">IFERROR(__xludf.UNSUPPORTED("""COMPUTED_VALUE"""),"3")</f>
        <v>3</v>
      </c>
      <c r="B173" s="4" t="str">
        <f ca="1">IFERROR(__xludf.UNSUPPORTED("""COMPUTED_VALUE"""),"Starring Grace")</f>
        <v>Starring Grace</v>
      </c>
      <c r="C173" s="3" t="str">
        <f ca="1">IFERROR(__xludf.UNSUPPORTED("""COMPUTED_VALUE"""),"F")</f>
        <v>F</v>
      </c>
      <c r="D173" s="4" t="str">
        <f ca="1">IFERROR(__xludf.UNSUPPORTED("""COMPUTED_VALUE"""),"Hoffman, Mary")</f>
        <v>Hoffman, Mary</v>
      </c>
      <c r="E173" s="5">
        <f ca="1">IFERROR(__xludf.UNSUPPORTED("""COMPUTED_VALUE"""),9780142300220)</f>
        <v>9780142300220</v>
      </c>
      <c r="F173" s="2"/>
      <c r="G173" s="2"/>
    </row>
    <row r="174" spans="1:7" ht="13.15">
      <c r="A174" s="3" t="str">
        <f ca="1">IFERROR(__xludf.UNSUPPORTED("""COMPUTED_VALUE"""),"3")</f>
        <v>3</v>
      </c>
      <c r="B174" s="4" t="str">
        <f ca="1">IFERROR(__xludf.UNSUPPORTED("""COMPUTED_VALUE"""),"Store Clerks: Then and Now")</f>
        <v>Store Clerks: Then and Now</v>
      </c>
      <c r="C174" s="3" t="str">
        <f ca="1">IFERROR(__xludf.UNSUPPORTED("""COMPUTED_VALUE"""),"N")</f>
        <v>N</v>
      </c>
      <c r="D174" s="4" t="str">
        <f ca="1">IFERROR(__xludf.UNSUPPORTED("""COMPUTED_VALUE"""),"Zamosky, Lisa")</f>
        <v>Zamosky, Lisa</v>
      </c>
      <c r="E174" s="5">
        <f ca="1">IFERROR(__xludf.UNSUPPORTED("""COMPUTED_VALUE"""),9780743993845)</f>
        <v>9780743993845</v>
      </c>
      <c r="F174" s="2"/>
      <c r="G174" s="2"/>
    </row>
    <row r="175" spans="1:7" ht="13.15">
      <c r="A175" s="3" t="str">
        <f ca="1">IFERROR(__xludf.UNSUPPORTED("""COMPUTED_VALUE"""),"3")</f>
        <v>3</v>
      </c>
      <c r="B175" s="4" t="str">
        <f ca="1">IFERROR(__xludf.UNSUPPORTED("""COMPUTED_VALUE"""),"Strong Man: The Story of Charles Atlas")</f>
        <v>Strong Man: The Story of Charles Atlas</v>
      </c>
      <c r="C175" s="3" t="str">
        <f ca="1">IFERROR(__xludf.UNSUPPORTED("""COMPUTED_VALUE"""),"N")</f>
        <v>N</v>
      </c>
      <c r="D175" s="4" t="str">
        <f ca="1">IFERROR(__xludf.UNSUPPORTED("""COMPUTED_VALUE"""),"McCarthy, Meghan")</f>
        <v>McCarthy, Meghan</v>
      </c>
      <c r="E175" s="5">
        <f ca="1">IFERROR(__xludf.UNSUPPORTED("""COMPUTED_VALUE"""),9780553113549)</f>
        <v>9780553113549</v>
      </c>
      <c r="F175" s="2"/>
      <c r="G175" s="2"/>
    </row>
    <row r="176" spans="1:7" ht="13.15">
      <c r="A176" s="3" t="str">
        <f ca="1">IFERROR(__xludf.UNSUPPORTED("""COMPUTED_VALUE"""),"3")</f>
        <v>3</v>
      </c>
      <c r="B176" s="4" t="str">
        <f ca="1">IFERROR(__xludf.UNSUPPORTED("""COMPUTED_VALUE"""),"Superfudge")</f>
        <v>Superfudge</v>
      </c>
      <c r="C176" s="3" t="str">
        <f ca="1">IFERROR(__xludf.UNSUPPORTED("""COMPUTED_VALUE"""),"F")</f>
        <v>F</v>
      </c>
      <c r="D176" s="4" t="str">
        <f ca="1">IFERROR(__xludf.UNSUPPORTED("""COMPUTED_VALUE"""),"Blume, Judy")</f>
        <v>Blume, Judy</v>
      </c>
      <c r="E176" s="5">
        <f ca="1">IFERROR(__xludf.UNSUPPORTED("""COMPUTED_VALUE"""),9780142408803)</f>
        <v>9780142408803</v>
      </c>
      <c r="F176" s="2"/>
      <c r="G176" s="2"/>
    </row>
    <row r="177" spans="1:7" ht="13.15">
      <c r="A177" s="3" t="str">
        <f ca="1">IFERROR(__xludf.UNSUPPORTED("""COMPUTED_VALUE"""),"3")</f>
        <v>3</v>
      </c>
      <c r="B177" s="4" t="str">
        <f ca="1">IFERROR(__xludf.UNSUPPORTED("""COMPUTED_VALUE"""),"The Tale of the Oki Islands: A Tale from Japan")</f>
        <v>The Tale of the Oki Islands: A Tale from Japan</v>
      </c>
      <c r="C177" s="3" t="str">
        <f ca="1">IFERROR(__xludf.UNSUPPORTED("""COMPUTED_VALUE"""),"F")</f>
        <v>F</v>
      </c>
      <c r="D177" s="4" t="str">
        <f ca="1">IFERROR(__xludf.UNSUPPORTED("""COMPUTED_VALUE"""),"Barchers, Suzanne, I.")</f>
        <v>Barchers, Suzanne, I.</v>
      </c>
      <c r="E177" s="5">
        <f ca="1">IFERROR(__xludf.UNSUPPORTED("""COMPUTED_VALUE"""),9781937529628)</f>
        <v>9781937529628</v>
      </c>
      <c r="F177" s="2"/>
      <c r="G177" s="2"/>
    </row>
    <row r="178" spans="1:7" ht="13.15">
      <c r="A178" s="3" t="str">
        <f ca="1">IFERROR(__xludf.UNSUPPORTED("""COMPUTED_VALUE"""),"3")</f>
        <v>3</v>
      </c>
      <c r="B178" s="4" t="str">
        <f ca="1">IFERROR(__xludf.UNSUPPORTED("""COMPUTED_VALUE"""),"The Tall Tale of Paul Bunyan")</f>
        <v>The Tall Tale of Paul Bunyan</v>
      </c>
      <c r="C178" s="3" t="str">
        <f ca="1">IFERROR(__xludf.UNSUPPORTED("""COMPUTED_VALUE"""),"F")</f>
        <v>F</v>
      </c>
      <c r="D178" s="4" t="str">
        <f ca="1">IFERROR(__xludf.UNSUPPORTED("""COMPUTED_VALUE"""),"Powell, Martin")</f>
        <v>Powell, Martin</v>
      </c>
      <c r="E178" s="5">
        <f ca="1">IFERROR(__xludf.UNSUPPORTED("""COMPUTED_VALUE"""),9781434222688)</f>
        <v>9781434222688</v>
      </c>
      <c r="F178" s="2"/>
      <c r="G178" s="2"/>
    </row>
    <row r="179" spans="1:7" ht="13.15">
      <c r="A179" s="3" t="str">
        <f ca="1">IFERROR(__xludf.UNSUPPORTED("""COMPUTED_VALUE"""),"3")</f>
        <v>3</v>
      </c>
      <c r="B179" s="4" t="str">
        <f ca="1">IFERROR(__xludf.UNSUPPORTED("""COMPUTED_VALUE"""),"This Gum for Hire")</f>
        <v>This Gum for Hire</v>
      </c>
      <c r="C179" s="3" t="str">
        <f ca="1">IFERROR(__xludf.UNSUPPORTED("""COMPUTED_VALUE"""),"F")</f>
        <v>F</v>
      </c>
      <c r="D179" s="4" t="str">
        <f ca="1">IFERROR(__xludf.UNSUPPORTED("""COMPUTED_VALUE"""),"Hale, Bruce")</f>
        <v>Hale, Bruce</v>
      </c>
      <c r="E179" s="5">
        <f ca="1">IFERROR(__xludf.UNSUPPORTED("""COMPUTED_VALUE"""),9780152024970)</f>
        <v>9780152024970</v>
      </c>
      <c r="F179" s="2"/>
      <c r="G179" s="2"/>
    </row>
    <row r="180" spans="1:7" ht="13.15">
      <c r="A180" s="3" t="str">
        <f ca="1">IFERROR(__xludf.UNSUPPORTED("""COMPUTED_VALUE"""),"3")</f>
        <v>3</v>
      </c>
      <c r="B180" s="4" t="str">
        <f ca="1">IFERROR(__xludf.UNSUPPORTED("""COMPUTED_VALUE"""),"Thomas Edison: Inventor with a Lot of Bright Ideas")</f>
        <v>Thomas Edison: Inventor with a Lot of Bright Ideas</v>
      </c>
      <c r="C180" s="3" t="str">
        <f ca="1">IFERROR(__xludf.UNSUPPORTED("""COMPUTED_VALUE"""),"N")</f>
        <v>N</v>
      </c>
      <c r="D180" s="4" t="str">
        <f ca="1">IFERROR(__xludf.UNSUPPORTED("""COMPUTED_VALUE"""),"Venezia, Mike")</f>
        <v>Venezia, Mike</v>
      </c>
      <c r="E180" s="5">
        <f ca="1">IFERROR(__xludf.UNSUPPORTED("""COMPUTED_VALUE"""),9780531222096)</f>
        <v>9780531222096</v>
      </c>
      <c r="F180" s="2"/>
      <c r="G180" s="2"/>
    </row>
    <row r="181" spans="1:7" ht="13.15">
      <c r="A181" s="3" t="str">
        <f ca="1">IFERROR(__xludf.UNSUPPORTED("""COMPUTED_VALUE"""),"3")</f>
        <v>3</v>
      </c>
      <c r="B181" s="4" t="str">
        <f ca="1">IFERROR(__xludf.UNSUPPORTED("""COMPUTED_VALUE"""),"Tigers at Twilight")</f>
        <v>Tigers at Twilight</v>
      </c>
      <c r="C181" s="3" t="str">
        <f ca="1">IFERROR(__xludf.UNSUPPORTED("""COMPUTED_VALUE"""),"F")</f>
        <v>F</v>
      </c>
      <c r="D181" s="4" t="str">
        <f ca="1">IFERROR(__xludf.UNSUPPORTED("""COMPUTED_VALUE"""),"Osborne, Mary Pope")</f>
        <v>Osborne, Mary Pope</v>
      </c>
      <c r="E181" s="5">
        <f ca="1">IFERROR(__xludf.UNSUPPORTED("""COMPUTED_VALUE"""),9780679890652)</f>
        <v>9780679890652</v>
      </c>
      <c r="F181" s="2"/>
      <c r="G181" s="2"/>
    </row>
    <row r="182" spans="1:7" ht="13.15">
      <c r="A182" s="3" t="str">
        <f ca="1">IFERROR(__xludf.UNSUPPORTED("""COMPUTED_VALUE"""),"3")</f>
        <v>3</v>
      </c>
      <c r="B182" s="4" t="str">
        <f ca="1">IFERROR(__xludf.UNSUPPORTED("""COMPUTED_VALUE"""),"Titanic")</f>
        <v>Titanic</v>
      </c>
      <c r="C182" s="3" t="str">
        <f ca="1">IFERROR(__xludf.UNSUPPORTED("""COMPUTED_VALUE"""),"N")</f>
        <v>N</v>
      </c>
      <c r="D182" s="4" t="str">
        <f ca="1">IFERROR(__xludf.UNSUPPORTED("""COMPUTED_VALUE"""),"Stewart, Melissa")</f>
        <v>Stewart, Melissa</v>
      </c>
      <c r="E182" s="5">
        <f ca="1">IFERROR(__xludf.UNSUPPORTED("""COMPUTED_VALUE"""),9781426310591)</f>
        <v>9781426310591</v>
      </c>
      <c r="F182" s="2"/>
      <c r="G182" s="2"/>
    </row>
    <row r="183" spans="1:7" ht="13.15">
      <c r="A183" s="3" t="str">
        <f ca="1">IFERROR(__xludf.UNSUPPORTED("""COMPUTED_VALUE"""),"3")</f>
        <v>3</v>
      </c>
      <c r="B183" s="4" t="str">
        <f ca="1">IFERROR(__xludf.UNSUPPORTED("""COMPUTED_VALUE"""),"Tracking the Weather")</f>
        <v>Tracking the Weather</v>
      </c>
      <c r="C183" s="3" t="str">
        <f ca="1">IFERROR(__xludf.UNSUPPORTED("""COMPUTED_VALUE"""),"N")</f>
        <v>N</v>
      </c>
      <c r="D183" s="4" t="str">
        <f ca="1">IFERROR(__xludf.UNSUPPORTED("""COMPUTED_VALUE"""),"Davies, Monika")</f>
        <v>Davies, Monika</v>
      </c>
      <c r="E183" s="5">
        <f ca="1">IFERROR(__xludf.UNSUPPORTED("""COMPUTED_VALUE"""),9781480746480)</f>
        <v>9781480746480</v>
      </c>
      <c r="F183" s="2"/>
      <c r="G183" s="2"/>
    </row>
    <row r="184" spans="1:7" ht="13.15">
      <c r="A184" s="3" t="str">
        <f ca="1">IFERROR(__xludf.UNSUPPORTED("""COMPUTED_VALUE"""),"3")</f>
        <v>3</v>
      </c>
      <c r="B184" s="4" t="str">
        <f ca="1">IFERROR(__xludf.UNSUPPORTED("""COMPUTED_VALUE"""),"Traits for Survival")</f>
        <v>Traits for Survival</v>
      </c>
      <c r="C184" s="3" t="str">
        <f ca="1">IFERROR(__xludf.UNSUPPORTED("""COMPUTED_VALUE"""),"N")</f>
        <v>N</v>
      </c>
      <c r="D184" s="4" t="str">
        <f ca="1">IFERROR(__xludf.UNSUPPORTED("""COMPUTED_VALUE"""),"Rice, Dona Herweck")</f>
        <v>Rice, Dona Herweck</v>
      </c>
      <c r="E184" s="5">
        <f ca="1">IFERROR(__xludf.UNSUPPORTED("""COMPUTED_VALUE"""),9781480746398)</f>
        <v>9781480746398</v>
      </c>
      <c r="F184" s="2"/>
      <c r="G184" s="2"/>
    </row>
    <row r="185" spans="1:7" ht="13.15">
      <c r="A185" s="3" t="str">
        <f ca="1">IFERROR(__xludf.UNSUPPORTED("""COMPUTED_VALUE"""),"3")</f>
        <v>3</v>
      </c>
      <c r="B185" s="4" t="str">
        <f ca="1">IFERROR(__xludf.UNSUPPORTED("""COMPUTED_VALUE"""),"Trivia Queen, 3rd Grade Supreme")</f>
        <v>Trivia Queen, 3rd Grade Supreme</v>
      </c>
      <c r="C185" s="3" t="str">
        <f ca="1">IFERROR(__xludf.UNSUPPORTED("""COMPUTED_VALUE"""),"F")</f>
        <v>F</v>
      </c>
      <c r="D185" s="4" t="str">
        <f ca="1">IFERROR(__xludf.UNSUPPORTED("""COMPUTED_VALUE"""),"Barnes, Derrick")</f>
        <v>Barnes, Derrick</v>
      </c>
      <c r="E185" s="5">
        <f ca="1">IFERROR(__xludf.UNSUPPORTED("""COMPUTED_VALUE"""),9780545017619)</f>
        <v>9780545017619</v>
      </c>
      <c r="F185" s="2"/>
      <c r="G185" s="2"/>
    </row>
    <row r="186" spans="1:7" ht="13.15">
      <c r="A186" s="3" t="str">
        <f ca="1">IFERROR(__xludf.UNSUPPORTED("""COMPUTED_VALUE"""),"3")</f>
        <v>3</v>
      </c>
      <c r="B186" s="4" t="str">
        <f ca="1">IFERROR(__xludf.UNSUPPORTED("""COMPUTED_VALUE"""),"Trouble Is My Beeswax")</f>
        <v>Trouble Is My Beeswax</v>
      </c>
      <c r="C186" s="3" t="str">
        <f ca="1">IFERROR(__xludf.UNSUPPORTED("""COMPUTED_VALUE"""),"F")</f>
        <v>F</v>
      </c>
      <c r="D186" s="4" t="str">
        <f ca="1">IFERROR(__xludf.UNSUPPORTED("""COMPUTED_VALUE"""),"Hale, Bruce")</f>
        <v>Hale, Bruce</v>
      </c>
      <c r="E186" s="5">
        <f ca="1">IFERROR(__xludf.UNSUPPORTED("""COMPUTED_VALUE"""),9780152167240)</f>
        <v>9780152167240</v>
      </c>
      <c r="F186" s="2"/>
      <c r="G186" s="2"/>
    </row>
    <row r="187" spans="1:7" ht="13.15">
      <c r="A187" s="3" t="str">
        <f ca="1">IFERROR(__xludf.UNSUPPORTED("""COMPUTED_VALUE"""),"3")</f>
        <v>3</v>
      </c>
      <c r="B187" s="4" t="str">
        <f ca="1">IFERROR(__xludf.UNSUPPORTED("""COMPUTED_VALUE"""),"Veterinarians Help Keep Animals Healthy")</f>
        <v>Veterinarians Help Keep Animals Healthy</v>
      </c>
      <c r="C187" s="3" t="str">
        <f ca="1">IFERROR(__xludf.UNSUPPORTED("""COMPUTED_VALUE"""),"N")</f>
        <v>N</v>
      </c>
      <c r="D187" s="4" t="str">
        <f ca="1">IFERROR(__xludf.UNSUPPORTED("""COMPUTED_VALUE"""),"Kalman, Bobbie")</f>
        <v>Kalman, Bobbie</v>
      </c>
      <c r="E187" s="5">
        <f ca="1">IFERROR(__xludf.UNSUPPORTED("""COMPUTED_VALUE"""),9780778721253)</f>
        <v>9780778721253</v>
      </c>
      <c r="F187" s="2"/>
      <c r="G187" s="2"/>
    </row>
    <row r="188" spans="1:7" ht="13.15">
      <c r="A188" s="3" t="str">
        <f ca="1">IFERROR(__xludf.UNSUPPORTED("""COMPUTED_VALUE"""),"3")</f>
        <v>3</v>
      </c>
      <c r="B188" s="4" t="str">
        <f ca="1">IFERROR(__xludf.UNSUPPORTED("""COMPUTED_VALUE"""),"Water Planet Rescue")</f>
        <v>Water Planet Rescue</v>
      </c>
      <c r="C188" s="3" t="str">
        <f ca="1">IFERROR(__xludf.UNSUPPORTED("""COMPUTED_VALUE"""),"F")</f>
        <v>F</v>
      </c>
      <c r="D188" s="4" t="str">
        <f ca="1">IFERROR(__xludf.UNSUPPORTED("""COMPUTED_VALUE"""),"Mass, Wendy")</f>
        <v>Mass, Wendy</v>
      </c>
      <c r="E188" s="5">
        <f ca="1">IFERROR(__xludf.UNSUPPORTED("""COMPUTED_VALUE"""),9780316243223)</f>
        <v>9780316243223</v>
      </c>
      <c r="F188" s="2"/>
      <c r="G188" s="2"/>
    </row>
    <row r="189" spans="1:7" ht="13.15">
      <c r="A189" s="3" t="str">
        <f ca="1">IFERROR(__xludf.UNSUPPORTED("""COMPUTED_VALUE"""),"3")</f>
        <v>3</v>
      </c>
      <c r="B189" s="4" t="str">
        <f ca="1">IFERROR(__xludf.UNSUPPORTED("""COMPUTED_VALUE"""),"What Can Live in a Desert?")</f>
        <v>What Can Live in a Desert?</v>
      </c>
      <c r="C189" s="3" t="str">
        <f ca="1">IFERROR(__xludf.UNSUPPORTED("""COMPUTED_VALUE"""),"N")</f>
        <v>N</v>
      </c>
      <c r="D189" s="4" t="str">
        <f ca="1">IFERROR(__xludf.UNSUPPORTED("""COMPUTED_VALUE"""),"Anderson, Sheila")</f>
        <v>Anderson, Sheila</v>
      </c>
      <c r="E189" s="5">
        <f ca="1">IFERROR(__xludf.UNSUPPORTED("""COMPUTED_VALUE"""),9780761356745)</f>
        <v>9780761356745</v>
      </c>
      <c r="F189" s="2"/>
      <c r="G189" s="2"/>
    </row>
    <row r="190" spans="1:7" ht="13.15">
      <c r="A190" s="3" t="str">
        <f ca="1">IFERROR(__xludf.UNSUPPORTED("""COMPUTED_VALUE"""),"3")</f>
        <v>3</v>
      </c>
      <c r="B190" s="4" t="str">
        <f ca="1">IFERROR(__xludf.UNSUPPORTED("""COMPUTED_VALUE"""),"What Can Live in the Ocean?")</f>
        <v>What Can Live in the Ocean?</v>
      </c>
      <c r="C190" s="3" t="str">
        <f ca="1">IFERROR(__xludf.UNSUPPORTED("""COMPUTED_VALUE"""),"N")</f>
        <v>N</v>
      </c>
      <c r="D190" s="4" t="str">
        <f ca="1">IFERROR(__xludf.UNSUPPORTED("""COMPUTED_VALUE"""),"Anderson, Sheila")</f>
        <v>Anderson, Sheila</v>
      </c>
      <c r="E190" s="5">
        <f ca="1">IFERROR(__xludf.UNSUPPORTED("""COMPUTED_VALUE"""),9780761356738)</f>
        <v>9780761356738</v>
      </c>
      <c r="F190" s="2"/>
      <c r="G190" s="2"/>
    </row>
    <row r="191" spans="1:7" ht="26.45">
      <c r="A191" s="3" t="str">
        <f ca="1">IFERROR(__xludf.UNSUPPORTED("""COMPUTED_VALUE"""),"3")</f>
        <v>3</v>
      </c>
      <c r="B191" s="4" t="str">
        <f ca="1">IFERROR(__xludf.UNSUPPORTED("""COMPUTED_VALUE"""),"What Makes You Cough, Sneeze, Burp, Hiccup, Blink, Yawn, Sweat, and Shiver?")</f>
        <v>What Makes You Cough, Sneeze, Burp, Hiccup, Blink, Yawn, Sweat, and Shiver?</v>
      </c>
      <c r="C191" s="3" t="str">
        <f ca="1">IFERROR(__xludf.UNSUPPORTED("""COMPUTED_VALUE"""),"N")</f>
        <v>N</v>
      </c>
      <c r="D191" s="4" t="str">
        <f ca="1">IFERROR(__xludf.UNSUPPORTED("""COMPUTED_VALUE"""),"Stangl, Jean")</f>
        <v>Stangl, Jean</v>
      </c>
      <c r="E191" s="5">
        <f ca="1">IFERROR(__xludf.UNSUPPORTED("""COMPUTED_VALUE"""),9780531165102)</f>
        <v>9780531165102</v>
      </c>
      <c r="F191" s="2"/>
      <c r="G191" s="2"/>
    </row>
    <row r="192" spans="1:7" ht="13.15">
      <c r="A192" s="3" t="str">
        <f ca="1">IFERROR(__xludf.UNSUPPORTED("""COMPUTED_VALUE"""),"3")</f>
        <v>3</v>
      </c>
      <c r="B192" s="4" t="str">
        <f ca="1">IFERROR(__xludf.UNSUPPORTED("""COMPUTED_VALUE"""),"Who Is J. K. Rowling?")</f>
        <v>Who Is J. K. Rowling?</v>
      </c>
      <c r="C192" s="3" t="str">
        <f ca="1">IFERROR(__xludf.UNSUPPORTED("""COMPUTED_VALUE"""),"N")</f>
        <v>N</v>
      </c>
      <c r="D192" s="4" t="str">
        <f ca="1">IFERROR(__xludf.UNSUPPORTED("""COMPUTED_VALUE"""),"Pollack, Pam")</f>
        <v>Pollack, Pam</v>
      </c>
      <c r="E192" s="5">
        <f ca="1">IFERROR(__xludf.UNSUPPORTED("""COMPUTED_VALUE"""),9780448458724)</f>
        <v>9780448458724</v>
      </c>
      <c r="F192" s="2"/>
      <c r="G192" s="2"/>
    </row>
    <row r="193" spans="1:7" ht="13.15">
      <c r="A193" s="3" t="str">
        <f ca="1">IFERROR(__xludf.UNSUPPORTED("""COMPUTED_VALUE"""),"3")</f>
        <v>3</v>
      </c>
      <c r="B193" s="4" t="str">
        <f ca="1">IFERROR(__xludf.UNSUPPORTED("""COMPUTED_VALUE"""),"Who Is Jane Goodall?")</f>
        <v>Who Is Jane Goodall?</v>
      </c>
      <c r="C193" s="3" t="str">
        <f ca="1">IFERROR(__xludf.UNSUPPORTED("""COMPUTED_VALUE"""),"N")</f>
        <v>N</v>
      </c>
      <c r="D193" s="4" t="str">
        <f ca="1">IFERROR(__xludf.UNSUPPORTED("""COMPUTED_VALUE"""),"Edwards, Roberta")</f>
        <v>Edwards, Roberta</v>
      </c>
      <c r="E193" s="5">
        <f ca="1">IFERROR(__xludf.UNSUPPORTED("""COMPUTED_VALUE"""),9780448461922)</f>
        <v>9780448461922</v>
      </c>
      <c r="F193" s="2"/>
      <c r="G193" s="2"/>
    </row>
    <row r="194" spans="1:7" ht="13.15">
      <c r="A194" s="3" t="str">
        <f ca="1">IFERROR(__xludf.UNSUPPORTED("""COMPUTED_VALUE"""),"3")</f>
        <v>3</v>
      </c>
      <c r="B194" s="4" t="str">
        <f ca="1">IFERROR(__xludf.UNSUPPORTED("""COMPUTED_VALUE"""),"Who Was Ernest Shackleton?")</f>
        <v>Who Was Ernest Shackleton?</v>
      </c>
      <c r="C194" s="3" t="str">
        <f ca="1">IFERROR(__xludf.UNSUPPORTED("""COMPUTED_VALUE"""),"N")</f>
        <v>N</v>
      </c>
      <c r="D194" s="4" t="str">
        <f ca="1">IFERROR(__xludf.UNSUPPORTED("""COMPUTED_VALUE"""),"Buckley, James Jr.")</f>
        <v>Buckley, James Jr.</v>
      </c>
      <c r="E194" s="5">
        <f ca="1">IFERROR(__xludf.UNSUPPORTED("""COMPUTED_VALUE"""),9780448479316)</f>
        <v>9780448479316</v>
      </c>
      <c r="F194" s="2"/>
      <c r="G194" s="2"/>
    </row>
    <row r="195" spans="1:7" ht="13.15">
      <c r="A195" s="3" t="str">
        <f ca="1">IFERROR(__xludf.UNSUPPORTED("""COMPUTED_VALUE"""),"3")</f>
        <v>3</v>
      </c>
      <c r="B195" s="4" t="str">
        <f ca="1">IFERROR(__xludf.UNSUPPORTED("""COMPUTED_VALUE"""),"Who Was Helen Keller?")</f>
        <v>Who Was Helen Keller?</v>
      </c>
      <c r="C195" s="3" t="str">
        <f ca="1">IFERROR(__xludf.UNSUPPORTED("""COMPUTED_VALUE"""),"N")</f>
        <v>N</v>
      </c>
      <c r="D195" s="4" t="str">
        <f ca="1">IFERROR(__xludf.UNSUPPORTED("""COMPUTED_VALUE"""),"Thompson, Gare")</f>
        <v>Thompson, Gare</v>
      </c>
      <c r="E195" s="5">
        <f ca="1">IFERROR(__xludf.UNSUPPORTED("""COMPUTED_VALUE"""),9780448431444)</f>
        <v>9780448431444</v>
      </c>
      <c r="F195" s="2"/>
      <c r="G195" s="2"/>
    </row>
    <row r="196" spans="1:7" ht="13.15">
      <c r="A196" s="3" t="str">
        <f ca="1">IFERROR(__xludf.UNSUPPORTED("""COMPUTED_VALUE"""),"3")</f>
        <v>3</v>
      </c>
      <c r="B196" s="4" t="str">
        <f ca="1">IFERROR(__xludf.UNSUPPORTED("""COMPUTED_VALUE"""),"Who Was Wolfgang Amadeus Mozart?")</f>
        <v>Who Was Wolfgang Amadeus Mozart?</v>
      </c>
      <c r="C196" s="3" t="str">
        <f ca="1">IFERROR(__xludf.UNSUPPORTED("""COMPUTED_VALUE"""),"N")</f>
        <v>N</v>
      </c>
      <c r="D196" s="4" t="str">
        <f ca="1">IFERROR(__xludf.UNSUPPORTED("""COMPUTED_VALUE"""),"McDonough, Yona Zeldis")</f>
        <v>McDonough, Yona Zeldis</v>
      </c>
      <c r="E196" s="5">
        <f ca="1">IFERROR(__xludf.UNSUPPORTED("""COMPUTED_VALUE"""),9780448431048)</f>
        <v>9780448431048</v>
      </c>
      <c r="F196" s="2"/>
      <c r="G196" s="2"/>
    </row>
    <row r="197" spans="1:7" ht="13.15">
      <c r="A197" s="3" t="str">
        <f ca="1">IFERROR(__xludf.UNSUPPORTED("""COMPUTED_VALUE"""),"3")</f>
        <v>3</v>
      </c>
      <c r="B197" s="4" t="str">
        <f ca="1">IFERROR(__xludf.UNSUPPORTED("""COMPUTED_VALUE"""),"Wild Babies")</f>
        <v>Wild Babies</v>
      </c>
      <c r="C197" s="3" t="str">
        <f ca="1">IFERROR(__xludf.UNSUPPORTED("""COMPUTED_VALUE"""),"N")</f>
        <v>N</v>
      </c>
      <c r="D197" s="4" t="str">
        <f ca="1">IFERROR(__xludf.UNSUPPORTED("""COMPUTED_VALUE"""),"Simon, Seymour")</f>
        <v>Simon, Seymour</v>
      </c>
      <c r="E197" s="5">
        <f ca="1">IFERROR(__xludf.UNSUPPORTED("""COMPUTED_VALUE"""),9780064462068)</f>
        <v>9780064462068</v>
      </c>
      <c r="F197" s="2"/>
      <c r="G197" s="2"/>
    </row>
    <row r="198" spans="1:7" ht="13.15">
      <c r="A198" s="3" t="str">
        <f ca="1">IFERROR(__xludf.UNSUPPORTED("""COMPUTED_VALUE"""),"3")</f>
        <v>3</v>
      </c>
      <c r="B198" s="4" t="str">
        <f ca="1">IFERROR(__xludf.UNSUPPORTED("""COMPUTED_VALUE"""),"Wildfires")</f>
        <v>Wildfires</v>
      </c>
      <c r="C198" s="3" t="str">
        <f ca="1">IFERROR(__xludf.UNSUPPORTED("""COMPUTED_VALUE"""),"N")</f>
        <v>N</v>
      </c>
      <c r="D198" s="4" t="str">
        <f ca="1">IFERROR(__xludf.UNSUPPORTED("""COMPUTED_VALUE"""),"Furgang, Kathy")</f>
        <v>Furgang, Kathy</v>
      </c>
      <c r="E198" s="5">
        <f ca="1">IFERROR(__xludf.UNSUPPORTED("""COMPUTED_VALUE"""),9781426321337)</f>
        <v>9781426321337</v>
      </c>
      <c r="F198" s="2"/>
      <c r="G198" s="2"/>
    </row>
    <row r="199" spans="1:7" ht="13.15">
      <c r="A199" s="3" t="str">
        <f ca="1">IFERROR(__xludf.UNSUPPORTED("""COMPUTED_VALUE"""),"3")</f>
        <v>3</v>
      </c>
      <c r="B199" s="4" t="str">
        <f ca="1">IFERROR(__xludf.UNSUPPORTED("""COMPUTED_VALUE"""),"Young Cam Jansen and the Double Beach Mystery")</f>
        <v>Young Cam Jansen and the Double Beach Mystery</v>
      </c>
      <c r="C199" s="3" t="str">
        <f ca="1">IFERROR(__xludf.UNSUPPORTED("""COMPUTED_VALUE"""),"F")</f>
        <v>F</v>
      </c>
      <c r="D199" s="4" t="str">
        <f ca="1">IFERROR(__xludf.UNSUPPORTED("""COMPUTED_VALUE"""),"Adler, David A.")</f>
        <v>Adler, David A.</v>
      </c>
      <c r="E199" s="5">
        <f ca="1">IFERROR(__xludf.UNSUPPORTED("""COMPUTED_VALUE"""),9780142500798)</f>
        <v>9780142500798</v>
      </c>
      <c r="F199" s="2"/>
      <c r="G199" s="2"/>
    </row>
    <row r="200" spans="1:7" ht="13.15">
      <c r="A200" s="3" t="str">
        <f ca="1">IFERROR(__xludf.UNSUPPORTED("""COMPUTED_VALUE"""),"3")</f>
        <v>3</v>
      </c>
      <c r="B200" s="4" t="str">
        <f ca="1">IFERROR(__xludf.UNSUPPORTED("""COMPUTED_VALUE"""),"Young Cam Jansen and the Substitute Mystery")</f>
        <v>Young Cam Jansen and the Substitute Mystery</v>
      </c>
      <c r="C200" s="3" t="str">
        <f ca="1">IFERROR(__xludf.UNSUPPORTED("""COMPUTED_VALUE"""),"F")</f>
        <v>F</v>
      </c>
      <c r="D200" s="4" t="str">
        <f ca="1">IFERROR(__xludf.UNSUPPORTED("""COMPUTED_VALUE"""),"Adler, David A.")</f>
        <v>Adler, David A.</v>
      </c>
      <c r="E200" s="5">
        <f ca="1">IFERROR(__xludf.UNSUPPORTED("""COMPUTED_VALUE"""),9780142406601)</f>
        <v>9780142406601</v>
      </c>
      <c r="F200" s="2"/>
      <c r="G200" s="2"/>
    </row>
    <row r="201" spans="1:7" ht="13.15">
      <c r="A201" s="3" t="str">
        <f ca="1">IFERROR(__xludf.UNSUPPORTED("""COMPUTED_VALUE"""),"3")</f>
        <v>3</v>
      </c>
      <c r="B201" s="4" t="str">
        <f ca="1">IFERROR(__xludf.UNSUPPORTED("""COMPUTED_VALUE"""),"Young Cam Jansen and the Zoo Note Mystery")</f>
        <v>Young Cam Jansen and the Zoo Note Mystery</v>
      </c>
      <c r="C201" s="3" t="str">
        <f ca="1">IFERROR(__xludf.UNSUPPORTED("""COMPUTED_VALUE"""),"F")</f>
        <v>F</v>
      </c>
      <c r="D201" s="4" t="str">
        <f ca="1">IFERROR(__xludf.UNSUPPORTED("""COMPUTED_VALUE"""),"Adler, David A.")</f>
        <v>Adler, David A.</v>
      </c>
      <c r="E201" s="5">
        <f ca="1">IFERROR(__xludf.UNSUPPORTED("""COMPUTED_VALUE"""),9780142402047)</f>
        <v>9780142402047</v>
      </c>
      <c r="F201" s="2"/>
      <c r="G201" s="2"/>
    </row>
    <row r="202" spans="1:7" ht="13.15">
      <c r="A202" s="3" t="str">
        <f ca="1">IFERROR(__xludf.UNSUPPORTED("""COMPUTED_VALUE"""),"3")</f>
        <v>3</v>
      </c>
      <c r="B202" s="4" t="str">
        <f ca="1">IFERROR(__xludf.UNSUPPORTED("""COMPUTED_VALUE"""),"Young Fredle")</f>
        <v>Young Fredle</v>
      </c>
      <c r="C202" s="3" t="str">
        <f ca="1">IFERROR(__xludf.UNSUPPORTED("""COMPUTED_VALUE"""),"F")</f>
        <v>F</v>
      </c>
      <c r="D202" s="4" t="str">
        <f ca="1">IFERROR(__xludf.UNSUPPORTED("""COMPUTED_VALUE"""),"Voight, Cynthia")</f>
        <v>Voight, Cynthia</v>
      </c>
      <c r="E202" s="5">
        <f ca="1">IFERROR(__xludf.UNSUPPORTED("""COMPUTED_VALUE"""),9780375857874)</f>
        <v>9780375857874</v>
      </c>
      <c r="F202" s="2"/>
      <c r="G202" s="2"/>
    </row>
  </sheetData>
  <mergeCells count="1">
    <mergeCell ref="A1:G1"/>
  </mergeCells>
  <conditionalFormatting sqref="A2">
    <cfRule type="expression" dxfId="8" priority="1">
      <formula>B2=""</formula>
    </cfRule>
  </conditionalFormatting>
  <conditionalFormatting sqref="B2:B611">
    <cfRule type="expression" dxfId="7" priority="3">
      <formula>D2=""</formula>
    </cfRule>
  </conditionalFormatting>
  <conditionalFormatting sqref="C2:C611">
    <cfRule type="beginsWith" dxfId="6" priority="2" operator="beginsWith" text="N">
      <formula>LEFT((C2),LEN("N"))=("N")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284D-C896-4D62-92D1-3AD05CBC90A1}">
  <sheetPr>
    <tabColor rgb="FFFF0000"/>
  </sheetPr>
  <dimension ref="A1:C113"/>
  <sheetViews>
    <sheetView workbookViewId="0">
      <selection activeCell="B14" sqref="B14"/>
    </sheetView>
  </sheetViews>
  <sheetFormatPr defaultRowHeight="13.15"/>
  <cols>
    <col min="1" max="1" width="14.140625" style="10" bestFit="1" customWidth="1"/>
    <col min="2" max="2" width="80.85546875" style="10" bestFit="1" customWidth="1"/>
    <col min="3" max="3" width="31.42578125" style="10" bestFit="1" customWidth="1"/>
    <col min="4" max="251" width="8.85546875" style="10"/>
    <col min="252" max="252" width="10.140625" style="10" bestFit="1" customWidth="1"/>
    <col min="253" max="253" width="7.7109375" style="10" bestFit="1" customWidth="1"/>
    <col min="254" max="254" width="14.140625" style="10" bestFit="1" customWidth="1"/>
    <col min="255" max="255" width="80.85546875" style="10" bestFit="1" customWidth="1"/>
    <col min="256" max="256" width="31.42578125" style="10" bestFit="1" customWidth="1"/>
    <col min="257" max="257" width="8.85546875" style="10" bestFit="1" customWidth="1"/>
    <col min="258" max="258" width="9.7109375" style="10" bestFit="1" customWidth="1"/>
    <col min="259" max="259" width="13.85546875" style="10" bestFit="1" customWidth="1"/>
    <col min="260" max="507" width="8.85546875" style="10"/>
    <col min="508" max="508" width="10.140625" style="10" bestFit="1" customWidth="1"/>
    <col min="509" max="509" width="7.7109375" style="10" bestFit="1" customWidth="1"/>
    <col min="510" max="510" width="14.140625" style="10" bestFit="1" customWidth="1"/>
    <col min="511" max="511" width="80.85546875" style="10" bestFit="1" customWidth="1"/>
    <col min="512" max="512" width="31.42578125" style="10" bestFit="1" customWidth="1"/>
    <col min="513" max="513" width="8.85546875" style="10" bestFit="1" customWidth="1"/>
    <col min="514" max="514" width="9.7109375" style="10" bestFit="1" customWidth="1"/>
    <col min="515" max="515" width="13.85546875" style="10" bestFit="1" customWidth="1"/>
    <col min="516" max="763" width="8.85546875" style="10"/>
    <col min="764" max="764" width="10.140625" style="10" bestFit="1" customWidth="1"/>
    <col min="765" max="765" width="7.7109375" style="10" bestFit="1" customWidth="1"/>
    <col min="766" max="766" width="14.140625" style="10" bestFit="1" customWidth="1"/>
    <col min="767" max="767" width="80.85546875" style="10" bestFit="1" customWidth="1"/>
    <col min="768" max="768" width="31.42578125" style="10" bestFit="1" customWidth="1"/>
    <col min="769" max="769" width="8.85546875" style="10" bestFit="1" customWidth="1"/>
    <col min="770" max="770" width="9.7109375" style="10" bestFit="1" customWidth="1"/>
    <col min="771" max="771" width="13.85546875" style="10" bestFit="1" customWidth="1"/>
    <col min="772" max="1019" width="8.85546875" style="10"/>
    <col min="1020" max="1020" width="10.140625" style="10" bestFit="1" customWidth="1"/>
    <col min="1021" max="1021" width="7.7109375" style="10" bestFit="1" customWidth="1"/>
    <col min="1022" max="1022" width="14.140625" style="10" bestFit="1" customWidth="1"/>
    <col min="1023" max="1023" width="80.85546875" style="10" bestFit="1" customWidth="1"/>
    <col min="1024" max="1024" width="31.42578125" style="10" bestFit="1" customWidth="1"/>
    <col min="1025" max="1025" width="8.85546875" style="10" bestFit="1" customWidth="1"/>
    <col min="1026" max="1026" width="9.7109375" style="10" bestFit="1" customWidth="1"/>
    <col min="1027" max="1027" width="13.85546875" style="10" bestFit="1" customWidth="1"/>
    <col min="1028" max="1275" width="8.85546875" style="10"/>
    <col min="1276" max="1276" width="10.140625" style="10" bestFit="1" customWidth="1"/>
    <col min="1277" max="1277" width="7.7109375" style="10" bestFit="1" customWidth="1"/>
    <col min="1278" max="1278" width="14.140625" style="10" bestFit="1" customWidth="1"/>
    <col min="1279" max="1279" width="80.85546875" style="10" bestFit="1" customWidth="1"/>
    <col min="1280" max="1280" width="31.42578125" style="10" bestFit="1" customWidth="1"/>
    <col min="1281" max="1281" width="8.85546875" style="10" bestFit="1" customWidth="1"/>
    <col min="1282" max="1282" width="9.7109375" style="10" bestFit="1" customWidth="1"/>
    <col min="1283" max="1283" width="13.85546875" style="10" bestFit="1" customWidth="1"/>
    <col min="1284" max="1531" width="8.85546875" style="10"/>
    <col min="1532" max="1532" width="10.140625" style="10" bestFit="1" customWidth="1"/>
    <col min="1533" max="1533" width="7.7109375" style="10" bestFit="1" customWidth="1"/>
    <col min="1534" max="1534" width="14.140625" style="10" bestFit="1" customWidth="1"/>
    <col min="1535" max="1535" width="80.85546875" style="10" bestFit="1" customWidth="1"/>
    <col min="1536" max="1536" width="31.42578125" style="10" bestFit="1" customWidth="1"/>
    <col min="1537" max="1537" width="8.85546875" style="10" bestFit="1" customWidth="1"/>
    <col min="1538" max="1538" width="9.7109375" style="10" bestFit="1" customWidth="1"/>
    <col min="1539" max="1539" width="13.85546875" style="10" bestFit="1" customWidth="1"/>
    <col min="1540" max="1787" width="8.85546875" style="10"/>
    <col min="1788" max="1788" width="10.140625" style="10" bestFit="1" customWidth="1"/>
    <col min="1789" max="1789" width="7.7109375" style="10" bestFit="1" customWidth="1"/>
    <col min="1790" max="1790" width="14.140625" style="10" bestFit="1" customWidth="1"/>
    <col min="1791" max="1791" width="80.85546875" style="10" bestFit="1" customWidth="1"/>
    <col min="1792" max="1792" width="31.42578125" style="10" bestFit="1" customWidth="1"/>
    <col min="1793" max="1793" width="8.85546875" style="10" bestFit="1" customWidth="1"/>
    <col min="1794" max="1794" width="9.7109375" style="10" bestFit="1" customWidth="1"/>
    <col min="1795" max="1795" width="13.85546875" style="10" bestFit="1" customWidth="1"/>
    <col min="1796" max="2043" width="8.85546875" style="10"/>
    <col min="2044" max="2044" width="10.140625" style="10" bestFit="1" customWidth="1"/>
    <col min="2045" max="2045" width="7.7109375" style="10" bestFit="1" customWidth="1"/>
    <col min="2046" max="2046" width="14.140625" style="10" bestFit="1" customWidth="1"/>
    <col min="2047" max="2047" width="80.85546875" style="10" bestFit="1" customWidth="1"/>
    <col min="2048" max="2048" width="31.42578125" style="10" bestFit="1" customWidth="1"/>
    <col min="2049" max="2049" width="8.85546875" style="10" bestFit="1" customWidth="1"/>
    <col min="2050" max="2050" width="9.7109375" style="10" bestFit="1" customWidth="1"/>
    <col min="2051" max="2051" width="13.85546875" style="10" bestFit="1" customWidth="1"/>
    <col min="2052" max="2299" width="8.85546875" style="10"/>
    <col min="2300" max="2300" width="10.140625" style="10" bestFit="1" customWidth="1"/>
    <col min="2301" max="2301" width="7.7109375" style="10" bestFit="1" customWidth="1"/>
    <col min="2302" max="2302" width="14.140625" style="10" bestFit="1" customWidth="1"/>
    <col min="2303" max="2303" width="80.85546875" style="10" bestFit="1" customWidth="1"/>
    <col min="2304" max="2304" width="31.42578125" style="10" bestFit="1" customWidth="1"/>
    <col min="2305" max="2305" width="8.85546875" style="10" bestFit="1" customWidth="1"/>
    <col min="2306" max="2306" width="9.7109375" style="10" bestFit="1" customWidth="1"/>
    <col min="2307" max="2307" width="13.85546875" style="10" bestFit="1" customWidth="1"/>
    <col min="2308" max="2555" width="8.85546875" style="10"/>
    <col min="2556" max="2556" width="10.140625" style="10" bestFit="1" customWidth="1"/>
    <col min="2557" max="2557" width="7.7109375" style="10" bestFit="1" customWidth="1"/>
    <col min="2558" max="2558" width="14.140625" style="10" bestFit="1" customWidth="1"/>
    <col min="2559" max="2559" width="80.85546875" style="10" bestFit="1" customWidth="1"/>
    <col min="2560" max="2560" width="31.42578125" style="10" bestFit="1" customWidth="1"/>
    <col min="2561" max="2561" width="8.85546875" style="10" bestFit="1" customWidth="1"/>
    <col min="2562" max="2562" width="9.7109375" style="10" bestFit="1" customWidth="1"/>
    <col min="2563" max="2563" width="13.85546875" style="10" bestFit="1" customWidth="1"/>
    <col min="2564" max="2811" width="8.85546875" style="10"/>
    <col min="2812" max="2812" width="10.140625" style="10" bestFit="1" customWidth="1"/>
    <col min="2813" max="2813" width="7.7109375" style="10" bestFit="1" customWidth="1"/>
    <col min="2814" max="2814" width="14.140625" style="10" bestFit="1" customWidth="1"/>
    <col min="2815" max="2815" width="80.85546875" style="10" bestFit="1" customWidth="1"/>
    <col min="2816" max="2816" width="31.42578125" style="10" bestFit="1" customWidth="1"/>
    <col min="2817" max="2817" width="8.85546875" style="10" bestFit="1" customWidth="1"/>
    <col min="2818" max="2818" width="9.7109375" style="10" bestFit="1" customWidth="1"/>
    <col min="2819" max="2819" width="13.85546875" style="10" bestFit="1" customWidth="1"/>
    <col min="2820" max="3067" width="8.85546875" style="10"/>
    <col min="3068" max="3068" width="10.140625" style="10" bestFit="1" customWidth="1"/>
    <col min="3069" max="3069" width="7.7109375" style="10" bestFit="1" customWidth="1"/>
    <col min="3070" max="3070" width="14.140625" style="10" bestFit="1" customWidth="1"/>
    <col min="3071" max="3071" width="80.85546875" style="10" bestFit="1" customWidth="1"/>
    <col min="3072" max="3072" width="31.42578125" style="10" bestFit="1" customWidth="1"/>
    <col min="3073" max="3073" width="8.85546875" style="10" bestFit="1" customWidth="1"/>
    <col min="3074" max="3074" width="9.7109375" style="10" bestFit="1" customWidth="1"/>
    <col min="3075" max="3075" width="13.85546875" style="10" bestFit="1" customWidth="1"/>
    <col min="3076" max="3323" width="8.85546875" style="10"/>
    <col min="3324" max="3324" width="10.140625" style="10" bestFit="1" customWidth="1"/>
    <col min="3325" max="3325" width="7.7109375" style="10" bestFit="1" customWidth="1"/>
    <col min="3326" max="3326" width="14.140625" style="10" bestFit="1" customWidth="1"/>
    <col min="3327" max="3327" width="80.85546875" style="10" bestFit="1" customWidth="1"/>
    <col min="3328" max="3328" width="31.42578125" style="10" bestFit="1" customWidth="1"/>
    <col min="3329" max="3329" width="8.85546875" style="10" bestFit="1" customWidth="1"/>
    <col min="3330" max="3330" width="9.7109375" style="10" bestFit="1" customWidth="1"/>
    <col min="3331" max="3331" width="13.85546875" style="10" bestFit="1" customWidth="1"/>
    <col min="3332" max="3579" width="8.85546875" style="10"/>
    <col min="3580" max="3580" width="10.140625" style="10" bestFit="1" customWidth="1"/>
    <col min="3581" max="3581" width="7.7109375" style="10" bestFit="1" customWidth="1"/>
    <col min="3582" max="3582" width="14.140625" style="10" bestFit="1" customWidth="1"/>
    <col min="3583" max="3583" width="80.85546875" style="10" bestFit="1" customWidth="1"/>
    <col min="3584" max="3584" width="31.42578125" style="10" bestFit="1" customWidth="1"/>
    <col min="3585" max="3585" width="8.85546875" style="10" bestFit="1" customWidth="1"/>
    <col min="3586" max="3586" width="9.7109375" style="10" bestFit="1" customWidth="1"/>
    <col min="3587" max="3587" width="13.85546875" style="10" bestFit="1" customWidth="1"/>
    <col min="3588" max="3835" width="8.85546875" style="10"/>
    <col min="3836" max="3836" width="10.140625" style="10" bestFit="1" customWidth="1"/>
    <col min="3837" max="3837" width="7.7109375" style="10" bestFit="1" customWidth="1"/>
    <col min="3838" max="3838" width="14.140625" style="10" bestFit="1" customWidth="1"/>
    <col min="3839" max="3839" width="80.85546875" style="10" bestFit="1" customWidth="1"/>
    <col min="3840" max="3840" width="31.42578125" style="10" bestFit="1" customWidth="1"/>
    <col min="3841" max="3841" width="8.85546875" style="10" bestFit="1" customWidth="1"/>
    <col min="3842" max="3842" width="9.7109375" style="10" bestFit="1" customWidth="1"/>
    <col min="3843" max="3843" width="13.85546875" style="10" bestFit="1" customWidth="1"/>
    <col min="3844" max="4091" width="8.85546875" style="10"/>
    <col min="4092" max="4092" width="10.140625" style="10" bestFit="1" customWidth="1"/>
    <col min="4093" max="4093" width="7.7109375" style="10" bestFit="1" customWidth="1"/>
    <col min="4094" max="4094" width="14.140625" style="10" bestFit="1" customWidth="1"/>
    <col min="4095" max="4095" width="80.85546875" style="10" bestFit="1" customWidth="1"/>
    <col min="4096" max="4096" width="31.42578125" style="10" bestFit="1" customWidth="1"/>
    <col min="4097" max="4097" width="8.85546875" style="10" bestFit="1" customWidth="1"/>
    <col min="4098" max="4098" width="9.7109375" style="10" bestFit="1" customWidth="1"/>
    <col min="4099" max="4099" width="13.85546875" style="10" bestFit="1" customWidth="1"/>
    <col min="4100" max="4347" width="8.85546875" style="10"/>
    <col min="4348" max="4348" width="10.140625" style="10" bestFit="1" customWidth="1"/>
    <col min="4349" max="4349" width="7.7109375" style="10" bestFit="1" customWidth="1"/>
    <col min="4350" max="4350" width="14.140625" style="10" bestFit="1" customWidth="1"/>
    <col min="4351" max="4351" width="80.85546875" style="10" bestFit="1" customWidth="1"/>
    <col min="4352" max="4352" width="31.42578125" style="10" bestFit="1" customWidth="1"/>
    <col min="4353" max="4353" width="8.85546875" style="10" bestFit="1" customWidth="1"/>
    <col min="4354" max="4354" width="9.7109375" style="10" bestFit="1" customWidth="1"/>
    <col min="4355" max="4355" width="13.85546875" style="10" bestFit="1" customWidth="1"/>
    <col min="4356" max="4603" width="8.85546875" style="10"/>
    <col min="4604" max="4604" width="10.140625" style="10" bestFit="1" customWidth="1"/>
    <col min="4605" max="4605" width="7.7109375" style="10" bestFit="1" customWidth="1"/>
    <col min="4606" max="4606" width="14.140625" style="10" bestFit="1" customWidth="1"/>
    <col min="4607" max="4607" width="80.85546875" style="10" bestFit="1" customWidth="1"/>
    <col min="4608" max="4608" width="31.42578125" style="10" bestFit="1" customWidth="1"/>
    <col min="4609" max="4609" width="8.85546875" style="10" bestFit="1" customWidth="1"/>
    <col min="4610" max="4610" width="9.7109375" style="10" bestFit="1" customWidth="1"/>
    <col min="4611" max="4611" width="13.85546875" style="10" bestFit="1" customWidth="1"/>
    <col min="4612" max="4859" width="8.85546875" style="10"/>
    <col min="4860" max="4860" width="10.140625" style="10" bestFit="1" customWidth="1"/>
    <col min="4861" max="4861" width="7.7109375" style="10" bestFit="1" customWidth="1"/>
    <col min="4862" max="4862" width="14.140625" style="10" bestFit="1" customWidth="1"/>
    <col min="4863" max="4863" width="80.85546875" style="10" bestFit="1" customWidth="1"/>
    <col min="4864" max="4864" width="31.42578125" style="10" bestFit="1" customWidth="1"/>
    <col min="4865" max="4865" width="8.85546875" style="10" bestFit="1" customWidth="1"/>
    <col min="4866" max="4866" width="9.7109375" style="10" bestFit="1" customWidth="1"/>
    <col min="4867" max="4867" width="13.85546875" style="10" bestFit="1" customWidth="1"/>
    <col min="4868" max="5115" width="8.85546875" style="10"/>
    <col min="5116" max="5116" width="10.140625" style="10" bestFit="1" customWidth="1"/>
    <col min="5117" max="5117" width="7.7109375" style="10" bestFit="1" customWidth="1"/>
    <col min="5118" max="5118" width="14.140625" style="10" bestFit="1" customWidth="1"/>
    <col min="5119" max="5119" width="80.85546875" style="10" bestFit="1" customWidth="1"/>
    <col min="5120" max="5120" width="31.42578125" style="10" bestFit="1" customWidth="1"/>
    <col min="5121" max="5121" width="8.85546875" style="10" bestFit="1" customWidth="1"/>
    <col min="5122" max="5122" width="9.7109375" style="10" bestFit="1" customWidth="1"/>
    <col min="5123" max="5123" width="13.85546875" style="10" bestFit="1" customWidth="1"/>
    <col min="5124" max="5371" width="8.85546875" style="10"/>
    <col min="5372" max="5372" width="10.140625" style="10" bestFit="1" customWidth="1"/>
    <col min="5373" max="5373" width="7.7109375" style="10" bestFit="1" customWidth="1"/>
    <col min="5374" max="5374" width="14.140625" style="10" bestFit="1" customWidth="1"/>
    <col min="5375" max="5375" width="80.85546875" style="10" bestFit="1" customWidth="1"/>
    <col min="5376" max="5376" width="31.42578125" style="10" bestFit="1" customWidth="1"/>
    <col min="5377" max="5377" width="8.85546875" style="10" bestFit="1" customWidth="1"/>
    <col min="5378" max="5378" width="9.7109375" style="10" bestFit="1" customWidth="1"/>
    <col min="5379" max="5379" width="13.85546875" style="10" bestFit="1" customWidth="1"/>
    <col min="5380" max="5627" width="8.85546875" style="10"/>
    <col min="5628" max="5628" width="10.140625" style="10" bestFit="1" customWidth="1"/>
    <col min="5629" max="5629" width="7.7109375" style="10" bestFit="1" customWidth="1"/>
    <col min="5630" max="5630" width="14.140625" style="10" bestFit="1" customWidth="1"/>
    <col min="5631" max="5631" width="80.85546875" style="10" bestFit="1" customWidth="1"/>
    <col min="5632" max="5632" width="31.42578125" style="10" bestFit="1" customWidth="1"/>
    <col min="5633" max="5633" width="8.85546875" style="10" bestFit="1" customWidth="1"/>
    <col min="5634" max="5634" width="9.7109375" style="10" bestFit="1" customWidth="1"/>
    <col min="5635" max="5635" width="13.85546875" style="10" bestFit="1" customWidth="1"/>
    <col min="5636" max="5883" width="8.85546875" style="10"/>
    <col min="5884" max="5884" width="10.140625" style="10" bestFit="1" customWidth="1"/>
    <col min="5885" max="5885" width="7.7109375" style="10" bestFit="1" customWidth="1"/>
    <col min="5886" max="5886" width="14.140625" style="10" bestFit="1" customWidth="1"/>
    <col min="5887" max="5887" width="80.85546875" style="10" bestFit="1" customWidth="1"/>
    <col min="5888" max="5888" width="31.42578125" style="10" bestFit="1" customWidth="1"/>
    <col min="5889" max="5889" width="8.85546875" style="10" bestFit="1" customWidth="1"/>
    <col min="5890" max="5890" width="9.7109375" style="10" bestFit="1" customWidth="1"/>
    <col min="5891" max="5891" width="13.85546875" style="10" bestFit="1" customWidth="1"/>
    <col min="5892" max="6139" width="8.85546875" style="10"/>
    <col min="6140" max="6140" width="10.140625" style="10" bestFit="1" customWidth="1"/>
    <col min="6141" max="6141" width="7.7109375" style="10" bestFit="1" customWidth="1"/>
    <col min="6142" max="6142" width="14.140625" style="10" bestFit="1" customWidth="1"/>
    <col min="6143" max="6143" width="80.85546875" style="10" bestFit="1" customWidth="1"/>
    <col min="6144" max="6144" width="31.42578125" style="10" bestFit="1" customWidth="1"/>
    <col min="6145" max="6145" width="8.85546875" style="10" bestFit="1" customWidth="1"/>
    <col min="6146" max="6146" width="9.7109375" style="10" bestFit="1" customWidth="1"/>
    <col min="6147" max="6147" width="13.85546875" style="10" bestFit="1" customWidth="1"/>
    <col min="6148" max="6395" width="8.85546875" style="10"/>
    <col min="6396" max="6396" width="10.140625" style="10" bestFit="1" customWidth="1"/>
    <col min="6397" max="6397" width="7.7109375" style="10" bestFit="1" customWidth="1"/>
    <col min="6398" max="6398" width="14.140625" style="10" bestFit="1" customWidth="1"/>
    <col min="6399" max="6399" width="80.85546875" style="10" bestFit="1" customWidth="1"/>
    <col min="6400" max="6400" width="31.42578125" style="10" bestFit="1" customWidth="1"/>
    <col min="6401" max="6401" width="8.85546875" style="10" bestFit="1" customWidth="1"/>
    <col min="6402" max="6402" width="9.7109375" style="10" bestFit="1" customWidth="1"/>
    <col min="6403" max="6403" width="13.85546875" style="10" bestFit="1" customWidth="1"/>
    <col min="6404" max="6651" width="8.85546875" style="10"/>
    <col min="6652" max="6652" width="10.140625" style="10" bestFit="1" customWidth="1"/>
    <col min="6653" max="6653" width="7.7109375" style="10" bestFit="1" customWidth="1"/>
    <col min="6654" max="6654" width="14.140625" style="10" bestFit="1" customWidth="1"/>
    <col min="6655" max="6655" width="80.85546875" style="10" bestFit="1" customWidth="1"/>
    <col min="6656" max="6656" width="31.42578125" style="10" bestFit="1" customWidth="1"/>
    <col min="6657" max="6657" width="8.85546875" style="10" bestFit="1" customWidth="1"/>
    <col min="6658" max="6658" width="9.7109375" style="10" bestFit="1" customWidth="1"/>
    <col min="6659" max="6659" width="13.85546875" style="10" bestFit="1" customWidth="1"/>
    <col min="6660" max="6907" width="8.85546875" style="10"/>
    <col min="6908" max="6908" width="10.140625" style="10" bestFit="1" customWidth="1"/>
    <col min="6909" max="6909" width="7.7109375" style="10" bestFit="1" customWidth="1"/>
    <col min="6910" max="6910" width="14.140625" style="10" bestFit="1" customWidth="1"/>
    <col min="6911" max="6911" width="80.85546875" style="10" bestFit="1" customWidth="1"/>
    <col min="6912" max="6912" width="31.42578125" style="10" bestFit="1" customWidth="1"/>
    <col min="6913" max="6913" width="8.85546875" style="10" bestFit="1" customWidth="1"/>
    <col min="6914" max="6914" width="9.7109375" style="10" bestFit="1" customWidth="1"/>
    <col min="6915" max="6915" width="13.85546875" style="10" bestFit="1" customWidth="1"/>
    <col min="6916" max="7163" width="8.85546875" style="10"/>
    <col min="7164" max="7164" width="10.140625" style="10" bestFit="1" customWidth="1"/>
    <col min="7165" max="7165" width="7.7109375" style="10" bestFit="1" customWidth="1"/>
    <col min="7166" max="7166" width="14.140625" style="10" bestFit="1" customWidth="1"/>
    <col min="7167" max="7167" width="80.85546875" style="10" bestFit="1" customWidth="1"/>
    <col min="7168" max="7168" width="31.42578125" style="10" bestFit="1" customWidth="1"/>
    <col min="7169" max="7169" width="8.85546875" style="10" bestFit="1" customWidth="1"/>
    <col min="7170" max="7170" width="9.7109375" style="10" bestFit="1" customWidth="1"/>
    <col min="7171" max="7171" width="13.85546875" style="10" bestFit="1" customWidth="1"/>
    <col min="7172" max="7419" width="8.85546875" style="10"/>
    <col min="7420" max="7420" width="10.140625" style="10" bestFit="1" customWidth="1"/>
    <col min="7421" max="7421" width="7.7109375" style="10" bestFit="1" customWidth="1"/>
    <col min="7422" max="7422" width="14.140625" style="10" bestFit="1" customWidth="1"/>
    <col min="7423" max="7423" width="80.85546875" style="10" bestFit="1" customWidth="1"/>
    <col min="7424" max="7424" width="31.42578125" style="10" bestFit="1" customWidth="1"/>
    <col min="7425" max="7425" width="8.85546875" style="10" bestFit="1" customWidth="1"/>
    <col min="7426" max="7426" width="9.7109375" style="10" bestFit="1" customWidth="1"/>
    <col min="7427" max="7427" width="13.85546875" style="10" bestFit="1" customWidth="1"/>
    <col min="7428" max="7675" width="8.85546875" style="10"/>
    <col min="7676" max="7676" width="10.140625" style="10" bestFit="1" customWidth="1"/>
    <col min="7677" max="7677" width="7.7109375" style="10" bestFit="1" customWidth="1"/>
    <col min="7678" max="7678" width="14.140625" style="10" bestFit="1" customWidth="1"/>
    <col min="7679" max="7679" width="80.85546875" style="10" bestFit="1" customWidth="1"/>
    <col min="7680" max="7680" width="31.42578125" style="10" bestFit="1" customWidth="1"/>
    <col min="7681" max="7681" width="8.85546875" style="10" bestFit="1" customWidth="1"/>
    <col min="7682" max="7682" width="9.7109375" style="10" bestFit="1" customWidth="1"/>
    <col min="7683" max="7683" width="13.85546875" style="10" bestFit="1" customWidth="1"/>
    <col min="7684" max="7931" width="8.85546875" style="10"/>
    <col min="7932" max="7932" width="10.140625" style="10" bestFit="1" customWidth="1"/>
    <col min="7933" max="7933" width="7.7109375" style="10" bestFit="1" customWidth="1"/>
    <col min="7934" max="7934" width="14.140625" style="10" bestFit="1" customWidth="1"/>
    <col min="7935" max="7935" width="80.85546875" style="10" bestFit="1" customWidth="1"/>
    <col min="7936" max="7936" width="31.42578125" style="10" bestFit="1" customWidth="1"/>
    <col min="7937" max="7937" width="8.85546875" style="10" bestFit="1" customWidth="1"/>
    <col min="7938" max="7938" width="9.7109375" style="10" bestFit="1" customWidth="1"/>
    <col min="7939" max="7939" width="13.85546875" style="10" bestFit="1" customWidth="1"/>
    <col min="7940" max="8187" width="8.85546875" style="10"/>
    <col min="8188" max="8188" width="10.140625" style="10" bestFit="1" customWidth="1"/>
    <col min="8189" max="8189" width="7.7109375" style="10" bestFit="1" customWidth="1"/>
    <col min="8190" max="8190" width="14.140625" style="10" bestFit="1" customWidth="1"/>
    <col min="8191" max="8191" width="80.85546875" style="10" bestFit="1" customWidth="1"/>
    <col min="8192" max="8192" width="31.42578125" style="10" bestFit="1" customWidth="1"/>
    <col min="8193" max="8193" width="8.85546875" style="10" bestFit="1" customWidth="1"/>
    <col min="8194" max="8194" width="9.7109375" style="10" bestFit="1" customWidth="1"/>
    <col min="8195" max="8195" width="13.85546875" style="10" bestFit="1" customWidth="1"/>
    <col min="8196" max="8443" width="8.85546875" style="10"/>
    <col min="8444" max="8444" width="10.140625" style="10" bestFit="1" customWidth="1"/>
    <col min="8445" max="8445" width="7.7109375" style="10" bestFit="1" customWidth="1"/>
    <col min="8446" max="8446" width="14.140625" style="10" bestFit="1" customWidth="1"/>
    <col min="8447" max="8447" width="80.85546875" style="10" bestFit="1" customWidth="1"/>
    <col min="8448" max="8448" width="31.42578125" style="10" bestFit="1" customWidth="1"/>
    <col min="8449" max="8449" width="8.85546875" style="10" bestFit="1" customWidth="1"/>
    <col min="8450" max="8450" width="9.7109375" style="10" bestFit="1" customWidth="1"/>
    <col min="8451" max="8451" width="13.85546875" style="10" bestFit="1" customWidth="1"/>
    <col min="8452" max="8699" width="8.85546875" style="10"/>
    <col min="8700" max="8700" width="10.140625" style="10" bestFit="1" customWidth="1"/>
    <col min="8701" max="8701" width="7.7109375" style="10" bestFit="1" customWidth="1"/>
    <col min="8702" max="8702" width="14.140625" style="10" bestFit="1" customWidth="1"/>
    <col min="8703" max="8703" width="80.85546875" style="10" bestFit="1" customWidth="1"/>
    <col min="8704" max="8704" width="31.42578125" style="10" bestFit="1" customWidth="1"/>
    <col min="8705" max="8705" width="8.85546875" style="10" bestFit="1" customWidth="1"/>
    <col min="8706" max="8706" width="9.7109375" style="10" bestFit="1" customWidth="1"/>
    <col min="8707" max="8707" width="13.85546875" style="10" bestFit="1" customWidth="1"/>
    <col min="8708" max="8955" width="8.85546875" style="10"/>
    <col min="8956" max="8956" width="10.140625" style="10" bestFit="1" customWidth="1"/>
    <col min="8957" max="8957" width="7.7109375" style="10" bestFit="1" customWidth="1"/>
    <col min="8958" max="8958" width="14.140625" style="10" bestFit="1" customWidth="1"/>
    <col min="8959" max="8959" width="80.85546875" style="10" bestFit="1" customWidth="1"/>
    <col min="8960" max="8960" width="31.42578125" style="10" bestFit="1" customWidth="1"/>
    <col min="8961" max="8961" width="8.85546875" style="10" bestFit="1" customWidth="1"/>
    <col min="8962" max="8962" width="9.7109375" style="10" bestFit="1" customWidth="1"/>
    <col min="8963" max="8963" width="13.85546875" style="10" bestFit="1" customWidth="1"/>
    <col min="8964" max="9211" width="8.85546875" style="10"/>
    <col min="9212" max="9212" width="10.140625" style="10" bestFit="1" customWidth="1"/>
    <col min="9213" max="9213" width="7.7109375" style="10" bestFit="1" customWidth="1"/>
    <col min="9214" max="9214" width="14.140625" style="10" bestFit="1" customWidth="1"/>
    <col min="9215" max="9215" width="80.85546875" style="10" bestFit="1" customWidth="1"/>
    <col min="9216" max="9216" width="31.42578125" style="10" bestFit="1" customWidth="1"/>
    <col min="9217" max="9217" width="8.85546875" style="10" bestFit="1" customWidth="1"/>
    <col min="9218" max="9218" width="9.7109375" style="10" bestFit="1" customWidth="1"/>
    <col min="9219" max="9219" width="13.85546875" style="10" bestFit="1" customWidth="1"/>
    <col min="9220" max="9467" width="8.85546875" style="10"/>
    <col min="9468" max="9468" width="10.140625" style="10" bestFit="1" customWidth="1"/>
    <col min="9469" max="9469" width="7.7109375" style="10" bestFit="1" customWidth="1"/>
    <col min="9470" max="9470" width="14.140625" style="10" bestFit="1" customWidth="1"/>
    <col min="9471" max="9471" width="80.85546875" style="10" bestFit="1" customWidth="1"/>
    <col min="9472" max="9472" width="31.42578125" style="10" bestFit="1" customWidth="1"/>
    <col min="9473" max="9473" width="8.85546875" style="10" bestFit="1" customWidth="1"/>
    <col min="9474" max="9474" width="9.7109375" style="10" bestFit="1" customWidth="1"/>
    <col min="9475" max="9475" width="13.85546875" style="10" bestFit="1" customWidth="1"/>
    <col min="9476" max="9723" width="8.85546875" style="10"/>
    <col min="9724" max="9724" width="10.140625" style="10" bestFit="1" customWidth="1"/>
    <col min="9725" max="9725" width="7.7109375" style="10" bestFit="1" customWidth="1"/>
    <col min="9726" max="9726" width="14.140625" style="10" bestFit="1" customWidth="1"/>
    <col min="9727" max="9727" width="80.85546875" style="10" bestFit="1" customWidth="1"/>
    <col min="9728" max="9728" width="31.42578125" style="10" bestFit="1" customWidth="1"/>
    <col min="9729" max="9729" width="8.85546875" style="10" bestFit="1" customWidth="1"/>
    <col min="9730" max="9730" width="9.7109375" style="10" bestFit="1" customWidth="1"/>
    <col min="9731" max="9731" width="13.85546875" style="10" bestFit="1" customWidth="1"/>
    <col min="9732" max="9979" width="8.85546875" style="10"/>
    <col min="9980" max="9980" width="10.140625" style="10" bestFit="1" customWidth="1"/>
    <col min="9981" max="9981" width="7.7109375" style="10" bestFit="1" customWidth="1"/>
    <col min="9982" max="9982" width="14.140625" style="10" bestFit="1" customWidth="1"/>
    <col min="9983" max="9983" width="80.85546875" style="10" bestFit="1" customWidth="1"/>
    <col min="9984" max="9984" width="31.42578125" style="10" bestFit="1" customWidth="1"/>
    <col min="9985" max="9985" width="8.85546875" style="10" bestFit="1" customWidth="1"/>
    <col min="9986" max="9986" width="9.7109375" style="10" bestFit="1" customWidth="1"/>
    <col min="9987" max="9987" width="13.85546875" style="10" bestFit="1" customWidth="1"/>
    <col min="9988" max="10235" width="8.85546875" style="10"/>
    <col min="10236" max="10236" width="10.140625" style="10" bestFit="1" customWidth="1"/>
    <col min="10237" max="10237" width="7.7109375" style="10" bestFit="1" customWidth="1"/>
    <col min="10238" max="10238" width="14.140625" style="10" bestFit="1" customWidth="1"/>
    <col min="10239" max="10239" width="80.85546875" style="10" bestFit="1" customWidth="1"/>
    <col min="10240" max="10240" width="31.42578125" style="10" bestFit="1" customWidth="1"/>
    <col min="10241" max="10241" width="8.85546875" style="10" bestFit="1" customWidth="1"/>
    <col min="10242" max="10242" width="9.7109375" style="10" bestFit="1" customWidth="1"/>
    <col min="10243" max="10243" width="13.85546875" style="10" bestFit="1" customWidth="1"/>
    <col min="10244" max="10491" width="8.85546875" style="10"/>
    <col min="10492" max="10492" width="10.140625" style="10" bestFit="1" customWidth="1"/>
    <col min="10493" max="10493" width="7.7109375" style="10" bestFit="1" customWidth="1"/>
    <col min="10494" max="10494" width="14.140625" style="10" bestFit="1" customWidth="1"/>
    <col min="10495" max="10495" width="80.85546875" style="10" bestFit="1" customWidth="1"/>
    <col min="10496" max="10496" width="31.42578125" style="10" bestFit="1" customWidth="1"/>
    <col min="10497" max="10497" width="8.85546875" style="10" bestFit="1" customWidth="1"/>
    <col min="10498" max="10498" width="9.7109375" style="10" bestFit="1" customWidth="1"/>
    <col min="10499" max="10499" width="13.85546875" style="10" bestFit="1" customWidth="1"/>
    <col min="10500" max="10747" width="8.85546875" style="10"/>
    <col min="10748" max="10748" width="10.140625" style="10" bestFit="1" customWidth="1"/>
    <col min="10749" max="10749" width="7.7109375" style="10" bestFit="1" customWidth="1"/>
    <col min="10750" max="10750" width="14.140625" style="10" bestFit="1" customWidth="1"/>
    <col min="10751" max="10751" width="80.85546875" style="10" bestFit="1" customWidth="1"/>
    <col min="10752" max="10752" width="31.42578125" style="10" bestFit="1" customWidth="1"/>
    <col min="10753" max="10753" width="8.85546875" style="10" bestFit="1" customWidth="1"/>
    <col min="10754" max="10754" width="9.7109375" style="10" bestFit="1" customWidth="1"/>
    <col min="10755" max="10755" width="13.85546875" style="10" bestFit="1" customWidth="1"/>
    <col min="10756" max="11003" width="8.85546875" style="10"/>
    <col min="11004" max="11004" width="10.140625" style="10" bestFit="1" customWidth="1"/>
    <col min="11005" max="11005" width="7.7109375" style="10" bestFit="1" customWidth="1"/>
    <col min="11006" max="11006" width="14.140625" style="10" bestFit="1" customWidth="1"/>
    <col min="11007" max="11007" width="80.85546875" style="10" bestFit="1" customWidth="1"/>
    <col min="11008" max="11008" width="31.42578125" style="10" bestFit="1" customWidth="1"/>
    <col min="11009" max="11009" width="8.85546875" style="10" bestFit="1" customWidth="1"/>
    <col min="11010" max="11010" width="9.7109375" style="10" bestFit="1" customWidth="1"/>
    <col min="11011" max="11011" width="13.85546875" style="10" bestFit="1" customWidth="1"/>
    <col min="11012" max="11259" width="8.85546875" style="10"/>
    <col min="11260" max="11260" width="10.140625" style="10" bestFit="1" customWidth="1"/>
    <col min="11261" max="11261" width="7.7109375" style="10" bestFit="1" customWidth="1"/>
    <col min="11262" max="11262" width="14.140625" style="10" bestFit="1" customWidth="1"/>
    <col min="11263" max="11263" width="80.85546875" style="10" bestFit="1" customWidth="1"/>
    <col min="11264" max="11264" width="31.42578125" style="10" bestFit="1" customWidth="1"/>
    <col min="11265" max="11265" width="8.85546875" style="10" bestFit="1" customWidth="1"/>
    <col min="11266" max="11266" width="9.7109375" style="10" bestFit="1" customWidth="1"/>
    <col min="11267" max="11267" width="13.85546875" style="10" bestFit="1" customWidth="1"/>
    <col min="11268" max="11515" width="8.85546875" style="10"/>
    <col min="11516" max="11516" width="10.140625" style="10" bestFit="1" customWidth="1"/>
    <col min="11517" max="11517" width="7.7109375" style="10" bestFit="1" customWidth="1"/>
    <col min="11518" max="11518" width="14.140625" style="10" bestFit="1" customWidth="1"/>
    <col min="11519" max="11519" width="80.85546875" style="10" bestFit="1" customWidth="1"/>
    <col min="11520" max="11520" width="31.42578125" style="10" bestFit="1" customWidth="1"/>
    <col min="11521" max="11521" width="8.85546875" style="10" bestFit="1" customWidth="1"/>
    <col min="11522" max="11522" width="9.7109375" style="10" bestFit="1" customWidth="1"/>
    <col min="11523" max="11523" width="13.85546875" style="10" bestFit="1" customWidth="1"/>
    <col min="11524" max="11771" width="8.85546875" style="10"/>
    <col min="11772" max="11772" width="10.140625" style="10" bestFit="1" customWidth="1"/>
    <col min="11773" max="11773" width="7.7109375" style="10" bestFit="1" customWidth="1"/>
    <col min="11774" max="11774" width="14.140625" style="10" bestFit="1" customWidth="1"/>
    <col min="11775" max="11775" width="80.85546875" style="10" bestFit="1" customWidth="1"/>
    <col min="11776" max="11776" width="31.42578125" style="10" bestFit="1" customWidth="1"/>
    <col min="11777" max="11777" width="8.85546875" style="10" bestFit="1" customWidth="1"/>
    <col min="11778" max="11778" width="9.7109375" style="10" bestFit="1" customWidth="1"/>
    <col min="11779" max="11779" width="13.85546875" style="10" bestFit="1" customWidth="1"/>
    <col min="11780" max="12027" width="8.85546875" style="10"/>
    <col min="12028" max="12028" width="10.140625" style="10" bestFit="1" customWidth="1"/>
    <col min="12029" max="12029" width="7.7109375" style="10" bestFit="1" customWidth="1"/>
    <col min="12030" max="12030" width="14.140625" style="10" bestFit="1" customWidth="1"/>
    <col min="12031" max="12031" width="80.85546875" style="10" bestFit="1" customWidth="1"/>
    <col min="12032" max="12032" width="31.42578125" style="10" bestFit="1" customWidth="1"/>
    <col min="12033" max="12033" width="8.85546875" style="10" bestFit="1" customWidth="1"/>
    <col min="12034" max="12034" width="9.7109375" style="10" bestFit="1" customWidth="1"/>
    <col min="12035" max="12035" width="13.85546875" style="10" bestFit="1" customWidth="1"/>
    <col min="12036" max="12283" width="8.85546875" style="10"/>
    <col min="12284" max="12284" width="10.140625" style="10" bestFit="1" customWidth="1"/>
    <col min="12285" max="12285" width="7.7109375" style="10" bestFit="1" customWidth="1"/>
    <col min="12286" max="12286" width="14.140625" style="10" bestFit="1" customWidth="1"/>
    <col min="12287" max="12287" width="80.85546875" style="10" bestFit="1" customWidth="1"/>
    <col min="12288" max="12288" width="31.42578125" style="10" bestFit="1" customWidth="1"/>
    <col min="12289" max="12289" width="8.85546875" style="10" bestFit="1" customWidth="1"/>
    <col min="12290" max="12290" width="9.7109375" style="10" bestFit="1" customWidth="1"/>
    <col min="12291" max="12291" width="13.85546875" style="10" bestFit="1" customWidth="1"/>
    <col min="12292" max="12539" width="8.85546875" style="10"/>
    <col min="12540" max="12540" width="10.140625" style="10" bestFit="1" customWidth="1"/>
    <col min="12541" max="12541" width="7.7109375" style="10" bestFit="1" customWidth="1"/>
    <col min="12542" max="12542" width="14.140625" style="10" bestFit="1" customWidth="1"/>
    <col min="12543" max="12543" width="80.85546875" style="10" bestFit="1" customWidth="1"/>
    <col min="12544" max="12544" width="31.42578125" style="10" bestFit="1" customWidth="1"/>
    <col min="12545" max="12545" width="8.85546875" style="10" bestFit="1" customWidth="1"/>
    <col min="12546" max="12546" width="9.7109375" style="10" bestFit="1" customWidth="1"/>
    <col min="12547" max="12547" width="13.85546875" style="10" bestFit="1" customWidth="1"/>
    <col min="12548" max="12795" width="8.85546875" style="10"/>
    <col min="12796" max="12796" width="10.140625" style="10" bestFit="1" customWidth="1"/>
    <col min="12797" max="12797" width="7.7109375" style="10" bestFit="1" customWidth="1"/>
    <col min="12798" max="12798" width="14.140625" style="10" bestFit="1" customWidth="1"/>
    <col min="12799" max="12799" width="80.85546875" style="10" bestFit="1" customWidth="1"/>
    <col min="12800" max="12800" width="31.42578125" style="10" bestFit="1" customWidth="1"/>
    <col min="12801" max="12801" width="8.85546875" style="10" bestFit="1" customWidth="1"/>
    <col min="12802" max="12802" width="9.7109375" style="10" bestFit="1" customWidth="1"/>
    <col min="12803" max="12803" width="13.85546875" style="10" bestFit="1" customWidth="1"/>
    <col min="12804" max="13051" width="8.85546875" style="10"/>
    <col min="13052" max="13052" width="10.140625" style="10" bestFit="1" customWidth="1"/>
    <col min="13053" max="13053" width="7.7109375" style="10" bestFit="1" customWidth="1"/>
    <col min="13054" max="13054" width="14.140625" style="10" bestFit="1" customWidth="1"/>
    <col min="13055" max="13055" width="80.85546875" style="10" bestFit="1" customWidth="1"/>
    <col min="13056" max="13056" width="31.42578125" style="10" bestFit="1" customWidth="1"/>
    <col min="13057" max="13057" width="8.85546875" style="10" bestFit="1" customWidth="1"/>
    <col min="13058" max="13058" width="9.7109375" style="10" bestFit="1" customWidth="1"/>
    <col min="13059" max="13059" width="13.85546875" style="10" bestFit="1" customWidth="1"/>
    <col min="13060" max="13307" width="8.85546875" style="10"/>
    <col min="13308" max="13308" width="10.140625" style="10" bestFit="1" customWidth="1"/>
    <col min="13309" max="13309" width="7.7109375" style="10" bestFit="1" customWidth="1"/>
    <col min="13310" max="13310" width="14.140625" style="10" bestFit="1" customWidth="1"/>
    <col min="13311" max="13311" width="80.85546875" style="10" bestFit="1" customWidth="1"/>
    <col min="13312" max="13312" width="31.42578125" style="10" bestFit="1" customWidth="1"/>
    <col min="13313" max="13313" width="8.85546875" style="10" bestFit="1" customWidth="1"/>
    <col min="13314" max="13314" width="9.7109375" style="10" bestFit="1" customWidth="1"/>
    <col min="13315" max="13315" width="13.85546875" style="10" bestFit="1" customWidth="1"/>
    <col min="13316" max="13563" width="8.85546875" style="10"/>
    <col min="13564" max="13564" width="10.140625" style="10" bestFit="1" customWidth="1"/>
    <col min="13565" max="13565" width="7.7109375" style="10" bestFit="1" customWidth="1"/>
    <col min="13566" max="13566" width="14.140625" style="10" bestFit="1" customWidth="1"/>
    <col min="13567" max="13567" width="80.85546875" style="10" bestFit="1" customWidth="1"/>
    <col min="13568" max="13568" width="31.42578125" style="10" bestFit="1" customWidth="1"/>
    <col min="13569" max="13569" width="8.85546875" style="10" bestFit="1" customWidth="1"/>
    <col min="13570" max="13570" width="9.7109375" style="10" bestFit="1" customWidth="1"/>
    <col min="13571" max="13571" width="13.85546875" style="10" bestFit="1" customWidth="1"/>
    <col min="13572" max="13819" width="8.85546875" style="10"/>
    <col min="13820" max="13820" width="10.140625" style="10" bestFit="1" customWidth="1"/>
    <col min="13821" max="13821" width="7.7109375" style="10" bestFit="1" customWidth="1"/>
    <col min="13822" max="13822" width="14.140625" style="10" bestFit="1" customWidth="1"/>
    <col min="13823" max="13823" width="80.85546875" style="10" bestFit="1" customWidth="1"/>
    <col min="13824" max="13824" width="31.42578125" style="10" bestFit="1" customWidth="1"/>
    <col min="13825" max="13825" width="8.85546875" style="10" bestFit="1" customWidth="1"/>
    <col min="13826" max="13826" width="9.7109375" style="10" bestFit="1" customWidth="1"/>
    <col min="13827" max="13827" width="13.85546875" style="10" bestFit="1" customWidth="1"/>
    <col min="13828" max="14075" width="8.85546875" style="10"/>
    <col min="14076" max="14076" width="10.140625" style="10" bestFit="1" customWidth="1"/>
    <col min="14077" max="14077" width="7.7109375" style="10" bestFit="1" customWidth="1"/>
    <col min="14078" max="14078" width="14.140625" style="10" bestFit="1" customWidth="1"/>
    <col min="14079" max="14079" width="80.85546875" style="10" bestFit="1" customWidth="1"/>
    <col min="14080" max="14080" width="31.42578125" style="10" bestFit="1" customWidth="1"/>
    <col min="14081" max="14081" width="8.85546875" style="10" bestFit="1" customWidth="1"/>
    <col min="14082" max="14082" width="9.7109375" style="10" bestFit="1" customWidth="1"/>
    <col min="14083" max="14083" width="13.85546875" style="10" bestFit="1" customWidth="1"/>
    <col min="14084" max="14331" width="8.85546875" style="10"/>
    <col min="14332" max="14332" width="10.140625" style="10" bestFit="1" customWidth="1"/>
    <col min="14333" max="14333" width="7.7109375" style="10" bestFit="1" customWidth="1"/>
    <col min="14334" max="14334" width="14.140625" style="10" bestFit="1" customWidth="1"/>
    <col min="14335" max="14335" width="80.85546875" style="10" bestFit="1" customWidth="1"/>
    <col min="14336" max="14336" width="31.42578125" style="10" bestFit="1" customWidth="1"/>
    <col min="14337" max="14337" width="8.85546875" style="10" bestFit="1" customWidth="1"/>
    <col min="14338" max="14338" width="9.7109375" style="10" bestFit="1" customWidth="1"/>
    <col min="14339" max="14339" width="13.85546875" style="10" bestFit="1" customWidth="1"/>
    <col min="14340" max="14587" width="8.85546875" style="10"/>
    <col min="14588" max="14588" width="10.140625" style="10" bestFit="1" customWidth="1"/>
    <col min="14589" max="14589" width="7.7109375" style="10" bestFit="1" customWidth="1"/>
    <col min="14590" max="14590" width="14.140625" style="10" bestFit="1" customWidth="1"/>
    <col min="14591" max="14591" width="80.85546875" style="10" bestFit="1" customWidth="1"/>
    <col min="14592" max="14592" width="31.42578125" style="10" bestFit="1" customWidth="1"/>
    <col min="14593" max="14593" width="8.85546875" style="10" bestFit="1" customWidth="1"/>
    <col min="14594" max="14594" width="9.7109375" style="10" bestFit="1" customWidth="1"/>
    <col min="14595" max="14595" width="13.85546875" style="10" bestFit="1" customWidth="1"/>
    <col min="14596" max="14843" width="8.85546875" style="10"/>
    <col min="14844" max="14844" width="10.140625" style="10" bestFit="1" customWidth="1"/>
    <col min="14845" max="14845" width="7.7109375" style="10" bestFit="1" customWidth="1"/>
    <col min="14846" max="14846" width="14.140625" style="10" bestFit="1" customWidth="1"/>
    <col min="14847" max="14847" width="80.85546875" style="10" bestFit="1" customWidth="1"/>
    <col min="14848" max="14848" width="31.42578125" style="10" bestFit="1" customWidth="1"/>
    <col min="14849" max="14849" width="8.85546875" style="10" bestFit="1" customWidth="1"/>
    <col min="14850" max="14850" width="9.7109375" style="10" bestFit="1" customWidth="1"/>
    <col min="14851" max="14851" width="13.85546875" style="10" bestFit="1" customWidth="1"/>
    <col min="14852" max="15099" width="8.85546875" style="10"/>
    <col min="15100" max="15100" width="10.140625" style="10" bestFit="1" customWidth="1"/>
    <col min="15101" max="15101" width="7.7109375" style="10" bestFit="1" customWidth="1"/>
    <col min="15102" max="15102" width="14.140625" style="10" bestFit="1" customWidth="1"/>
    <col min="15103" max="15103" width="80.85546875" style="10" bestFit="1" customWidth="1"/>
    <col min="15104" max="15104" width="31.42578125" style="10" bestFit="1" customWidth="1"/>
    <col min="15105" max="15105" width="8.85546875" style="10" bestFit="1" customWidth="1"/>
    <col min="15106" max="15106" width="9.7109375" style="10" bestFit="1" customWidth="1"/>
    <col min="15107" max="15107" width="13.85546875" style="10" bestFit="1" customWidth="1"/>
    <col min="15108" max="15355" width="8.85546875" style="10"/>
    <col min="15356" max="15356" width="10.140625" style="10" bestFit="1" customWidth="1"/>
    <col min="15357" max="15357" width="7.7109375" style="10" bestFit="1" customWidth="1"/>
    <col min="15358" max="15358" width="14.140625" style="10" bestFit="1" customWidth="1"/>
    <col min="15359" max="15359" width="80.85546875" style="10" bestFit="1" customWidth="1"/>
    <col min="15360" max="15360" width="31.42578125" style="10" bestFit="1" customWidth="1"/>
    <col min="15361" max="15361" width="8.85546875" style="10" bestFit="1" customWidth="1"/>
    <col min="15362" max="15362" width="9.7109375" style="10" bestFit="1" customWidth="1"/>
    <col min="15363" max="15363" width="13.85546875" style="10" bestFit="1" customWidth="1"/>
    <col min="15364" max="15611" width="8.85546875" style="10"/>
    <col min="15612" max="15612" width="10.140625" style="10" bestFit="1" customWidth="1"/>
    <col min="15613" max="15613" width="7.7109375" style="10" bestFit="1" customWidth="1"/>
    <col min="15614" max="15614" width="14.140625" style="10" bestFit="1" customWidth="1"/>
    <col min="15615" max="15615" width="80.85546875" style="10" bestFit="1" customWidth="1"/>
    <col min="15616" max="15616" width="31.42578125" style="10" bestFit="1" customWidth="1"/>
    <col min="15617" max="15617" width="8.85546875" style="10" bestFit="1" customWidth="1"/>
    <col min="15618" max="15618" width="9.7109375" style="10" bestFit="1" customWidth="1"/>
    <col min="15619" max="15619" width="13.85546875" style="10" bestFit="1" customWidth="1"/>
    <col min="15620" max="15867" width="8.85546875" style="10"/>
    <col min="15868" max="15868" width="10.140625" style="10" bestFit="1" customWidth="1"/>
    <col min="15869" max="15869" width="7.7109375" style="10" bestFit="1" customWidth="1"/>
    <col min="15870" max="15870" width="14.140625" style="10" bestFit="1" customWidth="1"/>
    <col min="15871" max="15871" width="80.85546875" style="10" bestFit="1" customWidth="1"/>
    <col min="15872" max="15872" width="31.42578125" style="10" bestFit="1" customWidth="1"/>
    <col min="15873" max="15873" width="8.85546875" style="10" bestFit="1" customWidth="1"/>
    <col min="15874" max="15874" width="9.7109375" style="10" bestFit="1" customWidth="1"/>
    <col min="15875" max="15875" width="13.85546875" style="10" bestFit="1" customWidth="1"/>
    <col min="15876" max="16123" width="8.85546875" style="10"/>
    <col min="16124" max="16124" width="10.140625" style="10" bestFit="1" customWidth="1"/>
    <col min="16125" max="16125" width="7.7109375" style="10" bestFit="1" customWidth="1"/>
    <col min="16126" max="16126" width="14.140625" style="10" bestFit="1" customWidth="1"/>
    <col min="16127" max="16127" width="80.85546875" style="10" bestFit="1" customWidth="1"/>
    <col min="16128" max="16128" width="31.42578125" style="10" bestFit="1" customWidth="1"/>
    <col min="16129" max="16129" width="8.85546875" style="10" bestFit="1" customWidth="1"/>
    <col min="16130" max="16130" width="9.7109375" style="10" bestFit="1" customWidth="1"/>
    <col min="16131" max="16131" width="13.85546875" style="10" bestFit="1" customWidth="1"/>
    <col min="16132" max="16384" width="8.85546875" style="10"/>
  </cols>
  <sheetData>
    <row r="1" spans="1:3">
      <c r="A1" s="23" t="s">
        <v>7</v>
      </c>
      <c r="B1" s="23"/>
    </row>
    <row r="2" spans="1:3">
      <c r="A2" s="10" t="s">
        <v>5</v>
      </c>
      <c r="B2" s="10" t="s">
        <v>8</v>
      </c>
      <c r="C2" s="10" t="s">
        <v>4</v>
      </c>
    </row>
    <row r="3" spans="1:3">
      <c r="A3" s="10" t="s">
        <v>9</v>
      </c>
      <c r="B3" s="10" t="s">
        <v>10</v>
      </c>
    </row>
    <row r="4" spans="1:3">
      <c r="B4" s="10" t="s">
        <v>11</v>
      </c>
    </row>
    <row r="5" spans="1:3">
      <c r="A5" s="10" t="s">
        <v>12</v>
      </c>
      <c r="B5" s="10" t="s">
        <v>13</v>
      </c>
      <c r="C5" s="10" t="s">
        <v>14</v>
      </c>
    </row>
    <row r="6" spans="1:3">
      <c r="A6" s="10" t="s">
        <v>15</v>
      </c>
      <c r="B6" s="10" t="s">
        <v>16</v>
      </c>
      <c r="C6" s="10" t="s">
        <v>17</v>
      </c>
    </row>
    <row r="7" spans="1:3">
      <c r="A7" s="10" t="s">
        <v>18</v>
      </c>
      <c r="B7" s="10" t="s">
        <v>19</v>
      </c>
      <c r="C7" s="10" t="s">
        <v>20</v>
      </c>
    </row>
    <row r="8" spans="1:3">
      <c r="A8" s="10" t="s">
        <v>21</v>
      </c>
      <c r="B8" s="10" t="s">
        <v>22</v>
      </c>
      <c r="C8" s="10" t="s">
        <v>23</v>
      </c>
    </row>
    <row r="9" spans="1:3">
      <c r="A9" s="10" t="s">
        <v>24</v>
      </c>
      <c r="B9" s="10" t="s">
        <v>25</v>
      </c>
      <c r="C9" s="10" t="s">
        <v>26</v>
      </c>
    </row>
    <row r="10" spans="1:3">
      <c r="A10" s="10" t="s">
        <v>27</v>
      </c>
      <c r="B10" s="10" t="s">
        <v>28</v>
      </c>
      <c r="C10" s="10" t="s">
        <v>29</v>
      </c>
    </row>
    <row r="11" spans="1:3">
      <c r="A11" s="10" t="s">
        <v>30</v>
      </c>
      <c r="B11" s="10" t="s">
        <v>31</v>
      </c>
      <c r="C11" s="10" t="s">
        <v>32</v>
      </c>
    </row>
    <row r="12" spans="1:3">
      <c r="A12" s="10" t="s">
        <v>33</v>
      </c>
      <c r="B12" s="10" t="s">
        <v>34</v>
      </c>
      <c r="C12" s="10" t="s">
        <v>35</v>
      </c>
    </row>
    <row r="13" spans="1:3">
      <c r="A13" s="10" t="s">
        <v>36</v>
      </c>
      <c r="B13" s="10" t="s">
        <v>37</v>
      </c>
      <c r="C13" s="10" t="s">
        <v>38</v>
      </c>
    </row>
    <row r="14" spans="1:3">
      <c r="A14" s="10" t="s">
        <v>39</v>
      </c>
      <c r="B14" s="10" t="s">
        <v>40</v>
      </c>
      <c r="C14" s="10" t="s">
        <v>41</v>
      </c>
    </row>
    <row r="15" spans="1:3">
      <c r="B15" s="10" t="s">
        <v>42</v>
      </c>
    </row>
    <row r="16" spans="1:3">
      <c r="A16" s="10" t="s">
        <v>43</v>
      </c>
      <c r="B16" s="10" t="s">
        <v>44</v>
      </c>
      <c r="C16" s="10" t="s">
        <v>45</v>
      </c>
    </row>
    <row r="17" spans="1:3">
      <c r="A17" s="10" t="s">
        <v>46</v>
      </c>
      <c r="B17" s="10" t="s">
        <v>47</v>
      </c>
      <c r="C17" s="10" t="s">
        <v>48</v>
      </c>
    </row>
    <row r="18" spans="1:3">
      <c r="A18" s="10" t="s">
        <v>49</v>
      </c>
      <c r="B18" s="10" t="s">
        <v>50</v>
      </c>
      <c r="C18" s="10" t="s">
        <v>51</v>
      </c>
    </row>
    <row r="19" spans="1:3">
      <c r="A19" s="10" t="s">
        <v>52</v>
      </c>
      <c r="B19" s="10" t="s">
        <v>53</v>
      </c>
      <c r="C19" s="10" t="s">
        <v>54</v>
      </c>
    </row>
    <row r="20" spans="1:3">
      <c r="A20" s="10" t="s">
        <v>55</v>
      </c>
      <c r="B20" s="10" t="s">
        <v>56</v>
      </c>
      <c r="C20" s="10" t="s">
        <v>57</v>
      </c>
    </row>
    <row r="21" spans="1:3">
      <c r="A21" s="10" t="s">
        <v>58</v>
      </c>
      <c r="B21" s="10" t="s">
        <v>59</v>
      </c>
      <c r="C21" s="10" t="s">
        <v>60</v>
      </c>
    </row>
    <row r="22" spans="1:3">
      <c r="A22" s="10" t="s">
        <v>61</v>
      </c>
      <c r="B22" s="10" t="s">
        <v>62</v>
      </c>
      <c r="C22" s="10" t="s">
        <v>63</v>
      </c>
    </row>
    <row r="23" spans="1:3">
      <c r="A23" s="10" t="s">
        <v>64</v>
      </c>
      <c r="B23" s="10" t="s">
        <v>65</v>
      </c>
      <c r="C23" s="10" t="s">
        <v>66</v>
      </c>
    </row>
    <row r="24" spans="1:3">
      <c r="A24" s="10" t="s">
        <v>67</v>
      </c>
      <c r="B24" s="10" t="s">
        <v>68</v>
      </c>
      <c r="C24" s="10" t="s">
        <v>69</v>
      </c>
    </row>
    <row r="25" spans="1:3">
      <c r="A25" s="10" t="s">
        <v>70</v>
      </c>
      <c r="B25" s="10" t="s">
        <v>71</v>
      </c>
      <c r="C25" s="10" t="s">
        <v>72</v>
      </c>
    </row>
    <row r="26" spans="1:3">
      <c r="B26" s="10" t="s">
        <v>73</v>
      </c>
    </row>
    <row r="27" spans="1:3">
      <c r="A27" s="10" t="s">
        <v>74</v>
      </c>
      <c r="B27" s="10" t="s">
        <v>75</v>
      </c>
      <c r="C27" s="10" t="s">
        <v>76</v>
      </c>
    </row>
    <row r="28" spans="1:3">
      <c r="A28" s="10" t="s">
        <v>77</v>
      </c>
      <c r="B28" s="10" t="s">
        <v>78</v>
      </c>
      <c r="C28" s="10" t="s">
        <v>79</v>
      </c>
    </row>
    <row r="29" spans="1:3">
      <c r="A29" s="10" t="s">
        <v>80</v>
      </c>
      <c r="B29" s="10" t="s">
        <v>81</v>
      </c>
      <c r="C29" s="10" t="s">
        <v>82</v>
      </c>
    </row>
    <row r="30" spans="1:3">
      <c r="A30" s="10" t="s">
        <v>83</v>
      </c>
      <c r="B30" s="10" t="s">
        <v>84</v>
      </c>
      <c r="C30" s="10" t="s">
        <v>85</v>
      </c>
    </row>
    <row r="31" spans="1:3">
      <c r="A31" s="10" t="s">
        <v>86</v>
      </c>
      <c r="B31" s="10" t="s">
        <v>87</v>
      </c>
      <c r="C31" s="10" t="s">
        <v>88</v>
      </c>
    </row>
    <row r="32" spans="1:3">
      <c r="A32" s="10" t="s">
        <v>89</v>
      </c>
      <c r="B32" s="10" t="s">
        <v>90</v>
      </c>
      <c r="C32" s="10" t="s">
        <v>91</v>
      </c>
    </row>
    <row r="33" spans="1:3">
      <c r="A33" s="10" t="s">
        <v>92</v>
      </c>
      <c r="B33" s="10" t="s">
        <v>93</v>
      </c>
      <c r="C33" s="10" t="s">
        <v>94</v>
      </c>
    </row>
    <row r="34" spans="1:3">
      <c r="A34" s="10" t="s">
        <v>95</v>
      </c>
      <c r="B34" s="10" t="s">
        <v>96</v>
      </c>
      <c r="C34" s="10" t="s">
        <v>97</v>
      </c>
    </row>
    <row r="35" spans="1:3">
      <c r="A35" s="10" t="s">
        <v>98</v>
      </c>
      <c r="B35" s="10" t="s">
        <v>99</v>
      </c>
      <c r="C35" s="10" t="s">
        <v>69</v>
      </c>
    </row>
    <row r="36" spans="1:3">
      <c r="A36" s="10" t="s">
        <v>100</v>
      </c>
      <c r="B36" s="10" t="s">
        <v>101</v>
      </c>
      <c r="C36" s="10" t="s">
        <v>102</v>
      </c>
    </row>
    <row r="37" spans="1:3">
      <c r="B37" s="10" t="s">
        <v>103</v>
      </c>
    </row>
    <row r="38" spans="1:3">
      <c r="A38" s="10" t="s">
        <v>104</v>
      </c>
      <c r="B38" s="10" t="s">
        <v>105</v>
      </c>
      <c r="C38" s="10" t="s">
        <v>106</v>
      </c>
    </row>
    <row r="39" spans="1:3">
      <c r="A39" s="10" t="s">
        <v>107</v>
      </c>
      <c r="B39" s="10" t="s">
        <v>108</v>
      </c>
      <c r="C39" s="10" t="s">
        <v>109</v>
      </c>
    </row>
    <row r="40" spans="1:3">
      <c r="A40" s="10" t="s">
        <v>110</v>
      </c>
      <c r="B40" s="10" t="s">
        <v>111</v>
      </c>
      <c r="C40" s="10" t="s">
        <v>112</v>
      </c>
    </row>
    <row r="41" spans="1:3">
      <c r="A41" s="10" t="s">
        <v>113</v>
      </c>
      <c r="B41" s="10" t="s">
        <v>114</v>
      </c>
      <c r="C41" s="10" t="s">
        <v>115</v>
      </c>
    </row>
    <row r="42" spans="1:3">
      <c r="A42" s="10" t="s">
        <v>116</v>
      </c>
      <c r="B42" s="10" t="s">
        <v>117</v>
      </c>
      <c r="C42" s="10" t="s">
        <v>118</v>
      </c>
    </row>
    <row r="43" spans="1:3">
      <c r="A43" s="10" t="s">
        <v>119</v>
      </c>
      <c r="B43" s="10" t="s">
        <v>120</v>
      </c>
      <c r="C43" s="10" t="s">
        <v>121</v>
      </c>
    </row>
    <row r="44" spans="1:3">
      <c r="A44" s="10" t="s">
        <v>122</v>
      </c>
      <c r="B44" s="10" t="s">
        <v>123</v>
      </c>
      <c r="C44" s="10" t="s">
        <v>124</v>
      </c>
    </row>
    <row r="45" spans="1:3">
      <c r="A45" s="10" t="s">
        <v>125</v>
      </c>
      <c r="B45" s="10" t="s">
        <v>126</v>
      </c>
      <c r="C45" s="10" t="s">
        <v>127</v>
      </c>
    </row>
    <row r="46" spans="1:3">
      <c r="A46" s="10" t="s">
        <v>128</v>
      </c>
      <c r="B46" s="10" t="s">
        <v>129</v>
      </c>
      <c r="C46" s="10" t="s">
        <v>130</v>
      </c>
    </row>
    <row r="47" spans="1:3">
      <c r="A47" s="10" t="s">
        <v>131</v>
      </c>
      <c r="B47" s="10" t="s">
        <v>132</v>
      </c>
      <c r="C47" s="10" t="s">
        <v>133</v>
      </c>
    </row>
    <row r="48" spans="1:3">
      <c r="B48" s="10" t="s">
        <v>134</v>
      </c>
    </row>
    <row r="49" spans="1:3">
      <c r="A49" s="10" t="s">
        <v>135</v>
      </c>
      <c r="B49" s="10" t="s">
        <v>136</v>
      </c>
      <c r="C49" s="10" t="s">
        <v>137</v>
      </c>
    </row>
    <row r="50" spans="1:3">
      <c r="A50" s="10" t="s">
        <v>138</v>
      </c>
      <c r="B50" s="10" t="s">
        <v>139</v>
      </c>
      <c r="C50" s="10" t="s">
        <v>140</v>
      </c>
    </row>
    <row r="51" spans="1:3">
      <c r="A51" s="10" t="s">
        <v>141</v>
      </c>
      <c r="B51" s="10" t="s">
        <v>142</v>
      </c>
      <c r="C51" s="10" t="s">
        <v>143</v>
      </c>
    </row>
    <row r="52" spans="1:3">
      <c r="A52" s="10" t="s">
        <v>144</v>
      </c>
      <c r="B52" s="10" t="s">
        <v>145</v>
      </c>
      <c r="C52" s="10" t="s">
        <v>146</v>
      </c>
    </row>
    <row r="53" spans="1:3">
      <c r="A53" s="10" t="s">
        <v>147</v>
      </c>
      <c r="B53" s="10" t="s">
        <v>148</v>
      </c>
      <c r="C53" s="10" t="s">
        <v>149</v>
      </c>
    </row>
    <row r="54" spans="1:3">
      <c r="A54" s="10" t="s">
        <v>150</v>
      </c>
      <c r="B54" s="10" t="s">
        <v>151</v>
      </c>
      <c r="C54" s="10" t="s">
        <v>152</v>
      </c>
    </row>
    <row r="55" spans="1:3">
      <c r="A55" s="10" t="s">
        <v>153</v>
      </c>
      <c r="B55" s="10" t="s">
        <v>154</v>
      </c>
      <c r="C55" s="10" t="s">
        <v>155</v>
      </c>
    </row>
    <row r="56" spans="1:3">
      <c r="A56" s="10" t="s">
        <v>156</v>
      </c>
      <c r="B56" s="10" t="s">
        <v>157</v>
      </c>
      <c r="C56" s="10" t="s">
        <v>158</v>
      </c>
    </row>
    <row r="57" spans="1:3">
      <c r="A57" s="10" t="s">
        <v>159</v>
      </c>
      <c r="B57" s="10" t="s">
        <v>160</v>
      </c>
      <c r="C57" s="10" t="s">
        <v>161</v>
      </c>
    </row>
    <row r="58" spans="1:3">
      <c r="A58" s="10" t="s">
        <v>162</v>
      </c>
      <c r="B58" s="10" t="s">
        <v>163</v>
      </c>
      <c r="C58" s="10" t="s">
        <v>152</v>
      </c>
    </row>
    <row r="59" spans="1:3">
      <c r="B59" s="10" t="s">
        <v>164</v>
      </c>
    </row>
    <row r="60" spans="1:3">
      <c r="A60" s="10" t="s">
        <v>165</v>
      </c>
      <c r="B60" s="10" t="s">
        <v>166</v>
      </c>
      <c r="C60" s="10" t="s">
        <v>167</v>
      </c>
    </row>
    <row r="61" spans="1:3">
      <c r="A61" s="10" t="s">
        <v>168</v>
      </c>
      <c r="B61" s="10" t="s">
        <v>169</v>
      </c>
      <c r="C61" s="10" t="s">
        <v>170</v>
      </c>
    </row>
    <row r="62" spans="1:3">
      <c r="A62" s="10" t="s">
        <v>171</v>
      </c>
      <c r="B62" s="10" t="s">
        <v>172</v>
      </c>
      <c r="C62" s="10" t="s">
        <v>173</v>
      </c>
    </row>
    <row r="63" spans="1:3">
      <c r="A63" s="10" t="s">
        <v>174</v>
      </c>
      <c r="B63" s="10" t="s">
        <v>175</v>
      </c>
      <c r="C63" s="10" t="s">
        <v>82</v>
      </c>
    </row>
    <row r="64" spans="1:3">
      <c r="A64" s="10" t="s">
        <v>176</v>
      </c>
      <c r="B64" s="10" t="s">
        <v>177</v>
      </c>
      <c r="C64" s="10" t="s">
        <v>178</v>
      </c>
    </row>
    <row r="65" spans="1:3">
      <c r="A65" s="10" t="s">
        <v>179</v>
      </c>
      <c r="B65" s="10" t="s">
        <v>180</v>
      </c>
      <c r="C65" s="10" t="s">
        <v>181</v>
      </c>
    </row>
    <row r="66" spans="1:3">
      <c r="A66" s="10" t="s">
        <v>182</v>
      </c>
      <c r="B66" s="10" t="s">
        <v>183</v>
      </c>
      <c r="C66" s="10" t="s">
        <v>184</v>
      </c>
    </row>
    <row r="67" spans="1:3">
      <c r="A67" s="10" t="s">
        <v>185</v>
      </c>
      <c r="B67" s="10" t="s">
        <v>186</v>
      </c>
      <c r="C67" s="10" t="s">
        <v>187</v>
      </c>
    </row>
    <row r="68" spans="1:3">
      <c r="A68" s="10" t="s">
        <v>188</v>
      </c>
      <c r="B68" s="10" t="s">
        <v>189</v>
      </c>
      <c r="C68" s="10" t="s">
        <v>190</v>
      </c>
    </row>
    <row r="69" spans="1:3">
      <c r="A69" s="10" t="s">
        <v>191</v>
      </c>
      <c r="B69" s="10" t="s">
        <v>192</v>
      </c>
      <c r="C69" s="10" t="s">
        <v>190</v>
      </c>
    </row>
    <row r="70" spans="1:3">
      <c r="B70" s="10" t="s">
        <v>193</v>
      </c>
    </row>
    <row r="71" spans="1:3">
      <c r="A71" s="10" t="s">
        <v>194</v>
      </c>
      <c r="B71" s="10" t="s">
        <v>195</v>
      </c>
      <c r="C71" s="10" t="s">
        <v>196</v>
      </c>
    </row>
    <row r="72" spans="1:3">
      <c r="A72" s="10" t="s">
        <v>197</v>
      </c>
      <c r="B72" s="10" t="s">
        <v>198</v>
      </c>
      <c r="C72" s="10" t="s">
        <v>199</v>
      </c>
    </row>
    <row r="73" spans="1:3">
      <c r="A73" s="10" t="s">
        <v>200</v>
      </c>
      <c r="B73" s="10" t="s">
        <v>201</v>
      </c>
      <c r="C73" s="10" t="s">
        <v>202</v>
      </c>
    </row>
    <row r="74" spans="1:3">
      <c r="A74" s="10" t="s">
        <v>203</v>
      </c>
      <c r="B74" s="10" t="s">
        <v>204</v>
      </c>
      <c r="C74" s="10" t="s">
        <v>202</v>
      </c>
    </row>
    <row r="75" spans="1:3">
      <c r="A75" s="10" t="s">
        <v>205</v>
      </c>
      <c r="B75" s="10" t="s">
        <v>206</v>
      </c>
      <c r="C75" s="10" t="s">
        <v>207</v>
      </c>
    </row>
    <row r="76" spans="1:3">
      <c r="A76" s="10" t="s">
        <v>208</v>
      </c>
      <c r="B76" s="10" t="s">
        <v>209</v>
      </c>
      <c r="C76" s="10" t="s">
        <v>210</v>
      </c>
    </row>
    <row r="77" spans="1:3">
      <c r="A77" s="10" t="s">
        <v>211</v>
      </c>
      <c r="B77" s="10" t="s">
        <v>212</v>
      </c>
      <c r="C77" s="10" t="s">
        <v>202</v>
      </c>
    </row>
    <row r="78" spans="1:3">
      <c r="A78" s="10" t="s">
        <v>213</v>
      </c>
      <c r="B78" s="10" t="s">
        <v>214</v>
      </c>
      <c r="C78" s="10" t="s">
        <v>215</v>
      </c>
    </row>
    <row r="79" spans="1:3">
      <c r="A79" s="10" t="s">
        <v>216</v>
      </c>
      <c r="B79" s="10" t="s">
        <v>217</v>
      </c>
      <c r="C79" s="10" t="s">
        <v>218</v>
      </c>
    </row>
    <row r="80" spans="1:3">
      <c r="A80" s="10" t="s">
        <v>219</v>
      </c>
      <c r="B80" s="10" t="s">
        <v>220</v>
      </c>
      <c r="C80" s="10" t="s">
        <v>221</v>
      </c>
    </row>
    <row r="81" spans="1:3">
      <c r="B81" s="10" t="s">
        <v>222</v>
      </c>
    </row>
    <row r="82" spans="1:3">
      <c r="A82" s="10" t="s">
        <v>223</v>
      </c>
      <c r="B82" s="10" t="s">
        <v>224</v>
      </c>
      <c r="C82" s="10" t="s">
        <v>210</v>
      </c>
    </row>
    <row r="83" spans="1:3">
      <c r="A83" s="10" t="s">
        <v>225</v>
      </c>
      <c r="B83" s="10" t="s">
        <v>226</v>
      </c>
      <c r="C83" s="10" t="s">
        <v>227</v>
      </c>
    </row>
    <row r="84" spans="1:3">
      <c r="A84" s="10" t="s">
        <v>228</v>
      </c>
      <c r="B84" s="10" t="s">
        <v>229</v>
      </c>
      <c r="C84" s="10" t="s">
        <v>230</v>
      </c>
    </row>
    <row r="85" spans="1:3">
      <c r="A85" s="10" t="s">
        <v>231</v>
      </c>
      <c r="B85" s="10" t="s">
        <v>232</v>
      </c>
      <c r="C85" s="10" t="s">
        <v>233</v>
      </c>
    </row>
    <row r="86" spans="1:3">
      <c r="A86" s="10" t="s">
        <v>234</v>
      </c>
      <c r="B86" s="10" t="s">
        <v>235</v>
      </c>
      <c r="C86" s="10" t="s">
        <v>236</v>
      </c>
    </row>
    <row r="87" spans="1:3">
      <c r="A87" s="10" t="s">
        <v>237</v>
      </c>
      <c r="B87" s="10" t="s">
        <v>238</v>
      </c>
      <c r="C87" s="10" t="s">
        <v>239</v>
      </c>
    </row>
    <row r="88" spans="1:3">
      <c r="A88" s="10" t="s">
        <v>240</v>
      </c>
      <c r="B88" s="10" t="s">
        <v>241</v>
      </c>
      <c r="C88" s="10" t="s">
        <v>242</v>
      </c>
    </row>
    <row r="89" spans="1:3">
      <c r="A89" s="10" t="s">
        <v>243</v>
      </c>
      <c r="B89" s="10" t="s">
        <v>244</v>
      </c>
      <c r="C89" s="10" t="s">
        <v>245</v>
      </c>
    </row>
    <row r="90" spans="1:3">
      <c r="A90" s="10" t="s">
        <v>246</v>
      </c>
      <c r="B90" s="10" t="s">
        <v>247</v>
      </c>
      <c r="C90" s="10" t="s">
        <v>248</v>
      </c>
    </row>
    <row r="91" spans="1:3">
      <c r="A91" s="10" t="s">
        <v>249</v>
      </c>
      <c r="B91" s="10" t="s">
        <v>250</v>
      </c>
      <c r="C91" s="10" t="s">
        <v>251</v>
      </c>
    </row>
    <row r="92" spans="1:3">
      <c r="B92" s="10" t="s">
        <v>252</v>
      </c>
    </row>
    <row r="93" spans="1:3">
      <c r="A93" s="10" t="s">
        <v>253</v>
      </c>
      <c r="B93" s="10" t="s">
        <v>254</v>
      </c>
      <c r="C93" s="10" t="s">
        <v>255</v>
      </c>
    </row>
    <row r="94" spans="1:3">
      <c r="A94" s="10" t="s">
        <v>256</v>
      </c>
      <c r="B94" s="10" t="s">
        <v>257</v>
      </c>
      <c r="C94" s="10" t="s">
        <v>258</v>
      </c>
    </row>
    <row r="95" spans="1:3">
      <c r="A95" s="10" t="s">
        <v>259</v>
      </c>
      <c r="B95" s="10" t="s">
        <v>260</v>
      </c>
      <c r="C95" s="10" t="s">
        <v>261</v>
      </c>
    </row>
    <row r="96" spans="1:3">
      <c r="A96" s="10" t="s">
        <v>262</v>
      </c>
      <c r="B96" s="10" t="s">
        <v>263</v>
      </c>
      <c r="C96" s="10" t="s">
        <v>264</v>
      </c>
    </row>
    <row r="97" spans="1:3">
      <c r="A97" s="10" t="s">
        <v>265</v>
      </c>
      <c r="B97" s="10" t="s">
        <v>266</v>
      </c>
      <c r="C97" s="10" t="s">
        <v>267</v>
      </c>
    </row>
    <row r="98" spans="1:3">
      <c r="A98" s="10" t="s">
        <v>268</v>
      </c>
      <c r="B98" s="10" t="s">
        <v>269</v>
      </c>
      <c r="C98" s="10" t="s">
        <v>270</v>
      </c>
    </row>
    <row r="99" spans="1:3">
      <c r="A99" s="10" t="s">
        <v>271</v>
      </c>
      <c r="B99" s="10" t="s">
        <v>272</v>
      </c>
      <c r="C99" s="10" t="s">
        <v>273</v>
      </c>
    </row>
    <row r="100" spans="1:3">
      <c r="A100" s="10" t="s">
        <v>274</v>
      </c>
      <c r="B100" s="10" t="s">
        <v>275</v>
      </c>
      <c r="C100" s="10" t="s">
        <v>276</v>
      </c>
    </row>
    <row r="101" spans="1:3">
      <c r="A101" s="10" t="s">
        <v>277</v>
      </c>
      <c r="B101" s="10" t="s">
        <v>278</v>
      </c>
      <c r="C101" s="10" t="s">
        <v>279</v>
      </c>
    </row>
    <row r="102" spans="1:3">
      <c r="A102" s="10" t="s">
        <v>280</v>
      </c>
      <c r="B102" s="10" t="s">
        <v>281</v>
      </c>
      <c r="C102" s="10" t="s">
        <v>282</v>
      </c>
    </row>
    <row r="103" spans="1:3">
      <c r="B103" s="10" t="s">
        <v>283</v>
      </c>
    </row>
    <row r="104" spans="1:3">
      <c r="A104" s="10" t="s">
        <v>284</v>
      </c>
      <c r="B104" s="10" t="s">
        <v>285</v>
      </c>
      <c r="C104" s="10" t="s">
        <v>286</v>
      </c>
    </row>
    <row r="105" spans="1:3">
      <c r="A105" s="10" t="s">
        <v>287</v>
      </c>
      <c r="B105" s="10" t="s">
        <v>288</v>
      </c>
      <c r="C105" s="10" t="s">
        <v>289</v>
      </c>
    </row>
    <row r="106" spans="1:3">
      <c r="A106" s="10" t="s">
        <v>290</v>
      </c>
      <c r="B106" s="10" t="s">
        <v>291</v>
      </c>
      <c r="C106" s="10" t="s">
        <v>292</v>
      </c>
    </row>
    <row r="107" spans="1:3">
      <c r="A107" s="10" t="s">
        <v>293</v>
      </c>
      <c r="B107" s="10" t="s">
        <v>294</v>
      </c>
      <c r="C107" s="10" t="s">
        <v>295</v>
      </c>
    </row>
    <row r="108" spans="1:3">
      <c r="A108" s="10" t="s">
        <v>296</v>
      </c>
      <c r="B108" s="10" t="s">
        <v>297</v>
      </c>
      <c r="C108" s="10" t="s">
        <v>298</v>
      </c>
    </row>
    <row r="109" spans="1:3">
      <c r="A109" s="10" t="s">
        <v>299</v>
      </c>
      <c r="B109" s="10" t="s">
        <v>300</v>
      </c>
      <c r="C109" s="10" t="s">
        <v>301</v>
      </c>
    </row>
    <row r="110" spans="1:3">
      <c r="A110" s="10" t="s">
        <v>302</v>
      </c>
      <c r="B110" s="10" t="s">
        <v>303</v>
      </c>
      <c r="C110" s="10" t="s">
        <v>292</v>
      </c>
    </row>
    <row r="111" spans="1:3">
      <c r="A111" s="10" t="s">
        <v>304</v>
      </c>
      <c r="B111" s="10" t="s">
        <v>305</v>
      </c>
      <c r="C111" s="10" t="s">
        <v>306</v>
      </c>
    </row>
    <row r="112" spans="1:3">
      <c r="A112" s="10" t="s">
        <v>307</v>
      </c>
      <c r="B112" s="10" t="s">
        <v>308</v>
      </c>
      <c r="C112" s="10" t="s">
        <v>309</v>
      </c>
    </row>
    <row r="113" spans="1:3">
      <c r="A113" s="10" t="s">
        <v>310</v>
      </c>
      <c r="B113" s="10" t="s">
        <v>311</v>
      </c>
      <c r="C113" s="10" t="s">
        <v>312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A5DE-18EA-43F5-B356-356AD9A5EDB2}">
  <sheetPr>
    <tabColor rgb="FFFF0000"/>
  </sheetPr>
  <dimension ref="A1:C113"/>
  <sheetViews>
    <sheetView workbookViewId="0">
      <selection activeCell="E56" sqref="E56"/>
    </sheetView>
  </sheetViews>
  <sheetFormatPr defaultRowHeight="13.15"/>
  <cols>
    <col min="1" max="1" width="14.140625" style="10" bestFit="1" customWidth="1"/>
    <col min="2" max="2" width="62.5703125" style="10" bestFit="1" customWidth="1"/>
    <col min="3" max="3" width="31.140625" style="10" bestFit="1" customWidth="1"/>
    <col min="4" max="251" width="8.85546875" style="10"/>
    <col min="252" max="252" width="10.140625" style="10" bestFit="1" customWidth="1"/>
    <col min="253" max="253" width="7.7109375" style="10" bestFit="1" customWidth="1"/>
    <col min="254" max="254" width="14.140625" style="10" bestFit="1" customWidth="1"/>
    <col min="255" max="255" width="62.5703125" style="10" bestFit="1" customWidth="1"/>
    <col min="256" max="256" width="31.140625" style="10" bestFit="1" customWidth="1"/>
    <col min="257" max="257" width="8.85546875" style="10" bestFit="1" customWidth="1"/>
    <col min="258" max="258" width="9.7109375" style="10" bestFit="1" customWidth="1"/>
    <col min="259" max="259" width="13.85546875" style="10" bestFit="1" customWidth="1"/>
    <col min="260" max="507" width="8.85546875" style="10"/>
    <col min="508" max="508" width="10.140625" style="10" bestFit="1" customWidth="1"/>
    <col min="509" max="509" width="7.7109375" style="10" bestFit="1" customWidth="1"/>
    <col min="510" max="510" width="14.140625" style="10" bestFit="1" customWidth="1"/>
    <col min="511" max="511" width="62.5703125" style="10" bestFit="1" customWidth="1"/>
    <col min="512" max="512" width="31.140625" style="10" bestFit="1" customWidth="1"/>
    <col min="513" max="513" width="8.85546875" style="10" bestFit="1" customWidth="1"/>
    <col min="514" max="514" width="9.7109375" style="10" bestFit="1" customWidth="1"/>
    <col min="515" max="515" width="13.85546875" style="10" bestFit="1" customWidth="1"/>
    <col min="516" max="763" width="8.85546875" style="10"/>
    <col min="764" max="764" width="10.140625" style="10" bestFit="1" customWidth="1"/>
    <col min="765" max="765" width="7.7109375" style="10" bestFit="1" customWidth="1"/>
    <col min="766" max="766" width="14.140625" style="10" bestFit="1" customWidth="1"/>
    <col min="767" max="767" width="62.5703125" style="10" bestFit="1" customWidth="1"/>
    <col min="768" max="768" width="31.140625" style="10" bestFit="1" customWidth="1"/>
    <col min="769" max="769" width="8.85546875" style="10" bestFit="1" customWidth="1"/>
    <col min="770" max="770" width="9.7109375" style="10" bestFit="1" customWidth="1"/>
    <col min="771" max="771" width="13.85546875" style="10" bestFit="1" customWidth="1"/>
    <col min="772" max="1019" width="8.85546875" style="10"/>
    <col min="1020" max="1020" width="10.140625" style="10" bestFit="1" customWidth="1"/>
    <col min="1021" max="1021" width="7.7109375" style="10" bestFit="1" customWidth="1"/>
    <col min="1022" max="1022" width="14.140625" style="10" bestFit="1" customWidth="1"/>
    <col min="1023" max="1023" width="62.5703125" style="10" bestFit="1" customWidth="1"/>
    <col min="1024" max="1024" width="31.140625" style="10" bestFit="1" customWidth="1"/>
    <col min="1025" max="1025" width="8.85546875" style="10" bestFit="1" customWidth="1"/>
    <col min="1026" max="1026" width="9.7109375" style="10" bestFit="1" customWidth="1"/>
    <col min="1027" max="1027" width="13.85546875" style="10" bestFit="1" customWidth="1"/>
    <col min="1028" max="1275" width="8.85546875" style="10"/>
    <col min="1276" max="1276" width="10.140625" style="10" bestFit="1" customWidth="1"/>
    <col min="1277" max="1277" width="7.7109375" style="10" bestFit="1" customWidth="1"/>
    <col min="1278" max="1278" width="14.140625" style="10" bestFit="1" customWidth="1"/>
    <col min="1279" max="1279" width="62.5703125" style="10" bestFit="1" customWidth="1"/>
    <col min="1280" max="1280" width="31.140625" style="10" bestFit="1" customWidth="1"/>
    <col min="1281" max="1281" width="8.85546875" style="10" bestFit="1" customWidth="1"/>
    <col min="1282" max="1282" width="9.7109375" style="10" bestFit="1" customWidth="1"/>
    <col min="1283" max="1283" width="13.85546875" style="10" bestFit="1" customWidth="1"/>
    <col min="1284" max="1531" width="8.85546875" style="10"/>
    <col min="1532" max="1532" width="10.140625" style="10" bestFit="1" customWidth="1"/>
    <col min="1533" max="1533" width="7.7109375" style="10" bestFit="1" customWidth="1"/>
    <col min="1534" max="1534" width="14.140625" style="10" bestFit="1" customWidth="1"/>
    <col min="1535" max="1535" width="62.5703125" style="10" bestFit="1" customWidth="1"/>
    <col min="1536" max="1536" width="31.140625" style="10" bestFit="1" customWidth="1"/>
    <col min="1537" max="1537" width="8.85546875" style="10" bestFit="1" customWidth="1"/>
    <col min="1538" max="1538" width="9.7109375" style="10" bestFit="1" customWidth="1"/>
    <col min="1539" max="1539" width="13.85546875" style="10" bestFit="1" customWidth="1"/>
    <col min="1540" max="1787" width="8.85546875" style="10"/>
    <col min="1788" max="1788" width="10.140625" style="10" bestFit="1" customWidth="1"/>
    <col min="1789" max="1789" width="7.7109375" style="10" bestFit="1" customWidth="1"/>
    <col min="1790" max="1790" width="14.140625" style="10" bestFit="1" customWidth="1"/>
    <col min="1791" max="1791" width="62.5703125" style="10" bestFit="1" customWidth="1"/>
    <col min="1792" max="1792" width="31.140625" style="10" bestFit="1" customWidth="1"/>
    <col min="1793" max="1793" width="8.85546875" style="10" bestFit="1" customWidth="1"/>
    <col min="1794" max="1794" width="9.7109375" style="10" bestFit="1" customWidth="1"/>
    <col min="1795" max="1795" width="13.85546875" style="10" bestFit="1" customWidth="1"/>
    <col min="1796" max="2043" width="8.85546875" style="10"/>
    <col min="2044" max="2044" width="10.140625" style="10" bestFit="1" customWidth="1"/>
    <col min="2045" max="2045" width="7.7109375" style="10" bestFit="1" customWidth="1"/>
    <col min="2046" max="2046" width="14.140625" style="10" bestFit="1" customWidth="1"/>
    <col min="2047" max="2047" width="62.5703125" style="10" bestFit="1" customWidth="1"/>
    <col min="2048" max="2048" width="31.140625" style="10" bestFit="1" customWidth="1"/>
    <col min="2049" max="2049" width="8.85546875" style="10" bestFit="1" customWidth="1"/>
    <col min="2050" max="2050" width="9.7109375" style="10" bestFit="1" customWidth="1"/>
    <col min="2051" max="2051" width="13.85546875" style="10" bestFit="1" customWidth="1"/>
    <col min="2052" max="2299" width="8.85546875" style="10"/>
    <col min="2300" max="2300" width="10.140625" style="10" bestFit="1" customWidth="1"/>
    <col min="2301" max="2301" width="7.7109375" style="10" bestFit="1" customWidth="1"/>
    <col min="2302" max="2302" width="14.140625" style="10" bestFit="1" customWidth="1"/>
    <col min="2303" max="2303" width="62.5703125" style="10" bestFit="1" customWidth="1"/>
    <col min="2304" max="2304" width="31.140625" style="10" bestFit="1" customWidth="1"/>
    <col min="2305" max="2305" width="8.85546875" style="10" bestFit="1" customWidth="1"/>
    <col min="2306" max="2306" width="9.7109375" style="10" bestFit="1" customWidth="1"/>
    <col min="2307" max="2307" width="13.85546875" style="10" bestFit="1" customWidth="1"/>
    <col min="2308" max="2555" width="8.85546875" style="10"/>
    <col min="2556" max="2556" width="10.140625" style="10" bestFit="1" customWidth="1"/>
    <col min="2557" max="2557" width="7.7109375" style="10" bestFit="1" customWidth="1"/>
    <col min="2558" max="2558" width="14.140625" style="10" bestFit="1" customWidth="1"/>
    <col min="2559" max="2559" width="62.5703125" style="10" bestFit="1" customWidth="1"/>
    <col min="2560" max="2560" width="31.140625" style="10" bestFit="1" customWidth="1"/>
    <col min="2561" max="2561" width="8.85546875" style="10" bestFit="1" customWidth="1"/>
    <col min="2562" max="2562" width="9.7109375" style="10" bestFit="1" customWidth="1"/>
    <col min="2563" max="2563" width="13.85546875" style="10" bestFit="1" customWidth="1"/>
    <col min="2564" max="2811" width="8.85546875" style="10"/>
    <col min="2812" max="2812" width="10.140625" style="10" bestFit="1" customWidth="1"/>
    <col min="2813" max="2813" width="7.7109375" style="10" bestFit="1" customWidth="1"/>
    <col min="2814" max="2814" width="14.140625" style="10" bestFit="1" customWidth="1"/>
    <col min="2815" max="2815" width="62.5703125" style="10" bestFit="1" customWidth="1"/>
    <col min="2816" max="2816" width="31.140625" style="10" bestFit="1" customWidth="1"/>
    <col min="2817" max="2817" width="8.85546875" style="10" bestFit="1" customWidth="1"/>
    <col min="2818" max="2818" width="9.7109375" style="10" bestFit="1" customWidth="1"/>
    <col min="2819" max="2819" width="13.85546875" style="10" bestFit="1" customWidth="1"/>
    <col min="2820" max="3067" width="8.85546875" style="10"/>
    <col min="3068" max="3068" width="10.140625" style="10" bestFit="1" customWidth="1"/>
    <col min="3069" max="3069" width="7.7109375" style="10" bestFit="1" customWidth="1"/>
    <col min="3070" max="3070" width="14.140625" style="10" bestFit="1" customWidth="1"/>
    <col min="3071" max="3071" width="62.5703125" style="10" bestFit="1" customWidth="1"/>
    <col min="3072" max="3072" width="31.140625" style="10" bestFit="1" customWidth="1"/>
    <col min="3073" max="3073" width="8.85546875" style="10" bestFit="1" customWidth="1"/>
    <col min="3074" max="3074" width="9.7109375" style="10" bestFit="1" customWidth="1"/>
    <col min="3075" max="3075" width="13.85546875" style="10" bestFit="1" customWidth="1"/>
    <col min="3076" max="3323" width="8.85546875" style="10"/>
    <col min="3324" max="3324" width="10.140625" style="10" bestFit="1" customWidth="1"/>
    <col min="3325" max="3325" width="7.7109375" style="10" bestFit="1" customWidth="1"/>
    <col min="3326" max="3326" width="14.140625" style="10" bestFit="1" customWidth="1"/>
    <col min="3327" max="3327" width="62.5703125" style="10" bestFit="1" customWidth="1"/>
    <col min="3328" max="3328" width="31.140625" style="10" bestFit="1" customWidth="1"/>
    <col min="3329" max="3329" width="8.85546875" style="10" bestFit="1" customWidth="1"/>
    <col min="3330" max="3330" width="9.7109375" style="10" bestFit="1" customWidth="1"/>
    <col min="3331" max="3331" width="13.85546875" style="10" bestFit="1" customWidth="1"/>
    <col min="3332" max="3579" width="8.85546875" style="10"/>
    <col min="3580" max="3580" width="10.140625" style="10" bestFit="1" customWidth="1"/>
    <col min="3581" max="3581" width="7.7109375" style="10" bestFit="1" customWidth="1"/>
    <col min="3582" max="3582" width="14.140625" style="10" bestFit="1" customWidth="1"/>
    <col min="3583" max="3583" width="62.5703125" style="10" bestFit="1" customWidth="1"/>
    <col min="3584" max="3584" width="31.140625" style="10" bestFit="1" customWidth="1"/>
    <col min="3585" max="3585" width="8.85546875" style="10" bestFit="1" customWidth="1"/>
    <col min="3586" max="3586" width="9.7109375" style="10" bestFit="1" customWidth="1"/>
    <col min="3587" max="3587" width="13.85546875" style="10" bestFit="1" customWidth="1"/>
    <col min="3588" max="3835" width="8.85546875" style="10"/>
    <col min="3836" max="3836" width="10.140625" style="10" bestFit="1" customWidth="1"/>
    <col min="3837" max="3837" width="7.7109375" style="10" bestFit="1" customWidth="1"/>
    <col min="3838" max="3838" width="14.140625" style="10" bestFit="1" customWidth="1"/>
    <col min="3839" max="3839" width="62.5703125" style="10" bestFit="1" customWidth="1"/>
    <col min="3840" max="3840" width="31.140625" style="10" bestFit="1" customWidth="1"/>
    <col min="3841" max="3841" width="8.85546875" style="10" bestFit="1" customWidth="1"/>
    <col min="3842" max="3842" width="9.7109375" style="10" bestFit="1" customWidth="1"/>
    <col min="3843" max="3843" width="13.85546875" style="10" bestFit="1" customWidth="1"/>
    <col min="3844" max="4091" width="8.85546875" style="10"/>
    <col min="4092" max="4092" width="10.140625" style="10" bestFit="1" customWidth="1"/>
    <col min="4093" max="4093" width="7.7109375" style="10" bestFit="1" customWidth="1"/>
    <col min="4094" max="4094" width="14.140625" style="10" bestFit="1" customWidth="1"/>
    <col min="4095" max="4095" width="62.5703125" style="10" bestFit="1" customWidth="1"/>
    <col min="4096" max="4096" width="31.140625" style="10" bestFit="1" customWidth="1"/>
    <col min="4097" max="4097" width="8.85546875" style="10" bestFit="1" customWidth="1"/>
    <col min="4098" max="4098" width="9.7109375" style="10" bestFit="1" customWidth="1"/>
    <col min="4099" max="4099" width="13.85546875" style="10" bestFit="1" customWidth="1"/>
    <col min="4100" max="4347" width="8.85546875" style="10"/>
    <col min="4348" max="4348" width="10.140625" style="10" bestFit="1" customWidth="1"/>
    <col min="4349" max="4349" width="7.7109375" style="10" bestFit="1" customWidth="1"/>
    <col min="4350" max="4350" width="14.140625" style="10" bestFit="1" customWidth="1"/>
    <col min="4351" max="4351" width="62.5703125" style="10" bestFit="1" customWidth="1"/>
    <col min="4352" max="4352" width="31.140625" style="10" bestFit="1" customWidth="1"/>
    <col min="4353" max="4353" width="8.85546875" style="10" bestFit="1" customWidth="1"/>
    <col min="4354" max="4354" width="9.7109375" style="10" bestFit="1" customWidth="1"/>
    <col min="4355" max="4355" width="13.85546875" style="10" bestFit="1" customWidth="1"/>
    <col min="4356" max="4603" width="8.85546875" style="10"/>
    <col min="4604" max="4604" width="10.140625" style="10" bestFit="1" customWidth="1"/>
    <col min="4605" max="4605" width="7.7109375" style="10" bestFit="1" customWidth="1"/>
    <col min="4606" max="4606" width="14.140625" style="10" bestFit="1" customWidth="1"/>
    <col min="4607" max="4607" width="62.5703125" style="10" bestFit="1" customWidth="1"/>
    <col min="4608" max="4608" width="31.140625" style="10" bestFit="1" customWidth="1"/>
    <col min="4609" max="4609" width="8.85546875" style="10" bestFit="1" customWidth="1"/>
    <col min="4610" max="4610" width="9.7109375" style="10" bestFit="1" customWidth="1"/>
    <col min="4611" max="4611" width="13.85546875" style="10" bestFit="1" customWidth="1"/>
    <col min="4612" max="4859" width="8.85546875" style="10"/>
    <col min="4860" max="4860" width="10.140625" style="10" bestFit="1" customWidth="1"/>
    <col min="4861" max="4861" width="7.7109375" style="10" bestFit="1" customWidth="1"/>
    <col min="4862" max="4862" width="14.140625" style="10" bestFit="1" customWidth="1"/>
    <col min="4863" max="4863" width="62.5703125" style="10" bestFit="1" customWidth="1"/>
    <col min="4864" max="4864" width="31.140625" style="10" bestFit="1" customWidth="1"/>
    <col min="4865" max="4865" width="8.85546875" style="10" bestFit="1" customWidth="1"/>
    <col min="4866" max="4866" width="9.7109375" style="10" bestFit="1" customWidth="1"/>
    <col min="4867" max="4867" width="13.85546875" style="10" bestFit="1" customWidth="1"/>
    <col min="4868" max="5115" width="8.85546875" style="10"/>
    <col min="5116" max="5116" width="10.140625" style="10" bestFit="1" customWidth="1"/>
    <col min="5117" max="5117" width="7.7109375" style="10" bestFit="1" customWidth="1"/>
    <col min="5118" max="5118" width="14.140625" style="10" bestFit="1" customWidth="1"/>
    <col min="5119" max="5119" width="62.5703125" style="10" bestFit="1" customWidth="1"/>
    <col min="5120" max="5120" width="31.140625" style="10" bestFit="1" customWidth="1"/>
    <col min="5121" max="5121" width="8.85546875" style="10" bestFit="1" customWidth="1"/>
    <col min="5122" max="5122" width="9.7109375" style="10" bestFit="1" customWidth="1"/>
    <col min="5123" max="5123" width="13.85546875" style="10" bestFit="1" customWidth="1"/>
    <col min="5124" max="5371" width="8.85546875" style="10"/>
    <col min="5372" max="5372" width="10.140625" style="10" bestFit="1" customWidth="1"/>
    <col min="5373" max="5373" width="7.7109375" style="10" bestFit="1" customWidth="1"/>
    <col min="5374" max="5374" width="14.140625" style="10" bestFit="1" customWidth="1"/>
    <col min="5375" max="5375" width="62.5703125" style="10" bestFit="1" customWidth="1"/>
    <col min="5376" max="5376" width="31.140625" style="10" bestFit="1" customWidth="1"/>
    <col min="5377" max="5377" width="8.85546875" style="10" bestFit="1" customWidth="1"/>
    <col min="5378" max="5378" width="9.7109375" style="10" bestFit="1" customWidth="1"/>
    <col min="5379" max="5379" width="13.85546875" style="10" bestFit="1" customWidth="1"/>
    <col min="5380" max="5627" width="8.85546875" style="10"/>
    <col min="5628" max="5628" width="10.140625" style="10" bestFit="1" customWidth="1"/>
    <col min="5629" max="5629" width="7.7109375" style="10" bestFit="1" customWidth="1"/>
    <col min="5630" max="5630" width="14.140625" style="10" bestFit="1" customWidth="1"/>
    <col min="5631" max="5631" width="62.5703125" style="10" bestFit="1" customWidth="1"/>
    <col min="5632" max="5632" width="31.140625" style="10" bestFit="1" customWidth="1"/>
    <col min="5633" max="5633" width="8.85546875" style="10" bestFit="1" customWidth="1"/>
    <col min="5634" max="5634" width="9.7109375" style="10" bestFit="1" customWidth="1"/>
    <col min="5635" max="5635" width="13.85546875" style="10" bestFit="1" customWidth="1"/>
    <col min="5636" max="5883" width="8.85546875" style="10"/>
    <col min="5884" max="5884" width="10.140625" style="10" bestFit="1" customWidth="1"/>
    <col min="5885" max="5885" width="7.7109375" style="10" bestFit="1" customWidth="1"/>
    <col min="5886" max="5886" width="14.140625" style="10" bestFit="1" customWidth="1"/>
    <col min="5887" max="5887" width="62.5703125" style="10" bestFit="1" customWidth="1"/>
    <col min="5888" max="5888" width="31.140625" style="10" bestFit="1" customWidth="1"/>
    <col min="5889" max="5889" width="8.85546875" style="10" bestFit="1" customWidth="1"/>
    <col min="5890" max="5890" width="9.7109375" style="10" bestFit="1" customWidth="1"/>
    <col min="5891" max="5891" width="13.85546875" style="10" bestFit="1" customWidth="1"/>
    <col min="5892" max="6139" width="8.85546875" style="10"/>
    <col min="6140" max="6140" width="10.140625" style="10" bestFit="1" customWidth="1"/>
    <col min="6141" max="6141" width="7.7109375" style="10" bestFit="1" customWidth="1"/>
    <col min="6142" max="6142" width="14.140625" style="10" bestFit="1" customWidth="1"/>
    <col min="6143" max="6143" width="62.5703125" style="10" bestFit="1" customWidth="1"/>
    <col min="6144" max="6144" width="31.140625" style="10" bestFit="1" customWidth="1"/>
    <col min="6145" max="6145" width="8.85546875" style="10" bestFit="1" customWidth="1"/>
    <col min="6146" max="6146" width="9.7109375" style="10" bestFit="1" customWidth="1"/>
    <col min="6147" max="6147" width="13.85546875" style="10" bestFit="1" customWidth="1"/>
    <col min="6148" max="6395" width="8.85546875" style="10"/>
    <col min="6396" max="6396" width="10.140625" style="10" bestFit="1" customWidth="1"/>
    <col min="6397" max="6397" width="7.7109375" style="10" bestFit="1" customWidth="1"/>
    <col min="6398" max="6398" width="14.140625" style="10" bestFit="1" customWidth="1"/>
    <col min="6399" max="6399" width="62.5703125" style="10" bestFit="1" customWidth="1"/>
    <col min="6400" max="6400" width="31.140625" style="10" bestFit="1" customWidth="1"/>
    <col min="6401" max="6401" width="8.85546875" style="10" bestFit="1" customWidth="1"/>
    <col min="6402" max="6402" width="9.7109375" style="10" bestFit="1" customWidth="1"/>
    <col min="6403" max="6403" width="13.85546875" style="10" bestFit="1" customWidth="1"/>
    <col min="6404" max="6651" width="8.85546875" style="10"/>
    <col min="6652" max="6652" width="10.140625" style="10" bestFit="1" customWidth="1"/>
    <col min="6653" max="6653" width="7.7109375" style="10" bestFit="1" customWidth="1"/>
    <col min="6654" max="6654" width="14.140625" style="10" bestFit="1" customWidth="1"/>
    <col min="6655" max="6655" width="62.5703125" style="10" bestFit="1" customWidth="1"/>
    <col min="6656" max="6656" width="31.140625" style="10" bestFit="1" customWidth="1"/>
    <col min="6657" max="6657" width="8.85546875" style="10" bestFit="1" customWidth="1"/>
    <col min="6658" max="6658" width="9.7109375" style="10" bestFit="1" customWidth="1"/>
    <col min="6659" max="6659" width="13.85546875" style="10" bestFit="1" customWidth="1"/>
    <col min="6660" max="6907" width="8.85546875" style="10"/>
    <col min="6908" max="6908" width="10.140625" style="10" bestFit="1" customWidth="1"/>
    <col min="6909" max="6909" width="7.7109375" style="10" bestFit="1" customWidth="1"/>
    <col min="6910" max="6910" width="14.140625" style="10" bestFit="1" customWidth="1"/>
    <col min="6911" max="6911" width="62.5703125" style="10" bestFit="1" customWidth="1"/>
    <col min="6912" max="6912" width="31.140625" style="10" bestFit="1" customWidth="1"/>
    <col min="6913" max="6913" width="8.85546875" style="10" bestFit="1" customWidth="1"/>
    <col min="6914" max="6914" width="9.7109375" style="10" bestFit="1" customWidth="1"/>
    <col min="6915" max="6915" width="13.85546875" style="10" bestFit="1" customWidth="1"/>
    <col min="6916" max="7163" width="8.85546875" style="10"/>
    <col min="7164" max="7164" width="10.140625" style="10" bestFit="1" customWidth="1"/>
    <col min="7165" max="7165" width="7.7109375" style="10" bestFit="1" customWidth="1"/>
    <col min="7166" max="7166" width="14.140625" style="10" bestFit="1" customWidth="1"/>
    <col min="7167" max="7167" width="62.5703125" style="10" bestFit="1" customWidth="1"/>
    <col min="7168" max="7168" width="31.140625" style="10" bestFit="1" customWidth="1"/>
    <col min="7169" max="7169" width="8.85546875" style="10" bestFit="1" customWidth="1"/>
    <col min="7170" max="7170" width="9.7109375" style="10" bestFit="1" customWidth="1"/>
    <col min="7171" max="7171" width="13.85546875" style="10" bestFit="1" customWidth="1"/>
    <col min="7172" max="7419" width="8.85546875" style="10"/>
    <col min="7420" max="7420" width="10.140625" style="10" bestFit="1" customWidth="1"/>
    <col min="7421" max="7421" width="7.7109375" style="10" bestFit="1" customWidth="1"/>
    <col min="7422" max="7422" width="14.140625" style="10" bestFit="1" customWidth="1"/>
    <col min="7423" max="7423" width="62.5703125" style="10" bestFit="1" customWidth="1"/>
    <col min="7424" max="7424" width="31.140625" style="10" bestFit="1" customWidth="1"/>
    <col min="7425" max="7425" width="8.85546875" style="10" bestFit="1" customWidth="1"/>
    <col min="7426" max="7426" width="9.7109375" style="10" bestFit="1" customWidth="1"/>
    <col min="7427" max="7427" width="13.85546875" style="10" bestFit="1" customWidth="1"/>
    <col min="7428" max="7675" width="8.85546875" style="10"/>
    <col min="7676" max="7676" width="10.140625" style="10" bestFit="1" customWidth="1"/>
    <col min="7677" max="7677" width="7.7109375" style="10" bestFit="1" customWidth="1"/>
    <col min="7678" max="7678" width="14.140625" style="10" bestFit="1" customWidth="1"/>
    <col min="7679" max="7679" width="62.5703125" style="10" bestFit="1" customWidth="1"/>
    <col min="7680" max="7680" width="31.140625" style="10" bestFit="1" customWidth="1"/>
    <col min="7681" max="7681" width="8.85546875" style="10" bestFit="1" customWidth="1"/>
    <col min="7682" max="7682" width="9.7109375" style="10" bestFit="1" customWidth="1"/>
    <col min="7683" max="7683" width="13.85546875" style="10" bestFit="1" customWidth="1"/>
    <col min="7684" max="7931" width="8.85546875" style="10"/>
    <col min="7932" max="7932" width="10.140625" style="10" bestFit="1" customWidth="1"/>
    <col min="7933" max="7933" width="7.7109375" style="10" bestFit="1" customWidth="1"/>
    <col min="7934" max="7934" width="14.140625" style="10" bestFit="1" customWidth="1"/>
    <col min="7935" max="7935" width="62.5703125" style="10" bestFit="1" customWidth="1"/>
    <col min="7936" max="7936" width="31.140625" style="10" bestFit="1" customWidth="1"/>
    <col min="7937" max="7937" width="8.85546875" style="10" bestFit="1" customWidth="1"/>
    <col min="7938" max="7938" width="9.7109375" style="10" bestFit="1" customWidth="1"/>
    <col min="7939" max="7939" width="13.85546875" style="10" bestFit="1" customWidth="1"/>
    <col min="7940" max="8187" width="8.85546875" style="10"/>
    <col min="8188" max="8188" width="10.140625" style="10" bestFit="1" customWidth="1"/>
    <col min="8189" max="8189" width="7.7109375" style="10" bestFit="1" customWidth="1"/>
    <col min="8190" max="8190" width="14.140625" style="10" bestFit="1" customWidth="1"/>
    <col min="8191" max="8191" width="62.5703125" style="10" bestFit="1" customWidth="1"/>
    <col min="8192" max="8192" width="31.140625" style="10" bestFit="1" customWidth="1"/>
    <col min="8193" max="8193" width="8.85546875" style="10" bestFit="1" customWidth="1"/>
    <col min="8194" max="8194" width="9.7109375" style="10" bestFit="1" customWidth="1"/>
    <col min="8195" max="8195" width="13.85546875" style="10" bestFit="1" customWidth="1"/>
    <col min="8196" max="8443" width="8.85546875" style="10"/>
    <col min="8444" max="8444" width="10.140625" style="10" bestFit="1" customWidth="1"/>
    <col min="8445" max="8445" width="7.7109375" style="10" bestFit="1" customWidth="1"/>
    <col min="8446" max="8446" width="14.140625" style="10" bestFit="1" customWidth="1"/>
    <col min="8447" max="8447" width="62.5703125" style="10" bestFit="1" customWidth="1"/>
    <col min="8448" max="8448" width="31.140625" style="10" bestFit="1" customWidth="1"/>
    <col min="8449" max="8449" width="8.85546875" style="10" bestFit="1" customWidth="1"/>
    <col min="8450" max="8450" width="9.7109375" style="10" bestFit="1" customWidth="1"/>
    <col min="8451" max="8451" width="13.85546875" style="10" bestFit="1" customWidth="1"/>
    <col min="8452" max="8699" width="8.85546875" style="10"/>
    <col min="8700" max="8700" width="10.140625" style="10" bestFit="1" customWidth="1"/>
    <col min="8701" max="8701" width="7.7109375" style="10" bestFit="1" customWidth="1"/>
    <col min="8702" max="8702" width="14.140625" style="10" bestFit="1" customWidth="1"/>
    <col min="8703" max="8703" width="62.5703125" style="10" bestFit="1" customWidth="1"/>
    <col min="8704" max="8704" width="31.140625" style="10" bestFit="1" customWidth="1"/>
    <col min="8705" max="8705" width="8.85546875" style="10" bestFit="1" customWidth="1"/>
    <col min="8706" max="8706" width="9.7109375" style="10" bestFit="1" customWidth="1"/>
    <col min="8707" max="8707" width="13.85546875" style="10" bestFit="1" customWidth="1"/>
    <col min="8708" max="8955" width="8.85546875" style="10"/>
    <col min="8956" max="8956" width="10.140625" style="10" bestFit="1" customWidth="1"/>
    <col min="8957" max="8957" width="7.7109375" style="10" bestFit="1" customWidth="1"/>
    <col min="8958" max="8958" width="14.140625" style="10" bestFit="1" customWidth="1"/>
    <col min="8959" max="8959" width="62.5703125" style="10" bestFit="1" customWidth="1"/>
    <col min="8960" max="8960" width="31.140625" style="10" bestFit="1" customWidth="1"/>
    <col min="8961" max="8961" width="8.85546875" style="10" bestFit="1" customWidth="1"/>
    <col min="8962" max="8962" width="9.7109375" style="10" bestFit="1" customWidth="1"/>
    <col min="8963" max="8963" width="13.85546875" style="10" bestFit="1" customWidth="1"/>
    <col min="8964" max="9211" width="8.85546875" style="10"/>
    <col min="9212" max="9212" width="10.140625" style="10" bestFit="1" customWidth="1"/>
    <col min="9213" max="9213" width="7.7109375" style="10" bestFit="1" customWidth="1"/>
    <col min="9214" max="9214" width="14.140625" style="10" bestFit="1" customWidth="1"/>
    <col min="9215" max="9215" width="62.5703125" style="10" bestFit="1" customWidth="1"/>
    <col min="9216" max="9216" width="31.140625" style="10" bestFit="1" customWidth="1"/>
    <col min="9217" max="9217" width="8.85546875" style="10" bestFit="1" customWidth="1"/>
    <col min="9218" max="9218" width="9.7109375" style="10" bestFit="1" customWidth="1"/>
    <col min="9219" max="9219" width="13.85546875" style="10" bestFit="1" customWidth="1"/>
    <col min="9220" max="9467" width="8.85546875" style="10"/>
    <col min="9468" max="9468" width="10.140625" style="10" bestFit="1" customWidth="1"/>
    <col min="9469" max="9469" width="7.7109375" style="10" bestFit="1" customWidth="1"/>
    <col min="9470" max="9470" width="14.140625" style="10" bestFit="1" customWidth="1"/>
    <col min="9471" max="9471" width="62.5703125" style="10" bestFit="1" customWidth="1"/>
    <col min="9472" max="9472" width="31.140625" style="10" bestFit="1" customWidth="1"/>
    <col min="9473" max="9473" width="8.85546875" style="10" bestFit="1" customWidth="1"/>
    <col min="9474" max="9474" width="9.7109375" style="10" bestFit="1" customWidth="1"/>
    <col min="9475" max="9475" width="13.85546875" style="10" bestFit="1" customWidth="1"/>
    <col min="9476" max="9723" width="8.85546875" style="10"/>
    <col min="9724" max="9724" width="10.140625" style="10" bestFit="1" customWidth="1"/>
    <col min="9725" max="9725" width="7.7109375" style="10" bestFit="1" customWidth="1"/>
    <col min="9726" max="9726" width="14.140625" style="10" bestFit="1" customWidth="1"/>
    <col min="9727" max="9727" width="62.5703125" style="10" bestFit="1" customWidth="1"/>
    <col min="9728" max="9728" width="31.140625" style="10" bestFit="1" customWidth="1"/>
    <col min="9729" max="9729" width="8.85546875" style="10" bestFit="1" customWidth="1"/>
    <col min="9730" max="9730" width="9.7109375" style="10" bestFit="1" customWidth="1"/>
    <col min="9731" max="9731" width="13.85546875" style="10" bestFit="1" customWidth="1"/>
    <col min="9732" max="9979" width="8.85546875" style="10"/>
    <col min="9980" max="9980" width="10.140625" style="10" bestFit="1" customWidth="1"/>
    <col min="9981" max="9981" width="7.7109375" style="10" bestFit="1" customWidth="1"/>
    <col min="9982" max="9982" width="14.140625" style="10" bestFit="1" customWidth="1"/>
    <col min="9983" max="9983" width="62.5703125" style="10" bestFit="1" customWidth="1"/>
    <col min="9984" max="9984" width="31.140625" style="10" bestFit="1" customWidth="1"/>
    <col min="9985" max="9985" width="8.85546875" style="10" bestFit="1" customWidth="1"/>
    <col min="9986" max="9986" width="9.7109375" style="10" bestFit="1" customWidth="1"/>
    <col min="9987" max="9987" width="13.85546875" style="10" bestFit="1" customWidth="1"/>
    <col min="9988" max="10235" width="8.85546875" style="10"/>
    <col min="10236" max="10236" width="10.140625" style="10" bestFit="1" customWidth="1"/>
    <col min="10237" max="10237" width="7.7109375" style="10" bestFit="1" customWidth="1"/>
    <col min="10238" max="10238" width="14.140625" style="10" bestFit="1" customWidth="1"/>
    <col min="10239" max="10239" width="62.5703125" style="10" bestFit="1" customWidth="1"/>
    <col min="10240" max="10240" width="31.140625" style="10" bestFit="1" customWidth="1"/>
    <col min="10241" max="10241" width="8.85546875" style="10" bestFit="1" customWidth="1"/>
    <col min="10242" max="10242" width="9.7109375" style="10" bestFit="1" customWidth="1"/>
    <col min="10243" max="10243" width="13.85546875" style="10" bestFit="1" customWidth="1"/>
    <col min="10244" max="10491" width="8.85546875" style="10"/>
    <col min="10492" max="10492" width="10.140625" style="10" bestFit="1" customWidth="1"/>
    <col min="10493" max="10493" width="7.7109375" style="10" bestFit="1" customWidth="1"/>
    <col min="10494" max="10494" width="14.140625" style="10" bestFit="1" customWidth="1"/>
    <col min="10495" max="10495" width="62.5703125" style="10" bestFit="1" customWidth="1"/>
    <col min="10496" max="10496" width="31.140625" style="10" bestFit="1" customWidth="1"/>
    <col min="10497" max="10497" width="8.85546875" style="10" bestFit="1" customWidth="1"/>
    <col min="10498" max="10498" width="9.7109375" style="10" bestFit="1" customWidth="1"/>
    <col min="10499" max="10499" width="13.85546875" style="10" bestFit="1" customWidth="1"/>
    <col min="10500" max="10747" width="8.85546875" style="10"/>
    <col min="10748" max="10748" width="10.140625" style="10" bestFit="1" customWidth="1"/>
    <col min="10749" max="10749" width="7.7109375" style="10" bestFit="1" customWidth="1"/>
    <col min="10750" max="10750" width="14.140625" style="10" bestFit="1" customWidth="1"/>
    <col min="10751" max="10751" width="62.5703125" style="10" bestFit="1" customWidth="1"/>
    <col min="10752" max="10752" width="31.140625" style="10" bestFit="1" customWidth="1"/>
    <col min="10753" max="10753" width="8.85546875" style="10" bestFit="1" customWidth="1"/>
    <col min="10754" max="10754" width="9.7109375" style="10" bestFit="1" customWidth="1"/>
    <col min="10755" max="10755" width="13.85546875" style="10" bestFit="1" customWidth="1"/>
    <col min="10756" max="11003" width="8.85546875" style="10"/>
    <col min="11004" max="11004" width="10.140625" style="10" bestFit="1" customWidth="1"/>
    <col min="11005" max="11005" width="7.7109375" style="10" bestFit="1" customWidth="1"/>
    <col min="11006" max="11006" width="14.140625" style="10" bestFit="1" customWidth="1"/>
    <col min="11007" max="11007" width="62.5703125" style="10" bestFit="1" customWidth="1"/>
    <col min="11008" max="11008" width="31.140625" style="10" bestFit="1" customWidth="1"/>
    <col min="11009" max="11009" width="8.85546875" style="10" bestFit="1" customWidth="1"/>
    <col min="11010" max="11010" width="9.7109375" style="10" bestFit="1" customWidth="1"/>
    <col min="11011" max="11011" width="13.85546875" style="10" bestFit="1" customWidth="1"/>
    <col min="11012" max="11259" width="8.85546875" style="10"/>
    <col min="11260" max="11260" width="10.140625" style="10" bestFit="1" customWidth="1"/>
    <col min="11261" max="11261" width="7.7109375" style="10" bestFit="1" customWidth="1"/>
    <col min="11262" max="11262" width="14.140625" style="10" bestFit="1" customWidth="1"/>
    <col min="11263" max="11263" width="62.5703125" style="10" bestFit="1" customWidth="1"/>
    <col min="11264" max="11264" width="31.140625" style="10" bestFit="1" customWidth="1"/>
    <col min="11265" max="11265" width="8.85546875" style="10" bestFit="1" customWidth="1"/>
    <col min="11266" max="11266" width="9.7109375" style="10" bestFit="1" customWidth="1"/>
    <col min="11267" max="11267" width="13.85546875" style="10" bestFit="1" customWidth="1"/>
    <col min="11268" max="11515" width="8.85546875" style="10"/>
    <col min="11516" max="11516" width="10.140625" style="10" bestFit="1" customWidth="1"/>
    <col min="11517" max="11517" width="7.7109375" style="10" bestFit="1" customWidth="1"/>
    <col min="11518" max="11518" width="14.140625" style="10" bestFit="1" customWidth="1"/>
    <col min="11519" max="11519" width="62.5703125" style="10" bestFit="1" customWidth="1"/>
    <col min="11520" max="11520" width="31.140625" style="10" bestFit="1" customWidth="1"/>
    <col min="11521" max="11521" width="8.85546875" style="10" bestFit="1" customWidth="1"/>
    <col min="11522" max="11522" width="9.7109375" style="10" bestFit="1" customWidth="1"/>
    <col min="11523" max="11523" width="13.85546875" style="10" bestFit="1" customWidth="1"/>
    <col min="11524" max="11771" width="8.85546875" style="10"/>
    <col min="11772" max="11772" width="10.140625" style="10" bestFit="1" customWidth="1"/>
    <col min="11773" max="11773" width="7.7109375" style="10" bestFit="1" customWidth="1"/>
    <col min="11774" max="11774" width="14.140625" style="10" bestFit="1" customWidth="1"/>
    <col min="11775" max="11775" width="62.5703125" style="10" bestFit="1" customWidth="1"/>
    <col min="11776" max="11776" width="31.140625" style="10" bestFit="1" customWidth="1"/>
    <col min="11777" max="11777" width="8.85546875" style="10" bestFit="1" customWidth="1"/>
    <col min="11778" max="11778" width="9.7109375" style="10" bestFit="1" customWidth="1"/>
    <col min="11779" max="11779" width="13.85546875" style="10" bestFit="1" customWidth="1"/>
    <col min="11780" max="12027" width="8.85546875" style="10"/>
    <col min="12028" max="12028" width="10.140625" style="10" bestFit="1" customWidth="1"/>
    <col min="12029" max="12029" width="7.7109375" style="10" bestFit="1" customWidth="1"/>
    <col min="12030" max="12030" width="14.140625" style="10" bestFit="1" customWidth="1"/>
    <col min="12031" max="12031" width="62.5703125" style="10" bestFit="1" customWidth="1"/>
    <col min="12032" max="12032" width="31.140625" style="10" bestFit="1" customWidth="1"/>
    <col min="12033" max="12033" width="8.85546875" style="10" bestFit="1" customWidth="1"/>
    <col min="12034" max="12034" width="9.7109375" style="10" bestFit="1" customWidth="1"/>
    <col min="12035" max="12035" width="13.85546875" style="10" bestFit="1" customWidth="1"/>
    <col min="12036" max="12283" width="8.85546875" style="10"/>
    <col min="12284" max="12284" width="10.140625" style="10" bestFit="1" customWidth="1"/>
    <col min="12285" max="12285" width="7.7109375" style="10" bestFit="1" customWidth="1"/>
    <col min="12286" max="12286" width="14.140625" style="10" bestFit="1" customWidth="1"/>
    <col min="12287" max="12287" width="62.5703125" style="10" bestFit="1" customWidth="1"/>
    <col min="12288" max="12288" width="31.140625" style="10" bestFit="1" customWidth="1"/>
    <col min="12289" max="12289" width="8.85546875" style="10" bestFit="1" customWidth="1"/>
    <col min="12290" max="12290" width="9.7109375" style="10" bestFit="1" customWidth="1"/>
    <col min="12291" max="12291" width="13.85546875" style="10" bestFit="1" customWidth="1"/>
    <col min="12292" max="12539" width="8.85546875" style="10"/>
    <col min="12540" max="12540" width="10.140625" style="10" bestFit="1" customWidth="1"/>
    <col min="12541" max="12541" width="7.7109375" style="10" bestFit="1" customWidth="1"/>
    <col min="12542" max="12542" width="14.140625" style="10" bestFit="1" customWidth="1"/>
    <col min="12543" max="12543" width="62.5703125" style="10" bestFit="1" customWidth="1"/>
    <col min="12544" max="12544" width="31.140625" style="10" bestFit="1" customWidth="1"/>
    <col min="12545" max="12545" width="8.85546875" style="10" bestFit="1" customWidth="1"/>
    <col min="12546" max="12546" width="9.7109375" style="10" bestFit="1" customWidth="1"/>
    <col min="12547" max="12547" width="13.85546875" style="10" bestFit="1" customWidth="1"/>
    <col min="12548" max="12795" width="8.85546875" style="10"/>
    <col min="12796" max="12796" width="10.140625" style="10" bestFit="1" customWidth="1"/>
    <col min="12797" max="12797" width="7.7109375" style="10" bestFit="1" customWidth="1"/>
    <col min="12798" max="12798" width="14.140625" style="10" bestFit="1" customWidth="1"/>
    <col min="12799" max="12799" width="62.5703125" style="10" bestFit="1" customWidth="1"/>
    <col min="12800" max="12800" width="31.140625" style="10" bestFit="1" customWidth="1"/>
    <col min="12801" max="12801" width="8.85546875" style="10" bestFit="1" customWidth="1"/>
    <col min="12802" max="12802" width="9.7109375" style="10" bestFit="1" customWidth="1"/>
    <col min="12803" max="12803" width="13.85546875" style="10" bestFit="1" customWidth="1"/>
    <col min="12804" max="13051" width="8.85546875" style="10"/>
    <col min="13052" max="13052" width="10.140625" style="10" bestFit="1" customWidth="1"/>
    <col min="13053" max="13053" width="7.7109375" style="10" bestFit="1" customWidth="1"/>
    <col min="13054" max="13054" width="14.140625" style="10" bestFit="1" customWidth="1"/>
    <col min="13055" max="13055" width="62.5703125" style="10" bestFit="1" customWidth="1"/>
    <col min="13056" max="13056" width="31.140625" style="10" bestFit="1" customWidth="1"/>
    <col min="13057" max="13057" width="8.85546875" style="10" bestFit="1" customWidth="1"/>
    <col min="13058" max="13058" width="9.7109375" style="10" bestFit="1" customWidth="1"/>
    <col min="13059" max="13059" width="13.85546875" style="10" bestFit="1" customWidth="1"/>
    <col min="13060" max="13307" width="8.85546875" style="10"/>
    <col min="13308" max="13308" width="10.140625" style="10" bestFit="1" customWidth="1"/>
    <col min="13309" max="13309" width="7.7109375" style="10" bestFit="1" customWidth="1"/>
    <col min="13310" max="13310" width="14.140625" style="10" bestFit="1" customWidth="1"/>
    <col min="13311" max="13311" width="62.5703125" style="10" bestFit="1" customWidth="1"/>
    <col min="13312" max="13312" width="31.140625" style="10" bestFit="1" customWidth="1"/>
    <col min="13313" max="13313" width="8.85546875" style="10" bestFit="1" customWidth="1"/>
    <col min="13314" max="13314" width="9.7109375" style="10" bestFit="1" customWidth="1"/>
    <col min="13315" max="13315" width="13.85546875" style="10" bestFit="1" customWidth="1"/>
    <col min="13316" max="13563" width="8.85546875" style="10"/>
    <col min="13564" max="13564" width="10.140625" style="10" bestFit="1" customWidth="1"/>
    <col min="13565" max="13565" width="7.7109375" style="10" bestFit="1" customWidth="1"/>
    <col min="13566" max="13566" width="14.140625" style="10" bestFit="1" customWidth="1"/>
    <col min="13567" max="13567" width="62.5703125" style="10" bestFit="1" customWidth="1"/>
    <col min="13568" max="13568" width="31.140625" style="10" bestFit="1" customWidth="1"/>
    <col min="13569" max="13569" width="8.85546875" style="10" bestFit="1" customWidth="1"/>
    <col min="13570" max="13570" width="9.7109375" style="10" bestFit="1" customWidth="1"/>
    <col min="13571" max="13571" width="13.85546875" style="10" bestFit="1" customWidth="1"/>
    <col min="13572" max="13819" width="8.85546875" style="10"/>
    <col min="13820" max="13820" width="10.140625" style="10" bestFit="1" customWidth="1"/>
    <col min="13821" max="13821" width="7.7109375" style="10" bestFit="1" customWidth="1"/>
    <col min="13822" max="13822" width="14.140625" style="10" bestFit="1" customWidth="1"/>
    <col min="13823" max="13823" width="62.5703125" style="10" bestFit="1" customWidth="1"/>
    <col min="13824" max="13824" width="31.140625" style="10" bestFit="1" customWidth="1"/>
    <col min="13825" max="13825" width="8.85546875" style="10" bestFit="1" customWidth="1"/>
    <col min="13826" max="13826" width="9.7109375" style="10" bestFit="1" customWidth="1"/>
    <col min="13827" max="13827" width="13.85546875" style="10" bestFit="1" customWidth="1"/>
    <col min="13828" max="14075" width="8.85546875" style="10"/>
    <col min="14076" max="14076" width="10.140625" style="10" bestFit="1" customWidth="1"/>
    <col min="14077" max="14077" width="7.7109375" style="10" bestFit="1" customWidth="1"/>
    <col min="14078" max="14078" width="14.140625" style="10" bestFit="1" customWidth="1"/>
    <col min="14079" max="14079" width="62.5703125" style="10" bestFit="1" customWidth="1"/>
    <col min="14080" max="14080" width="31.140625" style="10" bestFit="1" customWidth="1"/>
    <col min="14081" max="14081" width="8.85546875" style="10" bestFit="1" customWidth="1"/>
    <col min="14082" max="14082" width="9.7109375" style="10" bestFit="1" customWidth="1"/>
    <col min="14083" max="14083" width="13.85546875" style="10" bestFit="1" customWidth="1"/>
    <col min="14084" max="14331" width="8.85546875" style="10"/>
    <col min="14332" max="14332" width="10.140625" style="10" bestFit="1" customWidth="1"/>
    <col min="14333" max="14333" width="7.7109375" style="10" bestFit="1" customWidth="1"/>
    <col min="14334" max="14334" width="14.140625" style="10" bestFit="1" customWidth="1"/>
    <col min="14335" max="14335" width="62.5703125" style="10" bestFit="1" customWidth="1"/>
    <col min="14336" max="14336" width="31.140625" style="10" bestFit="1" customWidth="1"/>
    <col min="14337" max="14337" width="8.85546875" style="10" bestFit="1" customWidth="1"/>
    <col min="14338" max="14338" width="9.7109375" style="10" bestFit="1" customWidth="1"/>
    <col min="14339" max="14339" width="13.85546875" style="10" bestFit="1" customWidth="1"/>
    <col min="14340" max="14587" width="8.85546875" style="10"/>
    <col min="14588" max="14588" width="10.140625" style="10" bestFit="1" customWidth="1"/>
    <col min="14589" max="14589" width="7.7109375" style="10" bestFit="1" customWidth="1"/>
    <col min="14590" max="14590" width="14.140625" style="10" bestFit="1" customWidth="1"/>
    <col min="14591" max="14591" width="62.5703125" style="10" bestFit="1" customWidth="1"/>
    <col min="14592" max="14592" width="31.140625" style="10" bestFit="1" customWidth="1"/>
    <col min="14593" max="14593" width="8.85546875" style="10" bestFit="1" customWidth="1"/>
    <col min="14594" max="14594" width="9.7109375" style="10" bestFit="1" customWidth="1"/>
    <col min="14595" max="14595" width="13.85546875" style="10" bestFit="1" customWidth="1"/>
    <col min="14596" max="14843" width="8.85546875" style="10"/>
    <col min="14844" max="14844" width="10.140625" style="10" bestFit="1" customWidth="1"/>
    <col min="14845" max="14845" width="7.7109375" style="10" bestFit="1" customWidth="1"/>
    <col min="14846" max="14846" width="14.140625" style="10" bestFit="1" customWidth="1"/>
    <col min="14847" max="14847" width="62.5703125" style="10" bestFit="1" customWidth="1"/>
    <col min="14848" max="14848" width="31.140625" style="10" bestFit="1" customWidth="1"/>
    <col min="14849" max="14849" width="8.85546875" style="10" bestFit="1" customWidth="1"/>
    <col min="14850" max="14850" width="9.7109375" style="10" bestFit="1" customWidth="1"/>
    <col min="14851" max="14851" width="13.85546875" style="10" bestFit="1" customWidth="1"/>
    <col min="14852" max="15099" width="8.85546875" style="10"/>
    <col min="15100" max="15100" width="10.140625" style="10" bestFit="1" customWidth="1"/>
    <col min="15101" max="15101" width="7.7109375" style="10" bestFit="1" customWidth="1"/>
    <col min="15102" max="15102" width="14.140625" style="10" bestFit="1" customWidth="1"/>
    <col min="15103" max="15103" width="62.5703125" style="10" bestFit="1" customWidth="1"/>
    <col min="15104" max="15104" width="31.140625" style="10" bestFit="1" customWidth="1"/>
    <col min="15105" max="15105" width="8.85546875" style="10" bestFit="1" customWidth="1"/>
    <col min="15106" max="15106" width="9.7109375" style="10" bestFit="1" customWidth="1"/>
    <col min="15107" max="15107" width="13.85546875" style="10" bestFit="1" customWidth="1"/>
    <col min="15108" max="15355" width="8.85546875" style="10"/>
    <col min="15356" max="15356" width="10.140625" style="10" bestFit="1" customWidth="1"/>
    <col min="15357" max="15357" width="7.7109375" style="10" bestFit="1" customWidth="1"/>
    <col min="15358" max="15358" width="14.140625" style="10" bestFit="1" customWidth="1"/>
    <col min="15359" max="15359" width="62.5703125" style="10" bestFit="1" customWidth="1"/>
    <col min="15360" max="15360" width="31.140625" style="10" bestFit="1" customWidth="1"/>
    <col min="15361" max="15361" width="8.85546875" style="10" bestFit="1" customWidth="1"/>
    <col min="15362" max="15362" width="9.7109375" style="10" bestFit="1" customWidth="1"/>
    <col min="15363" max="15363" width="13.85546875" style="10" bestFit="1" customWidth="1"/>
    <col min="15364" max="15611" width="8.85546875" style="10"/>
    <col min="15612" max="15612" width="10.140625" style="10" bestFit="1" customWidth="1"/>
    <col min="15613" max="15613" width="7.7109375" style="10" bestFit="1" customWidth="1"/>
    <col min="15614" max="15614" width="14.140625" style="10" bestFit="1" customWidth="1"/>
    <col min="15615" max="15615" width="62.5703125" style="10" bestFit="1" customWidth="1"/>
    <col min="15616" max="15616" width="31.140625" style="10" bestFit="1" customWidth="1"/>
    <col min="15617" max="15617" width="8.85546875" style="10" bestFit="1" customWidth="1"/>
    <col min="15618" max="15618" width="9.7109375" style="10" bestFit="1" customWidth="1"/>
    <col min="15619" max="15619" width="13.85546875" style="10" bestFit="1" customWidth="1"/>
    <col min="15620" max="15867" width="8.85546875" style="10"/>
    <col min="15868" max="15868" width="10.140625" style="10" bestFit="1" customWidth="1"/>
    <col min="15869" max="15869" width="7.7109375" style="10" bestFit="1" customWidth="1"/>
    <col min="15870" max="15870" width="14.140625" style="10" bestFit="1" customWidth="1"/>
    <col min="15871" max="15871" width="62.5703125" style="10" bestFit="1" customWidth="1"/>
    <col min="15872" max="15872" width="31.140625" style="10" bestFit="1" customWidth="1"/>
    <col min="15873" max="15873" width="8.85546875" style="10" bestFit="1" customWidth="1"/>
    <col min="15874" max="15874" width="9.7109375" style="10" bestFit="1" customWidth="1"/>
    <col min="15875" max="15875" width="13.85546875" style="10" bestFit="1" customWidth="1"/>
    <col min="15876" max="16123" width="8.85546875" style="10"/>
    <col min="16124" max="16124" width="10.140625" style="10" bestFit="1" customWidth="1"/>
    <col min="16125" max="16125" width="7.7109375" style="10" bestFit="1" customWidth="1"/>
    <col min="16126" max="16126" width="14.140625" style="10" bestFit="1" customWidth="1"/>
    <col min="16127" max="16127" width="62.5703125" style="10" bestFit="1" customWidth="1"/>
    <col min="16128" max="16128" width="31.140625" style="10" bestFit="1" customWidth="1"/>
    <col min="16129" max="16129" width="8.85546875" style="10" bestFit="1" customWidth="1"/>
    <col min="16130" max="16130" width="9.7109375" style="10" bestFit="1" customWidth="1"/>
    <col min="16131" max="16131" width="13.85546875" style="10" bestFit="1" customWidth="1"/>
    <col min="16132" max="16384" width="8.85546875" style="10"/>
  </cols>
  <sheetData>
    <row r="1" spans="1:3">
      <c r="A1" s="23" t="s">
        <v>313</v>
      </c>
      <c r="B1" s="23"/>
    </row>
    <row r="2" spans="1:3">
      <c r="A2" s="10" t="s">
        <v>5</v>
      </c>
      <c r="B2" s="10" t="s">
        <v>8</v>
      </c>
      <c r="C2" s="10" t="s">
        <v>4</v>
      </c>
    </row>
    <row r="3" spans="1:3">
      <c r="A3" s="10" t="s">
        <v>314</v>
      </c>
      <c r="B3" s="10" t="s">
        <v>315</v>
      </c>
    </row>
    <row r="4" spans="1:3">
      <c r="B4" s="10" t="s">
        <v>11</v>
      </c>
    </row>
    <row r="5" spans="1:3">
      <c r="A5" s="10" t="s">
        <v>316</v>
      </c>
      <c r="B5" s="10" t="s">
        <v>317</v>
      </c>
      <c r="C5" s="10" t="s">
        <v>318</v>
      </c>
    </row>
    <row r="6" spans="1:3">
      <c r="A6" s="10" t="s">
        <v>319</v>
      </c>
      <c r="B6" s="10" t="s">
        <v>320</v>
      </c>
      <c r="C6" s="10" t="s">
        <v>321</v>
      </c>
    </row>
    <row r="7" spans="1:3">
      <c r="A7" s="10" t="s">
        <v>322</v>
      </c>
      <c r="B7" s="10" t="s">
        <v>323</v>
      </c>
      <c r="C7" s="10" t="s">
        <v>324</v>
      </c>
    </row>
    <row r="8" spans="1:3">
      <c r="A8" s="10" t="s">
        <v>325</v>
      </c>
      <c r="B8" s="10" t="s">
        <v>326</v>
      </c>
      <c r="C8" s="10" t="s">
        <v>327</v>
      </c>
    </row>
    <row r="9" spans="1:3">
      <c r="A9" s="10" t="s">
        <v>328</v>
      </c>
      <c r="B9" s="10" t="s">
        <v>329</v>
      </c>
      <c r="C9" s="10" t="s">
        <v>330</v>
      </c>
    </row>
    <row r="10" spans="1:3">
      <c r="A10" s="10" t="s">
        <v>331</v>
      </c>
      <c r="B10" s="10" t="s">
        <v>332</v>
      </c>
      <c r="C10" s="10" t="s">
        <v>333</v>
      </c>
    </row>
    <row r="11" spans="1:3">
      <c r="A11" s="10" t="s">
        <v>334</v>
      </c>
      <c r="B11" s="10" t="s">
        <v>335</v>
      </c>
      <c r="C11" s="10" t="s">
        <v>336</v>
      </c>
    </row>
    <row r="12" spans="1:3">
      <c r="A12" s="10" t="s">
        <v>337</v>
      </c>
      <c r="B12" s="10" t="s">
        <v>338</v>
      </c>
      <c r="C12" s="10" t="s">
        <v>339</v>
      </c>
    </row>
    <row r="13" spans="1:3">
      <c r="A13" s="10" t="s">
        <v>340</v>
      </c>
      <c r="B13" s="10" t="s">
        <v>341</v>
      </c>
      <c r="C13" s="10" t="s">
        <v>342</v>
      </c>
    </row>
    <row r="14" spans="1:3">
      <c r="A14" s="10" t="s">
        <v>343</v>
      </c>
      <c r="B14" s="10" t="s">
        <v>344</v>
      </c>
      <c r="C14" s="10" t="s">
        <v>321</v>
      </c>
    </row>
    <row r="15" spans="1:3">
      <c r="B15" s="10" t="s">
        <v>345</v>
      </c>
    </row>
    <row r="16" spans="1:3">
      <c r="A16" s="10" t="s">
        <v>346</v>
      </c>
      <c r="B16" s="10" t="s">
        <v>347</v>
      </c>
      <c r="C16" s="10" t="s">
        <v>348</v>
      </c>
    </row>
    <row r="17" spans="1:3">
      <c r="A17" s="10" t="s">
        <v>349</v>
      </c>
      <c r="B17" s="10" t="s">
        <v>350</v>
      </c>
      <c r="C17" s="10" t="s">
        <v>351</v>
      </c>
    </row>
    <row r="18" spans="1:3">
      <c r="A18" s="10" t="s">
        <v>352</v>
      </c>
      <c r="B18" s="10" t="s">
        <v>353</v>
      </c>
      <c r="C18" s="10" t="s">
        <v>354</v>
      </c>
    </row>
    <row r="19" spans="1:3">
      <c r="A19" s="10" t="s">
        <v>355</v>
      </c>
      <c r="B19" s="10" t="s">
        <v>356</v>
      </c>
      <c r="C19" s="10" t="s">
        <v>357</v>
      </c>
    </row>
    <row r="20" spans="1:3">
      <c r="A20" s="10" t="s">
        <v>358</v>
      </c>
      <c r="B20" s="10" t="s">
        <v>359</v>
      </c>
      <c r="C20" s="10" t="s">
        <v>360</v>
      </c>
    </row>
    <row r="21" spans="1:3">
      <c r="A21" s="10" t="s">
        <v>361</v>
      </c>
      <c r="B21" s="10" t="s">
        <v>362</v>
      </c>
      <c r="C21" s="10" t="s">
        <v>363</v>
      </c>
    </row>
    <row r="22" spans="1:3">
      <c r="A22" s="10" t="s">
        <v>364</v>
      </c>
      <c r="B22" s="10" t="s">
        <v>365</v>
      </c>
      <c r="C22" s="10" t="s">
        <v>366</v>
      </c>
    </row>
    <row r="23" spans="1:3">
      <c r="A23" s="10" t="s">
        <v>367</v>
      </c>
      <c r="B23" s="10" t="s">
        <v>368</v>
      </c>
      <c r="C23" s="10" t="s">
        <v>369</v>
      </c>
    </row>
    <row r="24" spans="1:3">
      <c r="A24" s="10" t="s">
        <v>370</v>
      </c>
      <c r="B24" s="10" t="s">
        <v>371</v>
      </c>
      <c r="C24" s="10" t="s">
        <v>372</v>
      </c>
    </row>
    <row r="25" spans="1:3">
      <c r="A25" s="10" t="s">
        <v>373</v>
      </c>
      <c r="B25" s="10" t="s">
        <v>374</v>
      </c>
      <c r="C25" s="10" t="s">
        <v>375</v>
      </c>
    </row>
    <row r="26" spans="1:3">
      <c r="B26" s="10" t="s">
        <v>376</v>
      </c>
    </row>
    <row r="27" spans="1:3">
      <c r="A27" s="10" t="s">
        <v>377</v>
      </c>
      <c r="B27" s="10" t="s">
        <v>378</v>
      </c>
      <c r="C27" s="10" t="s">
        <v>372</v>
      </c>
    </row>
    <row r="28" spans="1:3">
      <c r="A28" s="10" t="s">
        <v>379</v>
      </c>
      <c r="B28" s="10" t="s">
        <v>380</v>
      </c>
      <c r="C28" s="10" t="s">
        <v>381</v>
      </c>
    </row>
    <row r="29" spans="1:3">
      <c r="A29" s="10" t="s">
        <v>382</v>
      </c>
      <c r="B29" s="10" t="s">
        <v>383</v>
      </c>
      <c r="C29" s="10" t="s">
        <v>384</v>
      </c>
    </row>
    <row r="30" spans="1:3">
      <c r="A30" s="10" t="s">
        <v>385</v>
      </c>
      <c r="B30" s="10" t="s">
        <v>386</v>
      </c>
      <c r="C30" s="10" t="s">
        <v>387</v>
      </c>
    </row>
    <row r="31" spans="1:3">
      <c r="A31" s="10" t="s">
        <v>388</v>
      </c>
      <c r="B31" s="10" t="s">
        <v>389</v>
      </c>
      <c r="C31" s="10" t="s">
        <v>390</v>
      </c>
    </row>
    <row r="32" spans="1:3">
      <c r="A32" s="10" t="s">
        <v>391</v>
      </c>
      <c r="B32" s="10" t="s">
        <v>392</v>
      </c>
      <c r="C32" s="10" t="s">
        <v>393</v>
      </c>
    </row>
    <row r="33" spans="1:3">
      <c r="A33" s="10" t="s">
        <v>394</v>
      </c>
      <c r="B33" s="10" t="s">
        <v>395</v>
      </c>
      <c r="C33" s="10" t="s">
        <v>396</v>
      </c>
    </row>
    <row r="34" spans="1:3">
      <c r="A34" s="10" t="s">
        <v>397</v>
      </c>
      <c r="B34" s="10" t="s">
        <v>398</v>
      </c>
      <c r="C34" s="10" t="s">
        <v>399</v>
      </c>
    </row>
    <row r="35" spans="1:3">
      <c r="A35" s="10" t="s">
        <v>400</v>
      </c>
      <c r="B35" s="10" t="s">
        <v>401</v>
      </c>
      <c r="C35" s="10" t="s">
        <v>402</v>
      </c>
    </row>
    <row r="36" spans="1:3">
      <c r="A36" s="10" t="s">
        <v>403</v>
      </c>
      <c r="B36" s="10" t="s">
        <v>404</v>
      </c>
      <c r="C36" s="10" t="s">
        <v>405</v>
      </c>
    </row>
    <row r="37" spans="1:3">
      <c r="B37" s="10" t="s">
        <v>103</v>
      </c>
    </row>
    <row r="38" spans="1:3">
      <c r="A38" s="10" t="s">
        <v>406</v>
      </c>
      <c r="B38" s="10" t="s">
        <v>407</v>
      </c>
      <c r="C38" s="10" t="s">
        <v>408</v>
      </c>
    </row>
    <row r="39" spans="1:3">
      <c r="A39" s="10" t="s">
        <v>409</v>
      </c>
      <c r="B39" s="10" t="s">
        <v>410</v>
      </c>
      <c r="C39" s="10" t="s">
        <v>411</v>
      </c>
    </row>
    <row r="40" spans="1:3">
      <c r="A40" s="10" t="s">
        <v>412</v>
      </c>
      <c r="B40" s="10" t="s">
        <v>413</v>
      </c>
      <c r="C40" s="10" t="s">
        <v>414</v>
      </c>
    </row>
    <row r="41" spans="1:3">
      <c r="A41" s="10" t="s">
        <v>415</v>
      </c>
      <c r="B41" s="10" t="s">
        <v>416</v>
      </c>
      <c r="C41" s="10" t="s">
        <v>417</v>
      </c>
    </row>
    <row r="42" spans="1:3">
      <c r="A42" s="10" t="s">
        <v>418</v>
      </c>
      <c r="B42" s="10" t="s">
        <v>419</v>
      </c>
      <c r="C42" s="10" t="s">
        <v>420</v>
      </c>
    </row>
    <row r="43" spans="1:3">
      <c r="A43" s="10" t="s">
        <v>421</v>
      </c>
      <c r="B43" s="10" t="s">
        <v>422</v>
      </c>
      <c r="C43" s="10" t="s">
        <v>423</v>
      </c>
    </row>
    <row r="44" spans="1:3">
      <c r="A44" s="10" t="s">
        <v>424</v>
      </c>
      <c r="B44" s="10" t="s">
        <v>425</v>
      </c>
      <c r="C44" s="10" t="s">
        <v>426</v>
      </c>
    </row>
    <row r="45" spans="1:3">
      <c r="A45" s="10" t="s">
        <v>427</v>
      </c>
      <c r="B45" s="10" t="s">
        <v>428</v>
      </c>
      <c r="C45" s="10" t="s">
        <v>429</v>
      </c>
    </row>
    <row r="46" spans="1:3">
      <c r="A46" s="10" t="s">
        <v>430</v>
      </c>
      <c r="B46" s="10" t="s">
        <v>431</v>
      </c>
      <c r="C46" s="10" t="s">
        <v>432</v>
      </c>
    </row>
    <row r="47" spans="1:3">
      <c r="A47" s="10" t="s">
        <v>433</v>
      </c>
      <c r="B47" s="10" t="s">
        <v>434</v>
      </c>
      <c r="C47" s="10" t="s">
        <v>435</v>
      </c>
    </row>
    <row r="48" spans="1:3">
      <c r="B48" s="10" t="s">
        <v>134</v>
      </c>
    </row>
    <row r="49" spans="1:3">
      <c r="A49" s="10" t="s">
        <v>436</v>
      </c>
      <c r="B49" s="10" t="s">
        <v>437</v>
      </c>
      <c r="C49" s="10" t="s">
        <v>438</v>
      </c>
    </row>
    <row r="50" spans="1:3">
      <c r="A50" s="10" t="s">
        <v>439</v>
      </c>
      <c r="B50" s="10" t="s">
        <v>440</v>
      </c>
      <c r="C50" s="10" t="s">
        <v>441</v>
      </c>
    </row>
    <row r="51" spans="1:3">
      <c r="A51" s="10" t="s">
        <v>442</v>
      </c>
      <c r="B51" s="10" t="s">
        <v>443</v>
      </c>
      <c r="C51" s="10" t="s">
        <v>202</v>
      </c>
    </row>
    <row r="52" spans="1:3">
      <c r="A52" s="10" t="s">
        <v>444</v>
      </c>
      <c r="B52" s="10" t="s">
        <v>445</v>
      </c>
      <c r="C52" s="10" t="s">
        <v>446</v>
      </c>
    </row>
    <row r="53" spans="1:3">
      <c r="A53" s="10" t="s">
        <v>447</v>
      </c>
      <c r="B53" s="10" t="s">
        <v>448</v>
      </c>
      <c r="C53" s="10" t="s">
        <v>146</v>
      </c>
    </row>
    <row r="54" spans="1:3">
      <c r="A54" s="10" t="s">
        <v>449</v>
      </c>
      <c r="B54" s="10" t="s">
        <v>450</v>
      </c>
      <c r="C54" s="10" t="s">
        <v>451</v>
      </c>
    </row>
    <row r="55" spans="1:3">
      <c r="A55" s="10" t="s">
        <v>452</v>
      </c>
      <c r="B55" s="10" t="s">
        <v>453</v>
      </c>
      <c r="C55" s="10" t="s">
        <v>438</v>
      </c>
    </row>
    <row r="56" spans="1:3">
      <c r="A56" s="10" t="s">
        <v>454</v>
      </c>
      <c r="B56" s="10" t="s">
        <v>455</v>
      </c>
      <c r="C56" s="10" t="s">
        <v>456</v>
      </c>
    </row>
    <row r="57" spans="1:3">
      <c r="A57" s="10" t="s">
        <v>457</v>
      </c>
      <c r="B57" s="10" t="s">
        <v>458</v>
      </c>
      <c r="C57" s="10" t="s">
        <v>459</v>
      </c>
    </row>
    <row r="58" spans="1:3">
      <c r="A58" s="10" t="s">
        <v>460</v>
      </c>
      <c r="B58" s="10" t="s">
        <v>461</v>
      </c>
      <c r="C58" s="10" t="s">
        <v>462</v>
      </c>
    </row>
    <row r="59" spans="1:3">
      <c r="B59" s="10" t="s">
        <v>164</v>
      </c>
    </row>
    <row r="60" spans="1:3">
      <c r="A60" s="10" t="s">
        <v>463</v>
      </c>
      <c r="B60" s="10" t="s">
        <v>464</v>
      </c>
      <c r="C60" s="10" t="s">
        <v>465</v>
      </c>
    </row>
    <row r="61" spans="1:3">
      <c r="A61" s="10" t="s">
        <v>466</v>
      </c>
      <c r="B61" s="10" t="s">
        <v>467</v>
      </c>
      <c r="C61" s="10" t="s">
        <v>152</v>
      </c>
    </row>
    <row r="62" spans="1:3">
      <c r="A62" s="10" t="s">
        <v>468</v>
      </c>
      <c r="B62" s="10" t="s">
        <v>469</v>
      </c>
      <c r="C62" s="10" t="s">
        <v>470</v>
      </c>
    </row>
    <row r="63" spans="1:3">
      <c r="A63" s="10" t="s">
        <v>471</v>
      </c>
      <c r="B63" s="10" t="s">
        <v>472</v>
      </c>
      <c r="C63" s="10" t="s">
        <v>402</v>
      </c>
    </row>
    <row r="64" spans="1:3">
      <c r="A64" s="10" t="s">
        <v>473</v>
      </c>
      <c r="B64" s="10" t="s">
        <v>474</v>
      </c>
      <c r="C64" s="10" t="s">
        <v>475</v>
      </c>
    </row>
    <row r="65" spans="1:3">
      <c r="A65" s="10" t="s">
        <v>476</v>
      </c>
      <c r="B65" s="10" t="s">
        <v>477</v>
      </c>
      <c r="C65" s="10" t="s">
        <v>478</v>
      </c>
    </row>
    <row r="66" spans="1:3">
      <c r="A66" s="10" t="s">
        <v>479</v>
      </c>
      <c r="B66" s="10" t="s">
        <v>480</v>
      </c>
      <c r="C66" s="10" t="s">
        <v>481</v>
      </c>
    </row>
    <row r="67" spans="1:3">
      <c r="A67" s="10" t="s">
        <v>482</v>
      </c>
      <c r="B67" s="10" t="s">
        <v>483</v>
      </c>
      <c r="C67" s="10" t="s">
        <v>484</v>
      </c>
    </row>
    <row r="68" spans="1:3">
      <c r="A68" s="10" t="s">
        <v>485</v>
      </c>
      <c r="B68" s="10" t="s">
        <v>486</v>
      </c>
      <c r="C68" s="10" t="s">
        <v>470</v>
      </c>
    </row>
    <row r="69" spans="1:3">
      <c r="A69" s="10" t="s">
        <v>487</v>
      </c>
      <c r="B69" s="10" t="s">
        <v>488</v>
      </c>
      <c r="C69" s="10" t="s">
        <v>489</v>
      </c>
    </row>
    <row r="70" spans="1:3">
      <c r="B70" s="10" t="s">
        <v>193</v>
      </c>
    </row>
    <row r="71" spans="1:3">
      <c r="A71" s="10" t="s">
        <v>490</v>
      </c>
      <c r="B71" s="10" t="s">
        <v>491</v>
      </c>
      <c r="C71" s="10" t="s">
        <v>492</v>
      </c>
    </row>
    <row r="72" spans="1:3">
      <c r="A72" s="10" t="s">
        <v>493</v>
      </c>
      <c r="B72" s="10" t="s">
        <v>494</v>
      </c>
      <c r="C72" s="10" t="s">
        <v>495</v>
      </c>
    </row>
    <row r="73" spans="1:3">
      <c r="A73" s="10" t="s">
        <v>496</v>
      </c>
      <c r="B73" s="10" t="s">
        <v>497</v>
      </c>
      <c r="C73" s="10" t="s">
        <v>498</v>
      </c>
    </row>
    <row r="74" spans="1:3">
      <c r="A74" s="10" t="s">
        <v>499</v>
      </c>
      <c r="B74" s="10" t="s">
        <v>500</v>
      </c>
      <c r="C74" s="10" t="s">
        <v>207</v>
      </c>
    </row>
    <row r="75" spans="1:3">
      <c r="A75" s="10" t="s">
        <v>501</v>
      </c>
      <c r="B75" s="10" t="s">
        <v>502</v>
      </c>
      <c r="C75" s="10" t="s">
        <v>207</v>
      </c>
    </row>
    <row r="76" spans="1:3">
      <c r="A76" s="10" t="s">
        <v>503</v>
      </c>
      <c r="B76" s="10" t="s">
        <v>504</v>
      </c>
      <c r="C76" s="10" t="s">
        <v>505</v>
      </c>
    </row>
    <row r="77" spans="1:3">
      <c r="A77" s="10" t="s">
        <v>506</v>
      </c>
      <c r="B77" s="10" t="s">
        <v>507</v>
      </c>
      <c r="C77" s="10" t="s">
        <v>508</v>
      </c>
    </row>
    <row r="78" spans="1:3">
      <c r="A78" s="10" t="s">
        <v>509</v>
      </c>
      <c r="B78" s="10" t="s">
        <v>510</v>
      </c>
      <c r="C78" s="10" t="s">
        <v>511</v>
      </c>
    </row>
    <row r="79" spans="1:3">
      <c r="A79" s="10" t="s">
        <v>512</v>
      </c>
      <c r="B79" s="10" t="s">
        <v>513</v>
      </c>
      <c r="C79" s="10" t="s">
        <v>514</v>
      </c>
    </row>
    <row r="80" spans="1:3">
      <c r="A80" s="10" t="s">
        <v>515</v>
      </c>
      <c r="B80" s="10" t="s">
        <v>516</v>
      </c>
      <c r="C80" s="10" t="s">
        <v>514</v>
      </c>
    </row>
    <row r="81" spans="1:3">
      <c r="B81" s="10" t="s">
        <v>222</v>
      </c>
    </row>
    <row r="82" spans="1:3">
      <c r="A82" s="10" t="s">
        <v>517</v>
      </c>
      <c r="B82" s="10" t="s">
        <v>518</v>
      </c>
      <c r="C82" s="10" t="s">
        <v>519</v>
      </c>
    </row>
    <row r="83" spans="1:3">
      <c r="A83" s="10" t="s">
        <v>520</v>
      </c>
      <c r="B83" s="10" t="s">
        <v>521</v>
      </c>
      <c r="C83" s="10" t="s">
        <v>522</v>
      </c>
    </row>
    <row r="84" spans="1:3">
      <c r="A84" s="10" t="s">
        <v>523</v>
      </c>
      <c r="B84" s="10" t="s">
        <v>524</v>
      </c>
      <c r="C84" s="10" t="s">
        <v>525</v>
      </c>
    </row>
    <row r="85" spans="1:3">
      <c r="A85" s="10" t="s">
        <v>526</v>
      </c>
      <c r="B85" s="10" t="s">
        <v>527</v>
      </c>
      <c r="C85" s="10" t="s">
        <v>528</v>
      </c>
    </row>
    <row r="86" spans="1:3">
      <c r="A86" s="10" t="s">
        <v>529</v>
      </c>
      <c r="B86" s="10" t="s">
        <v>530</v>
      </c>
      <c r="C86" s="10" t="s">
        <v>475</v>
      </c>
    </row>
    <row r="87" spans="1:3">
      <c r="A87" s="10" t="s">
        <v>531</v>
      </c>
      <c r="B87" s="10" t="s">
        <v>532</v>
      </c>
      <c r="C87" s="10" t="s">
        <v>470</v>
      </c>
    </row>
    <row r="88" spans="1:3">
      <c r="A88" s="10" t="s">
        <v>533</v>
      </c>
      <c r="B88" s="10" t="s">
        <v>534</v>
      </c>
      <c r="C88" s="10" t="s">
        <v>535</v>
      </c>
    </row>
    <row r="89" spans="1:3">
      <c r="A89" s="10" t="s">
        <v>536</v>
      </c>
      <c r="B89" s="10" t="s">
        <v>537</v>
      </c>
      <c r="C89" s="10" t="s">
        <v>538</v>
      </c>
    </row>
    <row r="90" spans="1:3">
      <c r="A90" s="10" t="s">
        <v>539</v>
      </c>
      <c r="B90" s="10" t="s">
        <v>540</v>
      </c>
      <c r="C90" s="10" t="s">
        <v>475</v>
      </c>
    </row>
    <row r="91" spans="1:3">
      <c r="A91" s="10" t="s">
        <v>541</v>
      </c>
      <c r="B91" s="10" t="s">
        <v>542</v>
      </c>
      <c r="C91" s="10" t="s">
        <v>543</v>
      </c>
    </row>
    <row r="92" spans="1:3">
      <c r="B92" s="10" t="s">
        <v>252</v>
      </c>
    </row>
    <row r="93" spans="1:3">
      <c r="A93" s="10" t="s">
        <v>544</v>
      </c>
      <c r="B93" s="10" t="s">
        <v>545</v>
      </c>
      <c r="C93" s="10" t="s">
        <v>546</v>
      </c>
    </row>
    <row r="94" spans="1:3">
      <c r="A94" s="10" t="s">
        <v>547</v>
      </c>
      <c r="B94" s="10" t="s">
        <v>548</v>
      </c>
      <c r="C94" s="10" t="s">
        <v>549</v>
      </c>
    </row>
    <row r="95" spans="1:3">
      <c r="A95" s="10" t="s">
        <v>550</v>
      </c>
      <c r="B95" s="10" t="s">
        <v>551</v>
      </c>
      <c r="C95" s="10" t="s">
        <v>546</v>
      </c>
    </row>
    <row r="96" spans="1:3">
      <c r="A96" s="10" t="s">
        <v>552</v>
      </c>
      <c r="B96" s="10" t="s">
        <v>553</v>
      </c>
      <c r="C96" s="10" t="s">
        <v>554</v>
      </c>
    </row>
    <row r="97" spans="1:3">
      <c r="A97" s="10" t="s">
        <v>555</v>
      </c>
      <c r="B97" s="10" t="s">
        <v>556</v>
      </c>
      <c r="C97" s="10" t="s">
        <v>557</v>
      </c>
    </row>
    <row r="98" spans="1:3">
      <c r="A98" s="10" t="s">
        <v>558</v>
      </c>
      <c r="B98" s="10" t="s">
        <v>559</v>
      </c>
      <c r="C98" s="10" t="s">
        <v>560</v>
      </c>
    </row>
    <row r="99" spans="1:3">
      <c r="A99" s="10" t="s">
        <v>561</v>
      </c>
      <c r="B99" s="10" t="s">
        <v>562</v>
      </c>
      <c r="C99" s="10" t="s">
        <v>441</v>
      </c>
    </row>
    <row r="100" spans="1:3">
      <c r="A100" s="10" t="s">
        <v>563</v>
      </c>
      <c r="B100" s="10" t="s">
        <v>564</v>
      </c>
      <c r="C100" s="10" t="s">
        <v>565</v>
      </c>
    </row>
    <row r="101" spans="1:3">
      <c r="A101" s="10" t="s">
        <v>566</v>
      </c>
      <c r="B101" s="10" t="s">
        <v>567</v>
      </c>
      <c r="C101" s="10" t="s">
        <v>568</v>
      </c>
    </row>
    <row r="102" spans="1:3">
      <c r="A102" s="10" t="s">
        <v>569</v>
      </c>
      <c r="B102" s="10" t="s">
        <v>570</v>
      </c>
      <c r="C102" s="10" t="s">
        <v>571</v>
      </c>
    </row>
    <row r="103" spans="1:3">
      <c r="B103" s="10" t="s">
        <v>283</v>
      </c>
    </row>
    <row r="104" spans="1:3">
      <c r="A104" s="10" t="s">
        <v>572</v>
      </c>
      <c r="B104" s="10" t="s">
        <v>573</v>
      </c>
      <c r="C104" s="10" t="s">
        <v>574</v>
      </c>
    </row>
    <row r="105" spans="1:3">
      <c r="A105" s="10" t="s">
        <v>575</v>
      </c>
      <c r="B105" s="10" t="s">
        <v>576</v>
      </c>
      <c r="C105" s="10" t="s">
        <v>577</v>
      </c>
    </row>
    <row r="106" spans="1:3">
      <c r="A106" s="10" t="s">
        <v>578</v>
      </c>
      <c r="B106" s="10" t="s">
        <v>579</v>
      </c>
      <c r="C106" s="10" t="s">
        <v>580</v>
      </c>
    </row>
    <row r="107" spans="1:3">
      <c r="A107" s="10" t="s">
        <v>581</v>
      </c>
      <c r="B107" s="10" t="s">
        <v>582</v>
      </c>
      <c r="C107" s="10" t="s">
        <v>583</v>
      </c>
    </row>
    <row r="108" spans="1:3">
      <c r="A108" s="10" t="s">
        <v>584</v>
      </c>
      <c r="B108" s="10" t="s">
        <v>585</v>
      </c>
      <c r="C108" s="10" t="s">
        <v>586</v>
      </c>
    </row>
    <row r="109" spans="1:3">
      <c r="A109" s="10" t="s">
        <v>587</v>
      </c>
      <c r="B109" s="10" t="s">
        <v>588</v>
      </c>
      <c r="C109" s="10" t="s">
        <v>589</v>
      </c>
    </row>
    <row r="110" spans="1:3">
      <c r="A110" s="10" t="s">
        <v>590</v>
      </c>
      <c r="B110" s="10" t="s">
        <v>591</v>
      </c>
      <c r="C110" s="10" t="s">
        <v>592</v>
      </c>
    </row>
    <row r="111" spans="1:3">
      <c r="A111" s="10" t="s">
        <v>593</v>
      </c>
      <c r="B111" s="10" t="s">
        <v>594</v>
      </c>
      <c r="C111" s="10" t="s">
        <v>298</v>
      </c>
    </row>
    <row r="112" spans="1:3">
      <c r="A112" s="10" t="s">
        <v>595</v>
      </c>
      <c r="B112" s="10" t="s">
        <v>596</v>
      </c>
      <c r="C112" s="10" t="s">
        <v>597</v>
      </c>
    </row>
    <row r="113" spans="1:3">
      <c r="A113" s="10" t="s">
        <v>598</v>
      </c>
      <c r="B113" s="10" t="s">
        <v>599</v>
      </c>
      <c r="C113" s="10" t="s">
        <v>600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51E7-1BAE-4618-A1CA-DDA4E53655E8}">
  <sheetPr>
    <tabColor rgb="FFFF0000"/>
    <outlinePr summaryBelow="0" summaryRight="0"/>
  </sheetPr>
  <dimension ref="A1:G202"/>
  <sheetViews>
    <sheetView workbookViewId="0">
      <pane ySplit="2" topLeftCell="A3" activePane="bottomLeft" state="frozen"/>
      <selection pane="bottomLeft" activeCell="A203" sqref="A203"/>
      <selection activeCell="A203" sqref="A203:E603"/>
    </sheetView>
  </sheetViews>
  <sheetFormatPr defaultColWidth="14.42578125" defaultRowHeight="15.75" customHeight="1"/>
  <cols>
    <col min="1" max="1" width="9.140625" style="11" customWidth="1"/>
    <col min="2" max="2" width="48.42578125" style="11" customWidth="1"/>
    <col min="3" max="3" width="9.42578125" style="11" customWidth="1"/>
    <col min="4" max="4" width="25.7109375" style="11" customWidth="1"/>
    <col min="5" max="5" width="18.42578125" style="11" customWidth="1"/>
    <col min="6" max="16384" width="14.42578125" style="11"/>
  </cols>
  <sheetData>
    <row r="1" spans="1:7" ht="15.75" customHeight="1">
      <c r="A1" s="22" t="s">
        <v>601</v>
      </c>
      <c r="B1" s="22"/>
      <c r="C1" s="22"/>
      <c r="D1" s="22"/>
      <c r="E1" s="22"/>
      <c r="F1" s="22"/>
      <c r="G1" s="22"/>
    </row>
    <row r="2" spans="1:7" ht="15.75" customHeight="1">
      <c r="A2" s="12" t="s">
        <v>1</v>
      </c>
      <c r="B2" s="13" t="s">
        <v>2</v>
      </c>
      <c r="C2" s="14" t="s">
        <v>3</v>
      </c>
      <c r="D2" s="13" t="s">
        <v>4</v>
      </c>
      <c r="E2" s="14" t="s">
        <v>5</v>
      </c>
      <c r="F2" s="15"/>
      <c r="G2" s="15"/>
    </row>
    <row r="3" spans="1:7" ht="13.15">
      <c r="A3" s="16" t="str">
        <f ca="1">IFERROR(__xludf.DUMMYFUNCTION("""COMPUTED_VALUE"""),"4")</f>
        <v>4</v>
      </c>
      <c r="B3" s="17" t="str">
        <f ca="1">IFERROR(__xludf.DUMMYFUNCTION("""COMPUTED_VALUE"""),"21st Century: Mysteries of Deep Space")</f>
        <v>21st Century: Mysteries of Deep Space</v>
      </c>
      <c r="C3" s="16" t="str">
        <f ca="1">IFERROR(__xludf.DUMMYFUNCTION("""COMPUTED_VALUE"""),"N")</f>
        <v>N</v>
      </c>
      <c r="D3" s="17" t="str">
        <f ca="1">IFERROR(__xludf.DUMMYFUNCTION("""COMPUTED_VALUE"""),"Paris, Stephanie")</f>
        <v>Paris, Stephanie</v>
      </c>
      <c r="E3" s="18">
        <f ca="1">IFERROR(__xludf.DUMMYFUNCTION("""COMPUTED_VALUE"""),9781433349003)</f>
        <v>9781433349003</v>
      </c>
      <c r="F3" s="19"/>
      <c r="G3" s="19"/>
    </row>
    <row r="4" spans="1:7" ht="13.15">
      <c r="A4" s="16" t="str">
        <f ca="1">IFERROR(__xludf.DUMMYFUNCTION("""COMPUTED_VALUE"""),"4")</f>
        <v>4</v>
      </c>
      <c r="B4" s="17" t="str">
        <f ca="1">IFERROR(__xludf.DUMMYFUNCTION("""COMPUTED_VALUE"""),"Abby Takes a Stand")</f>
        <v>Abby Takes a Stand</v>
      </c>
      <c r="C4" s="16" t="str">
        <f ca="1">IFERROR(__xludf.DUMMYFUNCTION("""COMPUTED_VALUE"""),"F")</f>
        <v>F</v>
      </c>
      <c r="D4" s="17" t="str">
        <f ca="1">IFERROR(__xludf.DUMMYFUNCTION("""COMPUTED_VALUE"""),"McKissack, Patricia C.")</f>
        <v>McKissack, Patricia C.</v>
      </c>
      <c r="E4" s="18">
        <f ca="1">IFERROR(__xludf.DUMMYFUNCTION("""COMPUTED_VALUE"""),9780142406878)</f>
        <v>9780142406878</v>
      </c>
      <c r="F4" s="19"/>
      <c r="G4" s="19"/>
    </row>
    <row r="5" spans="1:7" ht="13.15">
      <c r="A5" s="16" t="str">
        <f ca="1">IFERROR(__xludf.DUMMYFUNCTION("""COMPUTED_VALUE"""),"4")</f>
        <v>4</v>
      </c>
      <c r="B5" s="17" t="str">
        <f ca="1">IFERROR(__xludf.DUMMYFUNCTION("""COMPUTED_VALUE"""),"Abel's Island")</f>
        <v>Abel's Island</v>
      </c>
      <c r="C5" s="16" t="str">
        <f ca="1">IFERROR(__xludf.DUMMYFUNCTION("""COMPUTED_VALUE"""),"F")</f>
        <v>F</v>
      </c>
      <c r="D5" s="17" t="str">
        <f ca="1">IFERROR(__xludf.DUMMYFUNCTION("""COMPUTED_VALUE"""),"Steig, William")</f>
        <v>Steig, William</v>
      </c>
      <c r="E5" s="18">
        <f ca="1">IFERROR(__xludf.DUMMYFUNCTION("""COMPUTED_VALUE"""),9780312371432)</f>
        <v>9780312371432</v>
      </c>
      <c r="F5" s="19"/>
      <c r="G5" s="19"/>
    </row>
    <row r="6" spans="1:7" ht="13.15">
      <c r="A6" s="16" t="str">
        <f ca="1">IFERROR(__xludf.DUMMYFUNCTION("""COMPUTED_VALUE"""),"4")</f>
        <v>4</v>
      </c>
      <c r="B6" s="17" t="str">
        <f ca="1">IFERROR(__xludf.DUMMYFUNCTION("""COMPUTED_VALUE"""),"Able to Play: Overcoming Physical Challenges")</f>
        <v>Able to Play: Overcoming Physical Challenges</v>
      </c>
      <c r="C6" s="16" t="str">
        <f ca="1">IFERROR(__xludf.DUMMYFUNCTION("""COMPUTED_VALUE"""),"N")</f>
        <v>N</v>
      </c>
      <c r="D6" s="17" t="str">
        <f ca="1">IFERROR(__xludf.DUMMYFUNCTION("""COMPUTED_VALUE"""),"Stout, Glenn")</f>
        <v>Stout, Glenn</v>
      </c>
      <c r="E6" s="18">
        <f ca="1">IFERROR(__xludf.DUMMYFUNCTION("""COMPUTED_VALUE"""),9780547417332)</f>
        <v>9780547417332</v>
      </c>
      <c r="F6" s="19"/>
      <c r="G6" s="19"/>
    </row>
    <row r="7" spans="1:7" ht="13.15">
      <c r="A7" s="16" t="str">
        <f ca="1">IFERROR(__xludf.DUMMYFUNCTION("""COMPUTED_VALUE"""),"4")</f>
        <v>4</v>
      </c>
      <c r="B7" s="17" t="str">
        <f ca="1">IFERROR(__xludf.DUMMYFUNCTION("""COMPUTED_VALUE"""),"Ada Lovelace and Computer Algorithms")</f>
        <v>Ada Lovelace and Computer Algorithms</v>
      </c>
      <c r="C7" s="16" t="str">
        <f ca="1">IFERROR(__xludf.DUMMYFUNCTION("""COMPUTED_VALUE"""),"N")</f>
        <v>N</v>
      </c>
      <c r="D7" s="17" t="str">
        <f ca="1">IFERROR(__xludf.DUMMYFUNCTION("""COMPUTED_VALUE"""),"Labrecque, Ellen")</f>
        <v>Labrecque, Ellen</v>
      </c>
      <c r="E7" s="18">
        <f ca="1">IFERROR(__xludf.DUMMYFUNCTION("""COMPUTED_VALUE"""),9781634723091)</f>
        <v>9781634723091</v>
      </c>
      <c r="F7" s="19"/>
      <c r="G7" s="19"/>
    </row>
    <row r="8" spans="1:7" ht="13.15">
      <c r="A8" s="16" t="str">
        <f ca="1">IFERROR(__xludf.DUMMYFUNCTION("""COMPUTED_VALUE"""),"4")</f>
        <v>4</v>
      </c>
      <c r="B8" s="17" t="str">
        <f ca="1">IFERROR(__xludf.DUMMYFUNCTION("""COMPUTED_VALUE"""),"The All-Star Joker")</f>
        <v>The All-Star Joker</v>
      </c>
      <c r="C8" s="16" t="str">
        <f ca="1">IFERROR(__xludf.DUMMYFUNCTION("""COMPUTED_VALUE"""),"F")</f>
        <v>F</v>
      </c>
      <c r="D8" s="17" t="str">
        <f ca="1">IFERROR(__xludf.DUMMYFUNCTION("""COMPUTED_VALUE"""),"Kelly, David A.")</f>
        <v>Kelly, David A.</v>
      </c>
      <c r="E8" s="18">
        <f ca="1">IFERROR(__xludf.DUMMYFUNCTION("""COMPUTED_VALUE"""),9780375868849)</f>
        <v>9780375868849</v>
      </c>
      <c r="F8" s="19"/>
      <c r="G8" s="19"/>
    </row>
    <row r="9" spans="1:7" ht="13.15">
      <c r="A9" s="16" t="str">
        <f ca="1">IFERROR(__xludf.DUMMYFUNCTION("""COMPUTED_VALUE"""),"4")</f>
        <v>4</v>
      </c>
      <c r="B9" s="17" t="str">
        <f ca="1">IFERROR(__xludf.DUMMYFUNCTION("""COMPUTED_VALUE"""),"Alone in the Arctic: Can Science Save Your Life?")</f>
        <v>Alone in the Arctic: Can Science Save Your Life?</v>
      </c>
      <c r="C9" s="16" t="str">
        <f ca="1">IFERROR(__xludf.DUMMYFUNCTION("""COMPUTED_VALUE"""),"H")</f>
        <v>H</v>
      </c>
      <c r="D9" s="17" t="str">
        <f ca="1">IFERROR(__xludf.DUMMYFUNCTION("""COMPUTED_VALUE"""),"Bailey, Gerry")</f>
        <v>Bailey, Gerry</v>
      </c>
      <c r="E9" s="18">
        <f ca="1">IFERROR(__xludf.DUMMYFUNCTION("""COMPUTED_VALUE"""),9780778704348)</f>
        <v>9780778704348</v>
      </c>
      <c r="F9" s="19"/>
      <c r="G9" s="19"/>
    </row>
    <row r="10" spans="1:7" ht="13.15">
      <c r="A10" s="16" t="str">
        <f ca="1">IFERROR(__xludf.DUMMYFUNCTION("""COMPUTED_VALUE"""),"4")</f>
        <v>4</v>
      </c>
      <c r="B10" s="17" t="str">
        <f ca="1">IFERROR(__xludf.DUMMYFUNCTION("""COMPUTED_VALUE"""),"Amaterasu: Return of the Sun")</f>
        <v>Amaterasu: Return of the Sun</v>
      </c>
      <c r="C10" s="16" t="str">
        <f ca="1">IFERROR(__xludf.DUMMYFUNCTION("""COMPUTED_VALUE"""),"F")</f>
        <v>F</v>
      </c>
      <c r="D10" s="17" t="str">
        <f ca="1">IFERROR(__xludf.DUMMYFUNCTION("""COMPUTED_VALUE"""),"Storrie, Paul D.")</f>
        <v>Storrie, Paul D.</v>
      </c>
      <c r="E10" s="18">
        <f ca="1">IFERROR(__xludf.DUMMYFUNCTION("""COMPUTED_VALUE"""),9780822565734)</f>
        <v>9780822565734</v>
      </c>
      <c r="F10" s="19"/>
      <c r="G10" s="19"/>
    </row>
    <row r="11" spans="1:7" ht="13.15">
      <c r="A11" s="16" t="str">
        <f ca="1">IFERROR(__xludf.DUMMYFUNCTION("""COMPUTED_VALUE"""),"4")</f>
        <v>4</v>
      </c>
      <c r="B11" s="17" t="str">
        <f ca="1">IFERROR(__xludf.DUMMYFUNCTION("""COMPUTED_VALUE"""),"Amazing Women")</f>
        <v>Amazing Women</v>
      </c>
      <c r="C11" s="16" t="str">
        <f ca="1">IFERROR(__xludf.DUMMYFUNCTION("""COMPUTED_VALUE"""),"N")</f>
        <v>N</v>
      </c>
      <c r="D11" s="17" t="str">
        <f ca="1">IFERROR(__xludf.DUMMYFUNCTION("""COMPUTED_VALUE"""),"Jenner, Caryn")</f>
        <v>Jenner, Caryn</v>
      </c>
      <c r="E11" s="18">
        <f ca="1">IFERROR(__xludf.DUMMYFUNCTION("""COMPUTED_VALUE"""),9781465457684)</f>
        <v>9781465457684</v>
      </c>
      <c r="F11" s="19"/>
      <c r="G11" s="19"/>
    </row>
    <row r="12" spans="1:7" ht="13.15">
      <c r="A12" s="16" t="str">
        <f ca="1">IFERROR(__xludf.DUMMYFUNCTION("""COMPUTED_VALUE"""),"4")</f>
        <v>4</v>
      </c>
      <c r="B12" s="17" t="str">
        <f ca="1">IFERROR(__xludf.DUMMYFUNCTION("""COMPUTED_VALUE"""),"Amazon Rainforest")</f>
        <v>Amazon Rainforest</v>
      </c>
      <c r="C12" s="16" t="str">
        <f ca="1">IFERROR(__xludf.DUMMYFUNCTION("""COMPUTED_VALUE"""),"N")</f>
        <v>N</v>
      </c>
      <c r="D12" s="17" t="str">
        <f ca="1">IFERROR(__xludf.DUMMYFUNCTION("""COMPUTED_VALUE"""),"Rice, William B.")</f>
        <v>Rice, William B.</v>
      </c>
      <c r="E12" s="18">
        <f ca="1">IFERROR(__xludf.DUMMYFUNCTION("""COMPUTED_VALUE"""),9781433336713)</f>
        <v>9781433336713</v>
      </c>
      <c r="F12" s="19"/>
      <c r="G12" s="19"/>
    </row>
    <row r="13" spans="1:7" ht="13.15">
      <c r="A13" s="16" t="str">
        <f ca="1">IFERROR(__xludf.DUMMYFUNCTION("""COMPUTED_VALUE"""),"4")</f>
        <v>4</v>
      </c>
      <c r="B13" s="17" t="str">
        <f ca="1">IFERROR(__xludf.DUMMYFUNCTION("""COMPUTED_VALUE"""),"Amusement Parks: Perimeter and Area")</f>
        <v>Amusement Parks: Perimeter and Area</v>
      </c>
      <c r="C13" s="16" t="str">
        <f ca="1">IFERROR(__xludf.DUMMYFUNCTION("""COMPUTED_VALUE"""),"N")</f>
        <v>N</v>
      </c>
      <c r="D13" s="17" t="str">
        <f ca="1">IFERROR(__xludf.DUMMYFUNCTION("""COMPUTED_VALUE"""),"Irving, Dianne")</f>
        <v>Irving, Dianne</v>
      </c>
      <c r="E13" s="18">
        <f ca="1">IFERROR(__xludf.DUMMYFUNCTION("""COMPUTED_VALUE"""),9780743909181)</f>
        <v>9780743909181</v>
      </c>
      <c r="F13" s="19"/>
      <c r="G13" s="19"/>
    </row>
    <row r="14" spans="1:7" ht="13.15">
      <c r="A14" s="16" t="str">
        <f ca="1">IFERROR(__xludf.DUMMYFUNCTION("""COMPUTED_VALUE"""),"4")</f>
        <v>4</v>
      </c>
      <c r="B14" s="17" t="str">
        <f ca="1">IFERROR(__xludf.DUMMYFUNCTION("""COMPUTED_VALUE"""),"Anansi and the Box of Stories")</f>
        <v>Anansi and the Box of Stories</v>
      </c>
      <c r="C14" s="16" t="str">
        <f ca="1">IFERROR(__xludf.DUMMYFUNCTION("""COMPUTED_VALUE"""),"F")</f>
        <v>F</v>
      </c>
      <c r="D14" s="17" t="str">
        <f ca="1">IFERROR(__xludf.DUMMYFUNCTION("""COMPUTED_VALUE"""),"Krensky, Steven")</f>
        <v>Krensky, Steven</v>
      </c>
      <c r="E14" s="18">
        <f ca="1">IFERROR(__xludf.DUMMYFUNCTION("""COMPUTED_VALUE"""),9780822567455)</f>
        <v>9780822567455</v>
      </c>
      <c r="F14" s="19"/>
      <c r="G14" s="19"/>
    </row>
    <row r="15" spans="1:7" ht="13.15">
      <c r="A15" s="16" t="str">
        <f ca="1">IFERROR(__xludf.DUMMYFUNCTION("""COMPUTED_VALUE"""),"4")</f>
        <v>4</v>
      </c>
      <c r="B15" s="17" t="str">
        <f ca="1">IFERROR(__xludf.DUMMYFUNCTION("""COMPUTED_VALUE"""),"Ancient China: 305 BC")</f>
        <v>Ancient China: 305 BC</v>
      </c>
      <c r="C15" s="16" t="str">
        <f ca="1">IFERROR(__xludf.DUMMYFUNCTION("""COMPUTED_VALUE"""),"N")</f>
        <v>N</v>
      </c>
      <c r="D15" s="17" t="str">
        <f ca="1">IFERROR(__xludf.DUMMYFUNCTION("""COMPUTED_VALUE"""),"Slepian, Curtis")</f>
        <v>Slepian, Curtis</v>
      </c>
      <c r="E15" s="18">
        <f ca="1">IFERROR(__xludf.DUMMYFUNCTION("""COMPUTED_VALUE"""),9781493836017)</f>
        <v>9781493836017</v>
      </c>
      <c r="F15" s="19"/>
      <c r="G15" s="19"/>
    </row>
    <row r="16" spans="1:7" ht="13.15">
      <c r="A16" s="16" t="str">
        <f ca="1">IFERROR(__xludf.DUMMYFUNCTION("""COMPUTED_VALUE"""),"4")</f>
        <v>4</v>
      </c>
      <c r="B16" s="17" t="str">
        <f ca="1">IFERROR(__xludf.DUMMYFUNCTION("""COMPUTED_VALUE"""),"Andy Russell, NOT Wanted by the Police")</f>
        <v>Andy Russell, NOT Wanted by the Police</v>
      </c>
      <c r="C16" s="16" t="str">
        <f ca="1">IFERROR(__xludf.DUMMYFUNCTION("""COMPUTED_VALUE"""),"F")</f>
        <v>F</v>
      </c>
      <c r="D16" s="17" t="str">
        <f ca="1">IFERROR(__xludf.DUMMYFUNCTION("""COMPUTED_VALUE"""),"Adler, David")</f>
        <v>Adler, David</v>
      </c>
      <c r="E16" s="18">
        <f ca="1">IFERROR(__xludf.DUMMYFUNCTION("""COMPUTED_VALUE"""),9780152167196)</f>
        <v>9780152167196</v>
      </c>
      <c r="F16" s="19"/>
      <c r="G16" s="19"/>
    </row>
    <row r="17" spans="1:7" ht="13.15">
      <c r="A17" s="16" t="str">
        <f ca="1">IFERROR(__xludf.DUMMYFUNCTION("""COMPUTED_VALUE"""),"4")</f>
        <v>4</v>
      </c>
      <c r="B17" s="17" t="str">
        <f ca="1">IFERROR(__xludf.DUMMYFUNCTION("""COMPUTED_VALUE"""),"Animal Architects")</f>
        <v>Animal Architects</v>
      </c>
      <c r="C17" s="16" t="str">
        <f ca="1">IFERROR(__xludf.DUMMYFUNCTION("""COMPUTED_VALUE"""),"N")</f>
        <v>N</v>
      </c>
      <c r="D17" s="17" t="str">
        <f ca="1">IFERROR(__xludf.DUMMYFUNCTION("""COMPUTED_VALUE"""),"Bradley, Timothy")</f>
        <v>Bradley, Timothy</v>
      </c>
      <c r="E17" s="18">
        <f ca="1">IFERROR(__xludf.DUMMYFUNCTION("""COMPUTED_VALUE"""),9781433348228)</f>
        <v>9781433348228</v>
      </c>
      <c r="F17" s="19"/>
      <c r="G17" s="19"/>
    </row>
    <row r="18" spans="1:7" ht="13.15">
      <c r="A18" s="16" t="str">
        <f ca="1">IFERROR(__xludf.DUMMYFUNCTION("""COMPUTED_VALUE"""),"4")</f>
        <v>4</v>
      </c>
      <c r="B18" s="17" t="str">
        <f ca="1">IFERROR(__xludf.DUMMYFUNCTION("""COMPUTED_VALUE"""),"Animals Helping with Healing")</f>
        <v>Animals Helping with Healing</v>
      </c>
      <c r="C18" s="16" t="str">
        <f ca="1">IFERROR(__xludf.DUMMYFUNCTION("""COMPUTED_VALUE"""),"N")</f>
        <v>N</v>
      </c>
      <c r="D18" s="17" t="str">
        <f ca="1">IFERROR(__xludf.DUMMYFUNCTION("""COMPUTED_VALUE"""),"Squire, Ann O.")</f>
        <v>Squire, Ann O.</v>
      </c>
      <c r="E18" s="18">
        <f ca="1">IFERROR(__xludf.DUMMYFUNCTION("""COMPUTED_VALUE"""),9780531205341)</f>
        <v>9780531205341</v>
      </c>
      <c r="F18" s="19"/>
      <c r="G18" s="19"/>
    </row>
    <row r="19" spans="1:7" ht="13.15">
      <c r="A19" s="16" t="str">
        <f ca="1">IFERROR(__xludf.DUMMYFUNCTION("""COMPUTED_VALUE"""),"4")</f>
        <v>4</v>
      </c>
      <c r="B19" s="17" t="str">
        <f ca="1">IFERROR(__xludf.DUMMYFUNCTION("""COMPUTED_VALUE"""),"Animals Nobody Loves")</f>
        <v>Animals Nobody Loves</v>
      </c>
      <c r="C19" s="16" t="str">
        <f ca="1">IFERROR(__xludf.DUMMYFUNCTION("""COMPUTED_VALUE"""),"N")</f>
        <v>N</v>
      </c>
      <c r="D19" s="17" t="str">
        <f ca="1">IFERROR(__xludf.DUMMYFUNCTION("""COMPUTED_VALUE"""),"Simon, Seymour")</f>
        <v>Simon, Seymour</v>
      </c>
      <c r="E19" s="18">
        <f ca="1">IFERROR(__xludf.DUMMYFUNCTION("""COMPUTED_VALUE"""),9781587171550)</f>
        <v>9781587171550</v>
      </c>
      <c r="F19" s="19"/>
      <c r="G19" s="19"/>
    </row>
    <row r="20" spans="1:7" ht="13.15">
      <c r="A20" s="16" t="str">
        <f ca="1">IFERROR(__xludf.DUMMYFUNCTION("""COMPUTED_VALUE"""),"4")</f>
        <v>4</v>
      </c>
      <c r="B20" s="17" t="str">
        <f ca="1">IFERROR(__xludf.DUMMYFUNCTION("""COMPUTED_VALUE"""),"Anyone but Me")</f>
        <v>Anyone but Me</v>
      </c>
      <c r="C20" s="16" t="str">
        <f ca="1">IFERROR(__xludf.DUMMYFUNCTION("""COMPUTED_VALUE"""),"F")</f>
        <v>F</v>
      </c>
      <c r="D20" s="17" t="str">
        <f ca="1">IFERROR(__xludf.DUMMYFUNCTION("""COMPUTED_VALUE"""),"Krulik, Nancy")</f>
        <v>Krulik, Nancy</v>
      </c>
      <c r="E20" s="18">
        <f ca="1">IFERROR(__xludf.DUMMYFUNCTION("""COMPUTED_VALUE"""),9780448426532)</f>
        <v>9780448426532</v>
      </c>
      <c r="F20" s="19"/>
      <c r="G20" s="19"/>
    </row>
    <row r="21" spans="1:7" ht="13.15">
      <c r="A21" s="16" t="str">
        <f ca="1">IFERROR(__xludf.DUMMYFUNCTION("""COMPUTED_VALUE"""),"4")</f>
        <v>4</v>
      </c>
      <c r="B21" s="17" t="str">
        <f ca="1">IFERROR(__xludf.DUMMYFUNCTION("""COMPUTED_VALUE"""),"Are Crop Circles Real?")</f>
        <v>Are Crop Circles Real?</v>
      </c>
      <c r="C21" s="16" t="str">
        <f ca="1">IFERROR(__xludf.DUMMYFUNCTION("""COMPUTED_VALUE"""),"N")</f>
        <v>N</v>
      </c>
      <c r="D21" s="17" t="str">
        <f ca="1">IFERROR(__xludf.DUMMYFUNCTION("""COMPUTED_VALUE"""),"Lassieur, Allison")</f>
        <v>Lassieur, Allison</v>
      </c>
      <c r="E21" s="18">
        <f ca="1">IFERROR(__xludf.DUMMYFUNCTION("""COMPUTED_VALUE"""),9781681520452)</f>
        <v>9781681520452</v>
      </c>
      <c r="F21" s="19"/>
      <c r="G21" s="19"/>
    </row>
    <row r="22" spans="1:7" ht="13.15">
      <c r="A22" s="16" t="str">
        <f ca="1">IFERROR(__xludf.DUMMYFUNCTION("""COMPUTED_VALUE"""),"4")</f>
        <v>4</v>
      </c>
      <c r="B22" s="17" t="str">
        <f ca="1">IFERROR(__xludf.DUMMYFUNCTION("""COMPUTED_VALUE"""),"Around the World")</f>
        <v>Around the World</v>
      </c>
      <c r="C22" s="16" t="str">
        <f ca="1">IFERROR(__xludf.DUMMYFUNCTION("""COMPUTED_VALUE"""),"F")</f>
        <v>F</v>
      </c>
      <c r="D22" s="17" t="str">
        <f ca="1">IFERROR(__xludf.DUMMYFUNCTION("""COMPUTED_VALUE"""),"Phelan, Matt")</f>
        <v>Phelan, Matt</v>
      </c>
      <c r="E22" s="18">
        <f ca="1">IFERROR(__xludf.DUMMYFUNCTION("""COMPUTED_VALUE"""),9780763669256)</f>
        <v>9780763669256</v>
      </c>
      <c r="F22" s="19"/>
      <c r="G22" s="19"/>
    </row>
    <row r="23" spans="1:7" ht="13.15">
      <c r="A23" s="16" t="str">
        <f ca="1">IFERROR(__xludf.DUMMYFUNCTION("""COMPUTED_VALUE"""),"4")</f>
        <v>4</v>
      </c>
      <c r="B23" s="17" t="str">
        <f ca="1">IFERROR(__xludf.DUMMYFUNCTION("""COMPUTED_VALUE"""),"The Astro Outlaw")</f>
        <v>The Astro Outlaw</v>
      </c>
      <c r="C23" s="16" t="str">
        <f ca="1">IFERROR(__xludf.DUMMYFUNCTION("""COMPUTED_VALUE"""),"F")</f>
        <v>F</v>
      </c>
      <c r="D23" s="17" t="str">
        <f ca="1">IFERROR(__xludf.DUMMYFUNCTION("""COMPUTED_VALUE"""),"Kelly, David A.")</f>
        <v>Kelly, David A.</v>
      </c>
      <c r="E23" s="18">
        <f ca="1">IFERROR(__xludf.DUMMYFUNCTION("""COMPUTED_VALUE"""),9780375868832)</f>
        <v>9780375868832</v>
      </c>
      <c r="F23" s="19"/>
      <c r="G23" s="19"/>
    </row>
    <row r="24" spans="1:7" ht="13.15">
      <c r="A24" s="16" t="str">
        <f ca="1">IFERROR(__xludf.DUMMYFUNCTION("""COMPUTED_VALUE"""),"4")</f>
        <v>4</v>
      </c>
      <c r="B24" s="17" t="str">
        <f ca="1">IFERROR(__xludf.DUMMYFUNCTION("""COMPUTED_VALUE"""),"Astronomers Through Time")</f>
        <v>Astronomers Through Time</v>
      </c>
      <c r="C24" s="16" t="str">
        <f ca="1">IFERROR(__xludf.DUMMYFUNCTION("""COMPUTED_VALUE"""),"N")</f>
        <v>N</v>
      </c>
      <c r="D24" s="17" t="str">
        <f ca="1">IFERROR(__xludf.DUMMYFUNCTION("""COMPUTED_VALUE"""),"Greathouse, Lisa E.")</f>
        <v>Greathouse, Lisa E.</v>
      </c>
      <c r="E24" s="18">
        <f ca="1">IFERROR(__xludf.DUMMYFUNCTION("""COMPUTED_VALUE"""),9780743905626)</f>
        <v>9780743905626</v>
      </c>
      <c r="F24" s="19"/>
      <c r="G24" s="19"/>
    </row>
    <row r="25" spans="1:7" ht="13.15">
      <c r="A25" s="16" t="str">
        <f ca="1">IFERROR(__xludf.DUMMYFUNCTION("""COMPUTED_VALUE"""),"4")</f>
        <v>4</v>
      </c>
      <c r="B25" s="17" t="str">
        <f ca="1">IFERROR(__xludf.DUMMYFUNCTION("""COMPUTED_VALUE"""),"At Home in a Coral Reef")</f>
        <v>At Home in a Coral Reef</v>
      </c>
      <c r="C25" s="16" t="str">
        <f ca="1">IFERROR(__xludf.DUMMYFUNCTION("""COMPUTED_VALUE"""),"N")</f>
        <v>N</v>
      </c>
      <c r="D25" s="17" t="str">
        <f ca="1">IFERROR(__xludf.DUMMYFUNCTION("""COMPUTED_VALUE"""),"Spilsbury, Louise &amp; Richard")</f>
        <v>Spilsbury, Louise &amp; Richard</v>
      </c>
      <c r="E25" s="18">
        <f ca="1">IFERROR(__xludf.DUMMYFUNCTION("""COMPUTED_VALUE"""),9781508145523)</f>
        <v>9781508145523</v>
      </c>
      <c r="F25" s="19"/>
      <c r="G25" s="19"/>
    </row>
    <row r="26" spans="1:7" ht="13.15">
      <c r="A26" s="16" t="str">
        <f ca="1">IFERROR(__xludf.DUMMYFUNCTION("""COMPUTED_VALUE"""),"4")</f>
        <v>4</v>
      </c>
      <c r="B26" s="17" t="str">
        <f ca="1">IFERROR(__xludf.DUMMYFUNCTION("""COMPUTED_VALUE"""),"Attack of the Bullfrogs")</f>
        <v>Attack of the Bullfrogs</v>
      </c>
      <c r="C26" s="16" t="str">
        <f ca="1">IFERROR(__xludf.DUMMYFUNCTION("""COMPUTED_VALUE"""),"N")</f>
        <v>N</v>
      </c>
      <c r="D26" s="17" t="str">
        <f ca="1">IFERROR(__xludf.DUMMYFUNCTION("""COMPUTED_VALUE"""),"Shea, Therese")</f>
        <v>Shea, Therese</v>
      </c>
      <c r="E26" s="18">
        <f ca="1">IFERROR(__xludf.DUMMYFUNCTION("""COMPUTED_VALUE"""),9781482456578)</f>
        <v>9781482456578</v>
      </c>
      <c r="F26" s="19"/>
      <c r="G26" s="19"/>
    </row>
    <row r="27" spans="1:7" ht="13.15">
      <c r="A27" s="16" t="str">
        <f ca="1">IFERROR(__xludf.DUMMYFUNCTION("""COMPUTED_VALUE"""),"4")</f>
        <v>4</v>
      </c>
      <c r="B27" s="17" t="str">
        <f ca="1">IFERROR(__xludf.DUMMYFUNCTION("""COMPUTED_VALUE"""),"Bad Kitty School Daze")</f>
        <v>Bad Kitty School Daze</v>
      </c>
      <c r="C27" s="16" t="str">
        <f ca="1">IFERROR(__xludf.DUMMYFUNCTION("""COMPUTED_VALUE"""),"F")</f>
        <v>F</v>
      </c>
      <c r="D27" s="17" t="str">
        <f ca="1">IFERROR(__xludf.DUMMYFUNCTION("""COMPUTED_VALUE"""),"Bruel, Nick")</f>
        <v>Bruel, Nick</v>
      </c>
      <c r="E27" s="18">
        <f ca="1">IFERROR(__xludf.DUMMYFUNCTION("""COMPUTED_VALUE"""),9781250039477)</f>
        <v>9781250039477</v>
      </c>
      <c r="F27" s="19"/>
      <c r="G27" s="19"/>
    </row>
    <row r="28" spans="1:7" ht="13.15">
      <c r="A28" s="16" t="str">
        <f ca="1">IFERROR(__xludf.DUMMYFUNCTION("""COMPUTED_VALUE"""),"4")</f>
        <v>4</v>
      </c>
      <c r="B28" s="17" t="str">
        <f ca="1">IFERROR(__xludf.DUMMYFUNCTION("""COMPUTED_VALUE"""),"Batcat and the Seven Squirrels")</f>
        <v>Batcat and the Seven Squirrels</v>
      </c>
      <c r="C28" s="16" t="str">
        <f ca="1">IFERROR(__xludf.DUMMYFUNCTION("""COMPUTED_VALUE"""),"F")</f>
        <v>F</v>
      </c>
      <c r="D28" s="17" t="str">
        <f ca="1">IFERROR(__xludf.DUMMYFUNCTION("""COMPUTED_VALUE"""),"Walters, Eric")</f>
        <v>Walters, Eric</v>
      </c>
      <c r="E28" s="18">
        <f ca="1">IFERROR(__xludf.DUMMYFUNCTION("""COMPUTED_VALUE"""),9781459812550)</f>
        <v>9781459812550</v>
      </c>
      <c r="F28" s="19"/>
      <c r="G28" s="19"/>
    </row>
    <row r="29" spans="1:7" ht="13.15">
      <c r="A29" s="16" t="str">
        <f ca="1">IFERROR(__xludf.DUMMYFUNCTION("""COMPUTED_VALUE"""),"4")</f>
        <v>4</v>
      </c>
      <c r="B29" s="17" t="str">
        <f ca="1">IFERROR(__xludf.DUMMYFUNCTION("""COMPUTED_VALUE"""),"Beachcombing: Exploring the Seashore")</f>
        <v>Beachcombing: Exploring the Seashore</v>
      </c>
      <c r="C29" s="16" t="str">
        <f ca="1">IFERROR(__xludf.DUMMYFUNCTION("""COMPUTED_VALUE"""),"N")</f>
        <v>N</v>
      </c>
      <c r="D29" s="17" t="str">
        <f ca="1">IFERROR(__xludf.DUMMYFUNCTION("""COMPUTED_VALUE"""),"Arnosky, Jim")</f>
        <v>Arnosky, Jim</v>
      </c>
      <c r="E29" s="18">
        <f ca="1">IFERROR(__xludf.DUMMYFUNCTION("""COMPUTED_VALUE"""),9780147511638)</f>
        <v>9780147511638</v>
      </c>
      <c r="F29" s="19"/>
      <c r="G29" s="19"/>
    </row>
    <row r="30" spans="1:7" ht="13.15">
      <c r="A30" s="16" t="str">
        <f ca="1">IFERROR(__xludf.DUMMYFUNCTION("""COMPUTED_VALUE"""),"4")</f>
        <v>4</v>
      </c>
      <c r="B30" s="17" t="str">
        <f ca="1">IFERROR(__xludf.DUMMYFUNCTION("""COMPUTED_VALUE"""),"Becoming Invisible: From Camouflage to Cloaks")</f>
        <v>Becoming Invisible: From Camouflage to Cloaks</v>
      </c>
      <c r="C30" s="16" t="str">
        <f ca="1">IFERROR(__xludf.DUMMYFUNCTION("""COMPUTED_VALUE"""),"N")</f>
        <v>N</v>
      </c>
      <c r="D30" s="17" t="str">
        <f ca="1">IFERROR(__xludf.DUMMYFUNCTION("""COMPUTED_VALUE"""),"Mooney, Carla")</f>
        <v>Mooney, Carla</v>
      </c>
      <c r="E30" s="18">
        <f ca="1">IFERROR(__xludf.DUMMYFUNCTION("""COMPUTED_VALUE"""),9781603570770)</f>
        <v>9781603570770</v>
      </c>
      <c r="F30" s="19"/>
      <c r="G30" s="19"/>
    </row>
    <row r="31" spans="1:7" ht="13.15">
      <c r="A31" s="16" t="str">
        <f ca="1">IFERROR(__xludf.DUMMYFUNCTION("""COMPUTED_VALUE"""),"4")</f>
        <v>4</v>
      </c>
      <c r="B31" s="17" t="str">
        <f ca="1">IFERROR(__xludf.DUMMYFUNCTION("""COMPUTED_VALUE"""),"Before It Wriggles Away")</f>
        <v>Before It Wriggles Away</v>
      </c>
      <c r="C31" s="16" t="str">
        <f ca="1">IFERROR(__xludf.DUMMYFUNCTION("""COMPUTED_VALUE"""),"N")</f>
        <v>N</v>
      </c>
      <c r="D31" s="17" t="str">
        <f ca="1">IFERROR(__xludf.DUMMYFUNCTION("""COMPUTED_VALUE"""),"Wong, Janet S.")</f>
        <v>Wong, Janet S.</v>
      </c>
      <c r="E31" s="18">
        <f ca="1">IFERROR(__xludf.DUMMYFUNCTION("""COMPUTED_VALUE"""),9781572748637)</f>
        <v>9781572748637</v>
      </c>
      <c r="F31" s="19"/>
      <c r="G31" s="19"/>
    </row>
    <row r="32" spans="1:7" ht="26.45">
      <c r="A32" s="16" t="str">
        <f ca="1">IFERROR(__xludf.DUMMYFUNCTION("""COMPUTED_VALUE"""),"4")</f>
        <v>4</v>
      </c>
      <c r="B32" s="17" t="str">
        <f ca="1">IFERROR(__xludf.DUMMYFUNCTION("""COMPUTED_VALUE"""),"Behind the Canvas: An Artist's Life")</f>
        <v>Behind the Canvas: An Artist's Life</v>
      </c>
      <c r="C32" s="16" t="str">
        <f ca="1">IFERROR(__xludf.DUMMYFUNCTION("""COMPUTED_VALUE"""),"N")</f>
        <v>N</v>
      </c>
      <c r="D32" s="17" t="str">
        <f ca="1">IFERROR(__xludf.DUMMYFUNCTION("""COMPUTED_VALUE"""),"Apodaca, Blanca &amp; Serwich, Michael")</f>
        <v>Apodaca, Blanca &amp; Serwich, Michael</v>
      </c>
      <c r="E32" s="18">
        <f ca="1">IFERROR(__xludf.DUMMYFUNCTION("""COMPUTED_VALUE"""),9781433348266)</f>
        <v>9781433348266</v>
      </c>
      <c r="F32" s="19"/>
      <c r="G32" s="19"/>
    </row>
    <row r="33" spans="1:7" ht="13.15">
      <c r="A33" s="16" t="str">
        <f ca="1">IFERROR(__xludf.DUMMYFUNCTION("""COMPUTED_VALUE"""),"4")</f>
        <v>4</v>
      </c>
      <c r="B33" s="17" t="str">
        <f ca="1">IFERROR(__xludf.DUMMYFUNCTION("""COMPUTED_VALUE"""),"Being Teddy Roosevelt")</f>
        <v>Being Teddy Roosevelt</v>
      </c>
      <c r="C33" s="16" t="str">
        <f ca="1">IFERROR(__xludf.DUMMYFUNCTION("""COMPUTED_VALUE"""),"F")</f>
        <v>F</v>
      </c>
      <c r="D33" s="17" t="str">
        <f ca="1">IFERROR(__xludf.DUMMYFUNCTION("""COMPUTED_VALUE"""),"Mills, Claudia")</f>
        <v>Mills, Claudia</v>
      </c>
      <c r="E33" s="18">
        <f ca="1">IFERROR(__xludf.DUMMYFUNCTION("""COMPUTED_VALUE"""),9780312640187)</f>
        <v>9780312640187</v>
      </c>
      <c r="F33" s="19"/>
      <c r="G33" s="19"/>
    </row>
    <row r="34" spans="1:7" ht="13.15">
      <c r="A34" s="16" t="str">
        <f ca="1">IFERROR(__xludf.DUMMYFUNCTION("""COMPUTED_VALUE"""),"4")</f>
        <v>4</v>
      </c>
      <c r="B34" s="17" t="str">
        <f ca="1">IFERROR(__xludf.DUMMYFUNCTION("""COMPUTED_VALUE"""),"Beowulf: Monster Slayer")</f>
        <v>Beowulf: Monster Slayer</v>
      </c>
      <c r="C34" s="16" t="str">
        <f ca="1">IFERROR(__xludf.DUMMYFUNCTION("""COMPUTED_VALUE"""),"F")</f>
        <v>F</v>
      </c>
      <c r="D34" s="17" t="str">
        <f ca="1">IFERROR(__xludf.DUMMYFUNCTION("""COMPUTED_VALUE"""),"Storrie, Paul D.")</f>
        <v>Storrie, Paul D.</v>
      </c>
      <c r="E34" s="18">
        <f ca="1">IFERROR(__xludf.DUMMYFUNCTION("""COMPUTED_VALUE"""),9780822585121)</f>
        <v>9780822585121</v>
      </c>
      <c r="F34" s="19"/>
      <c r="G34" s="19"/>
    </row>
    <row r="35" spans="1:7" ht="13.15">
      <c r="A35" s="16" t="str">
        <f ca="1">IFERROR(__xludf.DUMMYFUNCTION("""COMPUTED_VALUE"""),"4")</f>
        <v>4</v>
      </c>
      <c r="B35" s="17" t="str">
        <f ca="1">IFERROR(__xludf.DUMMYFUNCTION("""COMPUTED_VALUE"""),"The BFG")</f>
        <v>The BFG</v>
      </c>
      <c r="C35" s="16" t="str">
        <f ca="1">IFERROR(__xludf.DUMMYFUNCTION("""COMPUTED_VALUE"""),"F")</f>
        <v>F</v>
      </c>
      <c r="D35" s="17" t="str">
        <f ca="1">IFERROR(__xludf.DUMMYFUNCTION("""COMPUTED_VALUE"""),"Dahl, Roald")</f>
        <v>Dahl, Roald</v>
      </c>
      <c r="E35" s="18">
        <f ca="1">IFERROR(__xludf.DUMMYFUNCTION("""COMPUTED_VALUE"""),9780142410387)</f>
        <v>9780142410387</v>
      </c>
      <c r="F35" s="19"/>
      <c r="G35" s="19"/>
    </row>
    <row r="36" spans="1:7" ht="13.15">
      <c r="A36" s="16" t="str">
        <f ca="1">IFERROR(__xludf.DUMMYFUNCTION("""COMPUTED_VALUE"""),"4")</f>
        <v>4</v>
      </c>
      <c r="B36" s="17" t="str">
        <f ca="1">IFERROR(__xludf.DUMMYFUNCTION("""COMPUTED_VALUE"""),"Big Fantastic Earth")</f>
        <v>Big Fantastic Earth</v>
      </c>
      <c r="C36" s="16" t="str">
        <f ca="1">IFERROR(__xludf.DUMMYFUNCTION("""COMPUTED_VALUE"""),"N")</f>
        <v>N</v>
      </c>
      <c r="D36" s="17" t="str">
        <f ca="1">IFERROR(__xludf.DUMMYFUNCTION("""COMPUTED_VALUE"""),"Green, Jen")</f>
        <v>Green, Jen</v>
      </c>
      <c r="E36" s="18">
        <f ca="1">IFERROR(__xludf.DUMMYFUNCTION("""COMPUTED_VALUE"""),9781465444127)</f>
        <v>9781465444127</v>
      </c>
      <c r="F36" s="19"/>
      <c r="G36" s="19"/>
    </row>
    <row r="37" spans="1:7" ht="13.15">
      <c r="A37" s="16" t="str">
        <f ca="1">IFERROR(__xludf.DUMMYFUNCTION("""COMPUTED_VALUE"""),"4")</f>
        <v>4</v>
      </c>
      <c r="B37" s="17" t="str">
        <f ca="1">IFERROR(__xludf.DUMMYFUNCTION("""COMPUTED_VALUE"""),"Bizarre Animals")</f>
        <v>Bizarre Animals</v>
      </c>
      <c r="C37" s="16" t="str">
        <f ca="1">IFERROR(__xludf.DUMMYFUNCTION("""COMPUTED_VALUE"""),"N")</f>
        <v>N</v>
      </c>
      <c r="D37" s="17" t="str">
        <f ca="1">IFERROR(__xludf.DUMMYFUNCTION("""COMPUTED_VALUE"""),"Bradley, Timothy")</f>
        <v>Bradley, Timothy</v>
      </c>
      <c r="E37" s="18">
        <f ca="1">IFERROR(__xludf.DUMMYFUNCTION("""COMPUTED_VALUE"""),9781433348617)</f>
        <v>9781433348617</v>
      </c>
      <c r="F37" s="19"/>
      <c r="G37" s="19"/>
    </row>
    <row r="38" spans="1:7" ht="13.15">
      <c r="A38" s="16" t="str">
        <f ca="1">IFERROR(__xludf.DUMMYFUNCTION("""COMPUTED_VALUE"""),"4")</f>
        <v>4</v>
      </c>
      <c r="B38" s="17" t="str">
        <f ca="1">IFERROR(__xludf.DUMMYFUNCTION("""COMPUTED_VALUE"""),"Blackberries in the Dark")</f>
        <v>Blackberries in the Dark</v>
      </c>
      <c r="C38" s="16" t="str">
        <f ca="1">IFERROR(__xludf.DUMMYFUNCTION("""COMPUTED_VALUE"""),"F")</f>
        <v>F</v>
      </c>
      <c r="D38" s="17" t="str">
        <f ca="1">IFERROR(__xludf.DUMMYFUNCTION("""COMPUTED_VALUE"""),"Jukes, Mavis")</f>
        <v>Jukes, Mavis</v>
      </c>
      <c r="E38" s="18">
        <f ca="1">IFERROR(__xludf.DUMMYFUNCTION("""COMPUTED_VALUE"""),9780679865704)</f>
        <v>9780679865704</v>
      </c>
      <c r="F38" s="19"/>
      <c r="G38" s="19"/>
    </row>
    <row r="39" spans="1:7" ht="13.15">
      <c r="A39" s="16" t="str">
        <f ca="1">IFERROR(__xludf.DUMMYFUNCTION("""COMPUTED_VALUE"""),"4")</f>
        <v>4</v>
      </c>
      <c r="B39" s="17" t="str">
        <f ca="1">IFERROR(__xludf.DUMMYFUNCTION("""COMPUTED_VALUE"""),"Blazing Courage")</f>
        <v>Blazing Courage</v>
      </c>
      <c r="C39" s="16" t="str">
        <f ca="1">IFERROR(__xludf.DUMMYFUNCTION("""COMPUTED_VALUE"""),"F")</f>
        <v>F</v>
      </c>
      <c r="D39" s="17" t="str">
        <f ca="1">IFERROR(__xludf.DUMMYFUNCTION("""COMPUTED_VALUE"""),"Milner Halls, Kelly")</f>
        <v>Milner Halls, Kelly</v>
      </c>
      <c r="E39" s="18">
        <f ca="1">IFERROR(__xludf.DUMMYFUNCTION("""COMPUTED_VALUE"""),9781467793995)</f>
        <v>9781467793995</v>
      </c>
      <c r="F39" s="19"/>
      <c r="G39" s="19"/>
    </row>
    <row r="40" spans="1:7" ht="13.15">
      <c r="A40" s="16" t="str">
        <f ca="1">IFERROR(__xludf.DUMMYFUNCTION("""COMPUTED_VALUE"""),"4")</f>
        <v>4</v>
      </c>
      <c r="B40" s="17" t="str">
        <f ca="1">IFERROR(__xludf.DUMMYFUNCTION("""COMPUTED_VALUE"""),"The Blue Hill Meadows")</f>
        <v>The Blue Hill Meadows</v>
      </c>
      <c r="C40" s="16" t="str">
        <f ca="1">IFERROR(__xludf.DUMMYFUNCTION("""COMPUTED_VALUE"""),"F")</f>
        <v>F</v>
      </c>
      <c r="D40" s="17" t="str">
        <f ca="1">IFERROR(__xludf.DUMMYFUNCTION("""COMPUTED_VALUE"""),"Rylant, Cynthia")</f>
        <v>Rylant, Cynthia</v>
      </c>
      <c r="E40" s="18">
        <f ca="1">IFERROR(__xludf.DUMMYFUNCTION("""COMPUTED_VALUE"""),9780152024673)</f>
        <v>9780152024673</v>
      </c>
      <c r="F40" s="19"/>
      <c r="G40" s="19"/>
    </row>
    <row r="41" spans="1:7" ht="13.15">
      <c r="A41" s="16" t="str">
        <f ca="1">IFERROR(__xludf.DUMMYFUNCTION("""COMPUTED_VALUE"""),"4")</f>
        <v>4</v>
      </c>
      <c r="B41" s="17" t="str">
        <f ca="1">IFERROR(__xludf.DUMMYFUNCTION("""COMPUTED_VALUE"""),"The Boy of a Thousand Faces")</f>
        <v>The Boy of a Thousand Faces</v>
      </c>
      <c r="C41" s="16" t="str">
        <f ca="1">IFERROR(__xludf.DUMMYFUNCTION("""COMPUTED_VALUE"""),"F")</f>
        <v>F</v>
      </c>
      <c r="D41" s="17" t="str">
        <f ca="1">IFERROR(__xludf.DUMMYFUNCTION("""COMPUTED_VALUE"""),"Selznick, Brian")</f>
        <v>Selznick, Brian</v>
      </c>
      <c r="E41" s="18">
        <f ca="1">IFERROR(__xludf.DUMMYFUNCTION("""COMPUTED_VALUE"""),9780064410809)</f>
        <v>9780064410809</v>
      </c>
      <c r="F41" s="19"/>
      <c r="G41" s="19"/>
    </row>
    <row r="42" spans="1:7" ht="13.15">
      <c r="A42" s="16" t="str">
        <f ca="1">IFERROR(__xludf.DUMMYFUNCTION("""COMPUTED_VALUE"""),"4")</f>
        <v>4</v>
      </c>
      <c r="B42" s="17" t="str">
        <f ca="1">IFERROR(__xludf.DUMMYFUNCTION("""COMPUTED_VALUE"""),"Boys Against Girls")</f>
        <v>Boys Against Girls</v>
      </c>
      <c r="C42" s="16" t="str">
        <f ca="1">IFERROR(__xludf.DUMMYFUNCTION("""COMPUTED_VALUE"""),"F")</f>
        <v>F</v>
      </c>
      <c r="D42" s="17" t="str">
        <f ca="1">IFERROR(__xludf.DUMMYFUNCTION("""COMPUTED_VALUE"""),"Naylor, Phyllis Reynolds")</f>
        <v>Naylor, Phyllis Reynolds</v>
      </c>
      <c r="E42" s="18">
        <f ca="1">IFERROR(__xludf.DUMMYFUNCTION("""COMPUTED_VALUE"""),9780440411239)</f>
        <v>9780440411239</v>
      </c>
      <c r="F42" s="19"/>
      <c r="G42" s="19"/>
    </row>
    <row r="43" spans="1:7" ht="13.15">
      <c r="A43" s="16" t="str">
        <f ca="1">IFERROR(__xludf.DUMMYFUNCTION("""COMPUTED_VALUE"""),"4")</f>
        <v>4</v>
      </c>
      <c r="B43" s="17" t="str">
        <f ca="1">IFERROR(__xludf.DUMMYFUNCTION("""COMPUTED_VALUE"""),"Bug Builders")</f>
        <v>Bug Builders</v>
      </c>
      <c r="C43" s="16" t="str">
        <f ca="1">IFERROR(__xludf.DUMMYFUNCTION("""COMPUTED_VALUE"""),"N")</f>
        <v>N</v>
      </c>
      <c r="D43" s="17" t="str">
        <f ca="1">IFERROR(__xludf.DUMMYFUNCTION("""COMPUTED_VALUE"""),"Bradley, Timothy")</f>
        <v>Bradley, Timothy</v>
      </c>
      <c r="E43" s="18">
        <f ca="1">IFERROR(__xludf.DUMMYFUNCTION("""COMPUTED_VALUE"""),9781433348211)</f>
        <v>9781433348211</v>
      </c>
      <c r="F43" s="19"/>
      <c r="G43" s="19"/>
    </row>
    <row r="44" spans="1:7" ht="13.15">
      <c r="A44" s="16" t="str">
        <f ca="1">IFERROR(__xludf.DUMMYFUNCTION("""COMPUTED_VALUE"""),"4")</f>
        <v>4</v>
      </c>
      <c r="B44" s="17" t="str">
        <f ca="1">IFERROR(__xludf.DUMMYFUNCTION("""COMPUTED_VALUE"""),"Building an Igloo")</f>
        <v>Building an Igloo</v>
      </c>
      <c r="C44" s="16" t="str">
        <f ca="1">IFERROR(__xludf.DUMMYFUNCTION("""COMPUTED_VALUE"""),"N")</f>
        <v>N</v>
      </c>
      <c r="D44" s="17" t="str">
        <f ca="1">IFERROR(__xludf.DUMMYFUNCTION("""COMPUTED_VALUE"""),"Steltzer, Ulli")</f>
        <v>Steltzer, Ulli</v>
      </c>
      <c r="E44" s="18">
        <f ca="1">IFERROR(__xludf.DUMMYFUNCTION("""COMPUTED_VALUE"""),9780805063134)</f>
        <v>9780805063134</v>
      </c>
      <c r="F44" s="19"/>
      <c r="G44" s="19"/>
    </row>
    <row r="45" spans="1:7" ht="13.15">
      <c r="A45" s="16" t="str">
        <f ca="1">IFERROR(__xludf.DUMMYFUNCTION("""COMPUTED_VALUE"""),"4")</f>
        <v>4</v>
      </c>
      <c r="B45" s="17" t="str">
        <f ca="1">IFERROR(__xludf.DUMMYFUNCTION("""COMPUTED_VALUE"""),"Buildings in Disguise")</f>
        <v>Buildings in Disguise</v>
      </c>
      <c r="C45" s="16" t="str">
        <f ca="1">IFERROR(__xludf.DUMMYFUNCTION("""COMPUTED_VALUE"""),"N")</f>
        <v>N</v>
      </c>
      <c r="D45" s="17" t="str">
        <f ca="1">IFERROR(__xludf.DUMMYFUNCTION("""COMPUTED_VALUE"""),"Arbogast, Joan Marie")</f>
        <v>Arbogast, Joan Marie</v>
      </c>
      <c r="E45" s="18">
        <f ca="1">IFERROR(__xludf.DUMMYFUNCTION("""COMPUTED_VALUE"""),9781590788240)</f>
        <v>9781590788240</v>
      </c>
      <c r="F45" s="19"/>
      <c r="G45" s="19"/>
    </row>
    <row r="46" spans="1:7" ht="13.15">
      <c r="A46" s="16" t="str">
        <f ca="1">IFERROR(__xludf.DUMMYFUNCTION("""COMPUTED_VALUE"""),"4")</f>
        <v>4</v>
      </c>
      <c r="B46" s="17" t="str">
        <f ca="1">IFERROR(__xludf.DUMMYFUNCTION("""COMPUTED_VALUE"""),"Bunnicula Meets Edgar Allan Crow")</f>
        <v>Bunnicula Meets Edgar Allan Crow</v>
      </c>
      <c r="C46" s="16" t="str">
        <f ca="1">IFERROR(__xludf.DUMMYFUNCTION("""COMPUTED_VALUE"""),"F")</f>
        <v>F</v>
      </c>
      <c r="D46" s="17" t="str">
        <f ca="1">IFERROR(__xludf.DUMMYFUNCTION("""COMPUTED_VALUE"""),"Howe, James")</f>
        <v>Howe, James</v>
      </c>
      <c r="E46" s="18">
        <f ca="1">IFERROR(__xludf.DUMMYFUNCTION("""COMPUTED_VALUE"""),9781416914730)</f>
        <v>9781416914730</v>
      </c>
      <c r="F46" s="19"/>
      <c r="G46" s="19"/>
    </row>
    <row r="47" spans="1:7" ht="13.15">
      <c r="A47" s="16" t="str">
        <f ca="1">IFERROR(__xludf.DUMMYFUNCTION("""COMPUTED_VALUE"""),"4")</f>
        <v>4</v>
      </c>
      <c r="B47" s="17" t="str">
        <f ca="1">IFERROR(__xludf.DUMMYFUNCTION("""COMPUTED_VALUE"""),"Button Down")</f>
        <v>Button Down</v>
      </c>
      <c r="C47" s="16" t="str">
        <f ca="1">IFERROR(__xludf.DUMMYFUNCTION("""COMPUTED_VALUE"""),"F")</f>
        <v>F</v>
      </c>
      <c r="D47" s="17" t="str">
        <f ca="1">IFERROR(__xludf.DUMMYFUNCTION("""COMPUTED_VALUE"""),"Ylvisaker, Anne")</f>
        <v>Ylvisaker, Anne</v>
      </c>
      <c r="E47" s="18">
        <f ca="1">IFERROR(__xludf.DUMMYFUNCTION("""COMPUTED_VALUE"""),9780763664633)</f>
        <v>9780763664633</v>
      </c>
      <c r="F47" s="19"/>
      <c r="G47" s="19"/>
    </row>
    <row r="48" spans="1:7" ht="13.15">
      <c r="A48" s="16" t="str">
        <f ca="1">IFERROR(__xludf.DUMMYFUNCTION("""COMPUTED_VALUE"""),"4")</f>
        <v>4</v>
      </c>
      <c r="B48" s="17" t="str">
        <f ca="1">IFERROR(__xludf.DUMMYFUNCTION("""COMPUTED_VALUE"""),"Button Hill")</f>
        <v>Button Hill</v>
      </c>
      <c r="C48" s="16" t="str">
        <f ca="1">IFERROR(__xludf.DUMMYFUNCTION("""COMPUTED_VALUE"""),"F")</f>
        <v>F</v>
      </c>
      <c r="D48" s="17" t="str">
        <f ca="1">IFERROR(__xludf.DUMMYFUNCTION("""COMPUTED_VALUE"""),"Bradford, Michael")</f>
        <v>Bradford, Michael</v>
      </c>
      <c r="E48" s="18">
        <f ca="1">IFERROR(__xludf.DUMMYFUNCTION("""COMPUTED_VALUE"""),9781459807556)</f>
        <v>9781459807556</v>
      </c>
      <c r="F48" s="19"/>
      <c r="G48" s="19"/>
    </row>
    <row r="49" spans="1:7" ht="13.15">
      <c r="A49" s="16" t="str">
        <f ca="1">IFERROR(__xludf.DUMMYFUNCTION("""COMPUTED_VALUE"""),"4")</f>
        <v>4</v>
      </c>
      <c r="B49" s="17" t="str">
        <f ca="1">IFERROR(__xludf.DUMMYFUNCTION("""COMPUTED_VALUE"""),"Capybaras After Dark")</f>
        <v>Capybaras After Dark</v>
      </c>
      <c r="C49" s="16" t="str">
        <f ca="1">IFERROR(__xludf.DUMMYFUNCTION("""COMPUTED_VALUE"""),"N")</f>
        <v>N</v>
      </c>
      <c r="D49" s="17" t="str">
        <f ca="1">IFERROR(__xludf.DUMMYFUNCTION("""COMPUTED_VALUE"""),"Niver, Heather M. Moore")</f>
        <v>Niver, Heather M. Moore</v>
      </c>
      <c r="E49" s="18">
        <f ca="1">IFERROR(__xludf.DUMMYFUNCTION("""COMPUTED_VALUE"""),9780766077331)</f>
        <v>9780766077331</v>
      </c>
      <c r="F49" s="19"/>
      <c r="G49" s="19"/>
    </row>
    <row r="50" spans="1:7" ht="13.15">
      <c r="A50" s="16" t="str">
        <f ca="1">IFERROR(__xludf.DUMMYFUNCTION("""COMPUTED_VALUE"""),"4")</f>
        <v>4</v>
      </c>
      <c r="B50" s="17" t="str">
        <f ca="1">IFERROR(__xludf.DUMMYFUNCTION("""COMPUTED_VALUE"""),"Cat and Mouse in a Haunted House")</f>
        <v>Cat and Mouse in a Haunted House</v>
      </c>
      <c r="C50" s="16" t="str">
        <f ca="1">IFERROR(__xludf.DUMMYFUNCTION("""COMPUTED_VALUE"""),"F")</f>
        <v>F</v>
      </c>
      <c r="D50" s="17" t="str">
        <f ca="1">IFERROR(__xludf.DUMMYFUNCTION("""COMPUTED_VALUE"""),"Stilton, Geronimo")</f>
        <v>Stilton, Geronimo</v>
      </c>
      <c r="E50" s="18">
        <f ca="1">IFERROR(__xludf.DUMMYFUNCTION("""COMPUTED_VALUE"""),9780439559652)</f>
        <v>9780439559652</v>
      </c>
      <c r="F50" s="19"/>
      <c r="G50" s="19"/>
    </row>
    <row r="51" spans="1:7" ht="13.15">
      <c r="A51" s="16" t="str">
        <f ca="1">IFERROR(__xludf.DUMMYFUNCTION("""COMPUTED_VALUE"""),"4")</f>
        <v>4</v>
      </c>
      <c r="B51" s="17" t="str">
        <f ca="1">IFERROR(__xludf.DUMMYFUNCTION("""COMPUTED_VALUE"""),"Charlie Bumpers vs. the Perfect Little Turkey")</f>
        <v>Charlie Bumpers vs. the Perfect Little Turkey</v>
      </c>
      <c r="C51" s="16" t="str">
        <f ca="1">IFERROR(__xludf.DUMMYFUNCTION("""COMPUTED_VALUE"""),"F")</f>
        <v>F</v>
      </c>
      <c r="D51" s="17" t="str">
        <f ca="1">IFERROR(__xludf.DUMMYFUNCTION("""COMPUTED_VALUE"""),"Harley, Bill")</f>
        <v>Harley, Bill</v>
      </c>
      <c r="E51" s="18">
        <f ca="1">IFERROR(__xludf.DUMMYFUNCTION("""COMPUTED_VALUE"""),9781561459636)</f>
        <v>9781561459636</v>
      </c>
      <c r="F51" s="19"/>
      <c r="G51" s="19"/>
    </row>
    <row r="52" spans="1:7" ht="13.15">
      <c r="A52" s="16" t="str">
        <f ca="1">IFERROR(__xludf.DUMMYFUNCTION("""COMPUTED_VALUE"""),"4")</f>
        <v>4</v>
      </c>
      <c r="B52" s="17" t="str">
        <f ca="1">IFERROR(__xludf.DUMMYFUNCTION("""COMPUTED_VALUE"""),"China: Land of the Emperor's Great Wall")</f>
        <v>China: Land of the Emperor's Great Wall</v>
      </c>
      <c r="C52" s="16" t="str">
        <f ca="1">IFERROR(__xludf.DUMMYFUNCTION("""COMPUTED_VALUE"""),"N")</f>
        <v>N</v>
      </c>
      <c r="D52" s="17" t="str">
        <f ca="1">IFERROR(__xludf.DUMMYFUNCTION("""COMPUTED_VALUE"""),"Osborne, Mary Pope")</f>
        <v>Osborne, Mary Pope</v>
      </c>
      <c r="E52" s="18">
        <f ca="1">IFERROR(__xludf.DUMMYFUNCTION("""COMPUTED_VALUE"""),9780385386357)</f>
        <v>9780385386357</v>
      </c>
      <c r="F52" s="19"/>
      <c r="G52" s="19"/>
    </row>
    <row r="53" spans="1:7" ht="13.15">
      <c r="A53" s="16" t="str">
        <f ca="1">IFERROR(__xludf.DUMMYFUNCTION("""COMPUTED_VALUE"""),"4")</f>
        <v>4</v>
      </c>
      <c r="B53" s="17" t="str">
        <f ca="1">IFERROR(__xludf.DUMMYFUNCTION("""COMPUTED_VALUE"""),"Chocolate Fever")</f>
        <v>Chocolate Fever</v>
      </c>
      <c r="C53" s="16" t="str">
        <f ca="1">IFERROR(__xludf.DUMMYFUNCTION("""COMPUTED_VALUE"""),"F")</f>
        <v>F</v>
      </c>
      <c r="D53" s="17" t="str">
        <f ca="1">IFERROR(__xludf.DUMMYFUNCTION("""COMPUTED_VALUE"""),"Smith, Robert Kimmel")</f>
        <v>Smith, Robert Kimmel</v>
      </c>
      <c r="E53" s="18">
        <f ca="1">IFERROR(__xludf.DUMMYFUNCTION("""COMPUTED_VALUE"""),9780142405956)</f>
        <v>9780142405956</v>
      </c>
      <c r="F53" s="19"/>
      <c r="G53" s="19"/>
    </row>
    <row r="54" spans="1:7" ht="13.15">
      <c r="A54" s="16" t="str">
        <f ca="1">IFERROR(__xludf.DUMMYFUNCTION("""COMPUTED_VALUE"""),"4")</f>
        <v>4</v>
      </c>
      <c r="B54" s="17" t="str">
        <f ca="1">IFERROR(__xludf.DUMMYFUNCTION("""COMPUTED_VALUE"""),"Clara Barton: Angel of the Battlefield")</f>
        <v>Clara Barton: Angel of the Battlefield</v>
      </c>
      <c r="C54" s="16" t="str">
        <f ca="1">IFERROR(__xludf.DUMMYFUNCTION("""COMPUTED_VALUE"""),"N")</f>
        <v>N</v>
      </c>
      <c r="D54" s="17" t="str">
        <f ca="1">IFERROR(__xludf.DUMMYFUNCTION("""COMPUTED_VALUE"""),"Hollingsworth, Tamara")</f>
        <v>Hollingsworth, Tamara</v>
      </c>
      <c r="E54" s="18">
        <f ca="1">IFERROR(__xludf.DUMMYFUNCTION("""COMPUTED_VALUE"""),9781433315923)</f>
        <v>9781433315923</v>
      </c>
      <c r="F54" s="19"/>
      <c r="G54" s="19"/>
    </row>
    <row r="55" spans="1:7" ht="13.15">
      <c r="A55" s="16" t="str">
        <f ca="1">IFERROR(__xludf.DUMMYFUNCTION("""COMPUTED_VALUE"""),"4")</f>
        <v>4</v>
      </c>
      <c r="B55" s="17" t="str">
        <f ca="1">IFERROR(__xludf.DUMMYFUNCTION("""COMPUTED_VALUE"""),"Cliques, Phonies, &amp; Other Baloney")</f>
        <v>Cliques, Phonies, &amp; Other Baloney</v>
      </c>
      <c r="C55" s="16" t="str">
        <f ca="1">IFERROR(__xludf.DUMMYFUNCTION("""COMPUTED_VALUE"""),"N")</f>
        <v>N</v>
      </c>
      <c r="D55" s="17" t="str">
        <f ca="1">IFERROR(__xludf.DUMMYFUNCTION("""COMPUTED_VALUE"""),"Romain, Trevor")</f>
        <v>Romain, Trevor</v>
      </c>
      <c r="E55" s="18">
        <f ca="1">IFERROR(__xludf.DUMMYFUNCTION("""COMPUTED_VALUE"""),9781575420455)</f>
        <v>9781575420455</v>
      </c>
      <c r="F55" s="19"/>
      <c r="G55" s="19"/>
    </row>
    <row r="56" spans="1:7" ht="13.15">
      <c r="A56" s="16" t="str">
        <f ca="1">IFERROR(__xludf.DUMMYFUNCTION("""COMPUTED_VALUE"""),"4")</f>
        <v>4</v>
      </c>
      <c r="B56" s="17" t="str">
        <f ca="1">IFERROR(__xludf.DUMMYFUNCTION("""COMPUTED_VALUE"""),"Could We Survive on Other Planets?")</f>
        <v>Could We Survive on Other Planets?</v>
      </c>
      <c r="C56" s="16" t="str">
        <f ca="1">IFERROR(__xludf.DUMMYFUNCTION("""COMPUTED_VALUE"""),"N")</f>
        <v>N</v>
      </c>
      <c r="D56" s="17" t="str">
        <f ca="1">IFERROR(__xludf.DUMMYFUNCTION("""COMPUTED_VALUE"""),"Wood, Alix")</f>
        <v>Wood, Alix</v>
      </c>
      <c r="E56" s="18">
        <f ca="1">IFERROR(__xludf.DUMMYFUNCTION("""COMPUTED_VALUE"""),9781499408676)</f>
        <v>9781499408676</v>
      </c>
      <c r="F56" s="19"/>
      <c r="G56" s="19"/>
    </row>
    <row r="57" spans="1:7" ht="13.15">
      <c r="A57" s="16" t="str">
        <f ca="1">IFERROR(__xludf.DUMMYFUNCTION("""COMPUTED_VALUE"""),"4")</f>
        <v>4</v>
      </c>
      <c r="B57" s="17" t="str">
        <f ca="1">IFERROR(__xludf.DUMMYFUNCTION("""COMPUTED_VALUE"""),"Coyotes")</f>
        <v>Coyotes</v>
      </c>
      <c r="C57" s="16" t="str">
        <f ca="1">IFERROR(__xludf.DUMMYFUNCTION("""COMPUTED_VALUE"""),"N")</f>
        <v>N</v>
      </c>
      <c r="D57" s="17" t="str">
        <f ca="1">IFERROR(__xludf.DUMMYFUNCTION("""COMPUTED_VALUE"""),"Gagne, Tammy")</f>
        <v>Gagne, Tammy</v>
      </c>
      <c r="E57" s="18">
        <f ca="1">IFERROR(__xludf.DUMMYFUNCTION("""COMPUTED_VALUE"""),9781635170900)</f>
        <v>9781635170900</v>
      </c>
      <c r="F57" s="19"/>
      <c r="G57" s="19"/>
    </row>
    <row r="58" spans="1:7" ht="13.15">
      <c r="A58" s="16" t="str">
        <f ca="1">IFERROR(__xludf.DUMMYFUNCTION("""COMPUTED_VALUE"""),"4")</f>
        <v>4</v>
      </c>
      <c r="B58" s="17" t="str">
        <f ca="1">IFERROR(__xludf.DUMMYFUNCTION("""COMPUTED_VALUE"""),"The Curtain Went Up, My Pants Fell Down")</f>
        <v>The Curtain Went Up, My Pants Fell Down</v>
      </c>
      <c r="C58" s="16" t="str">
        <f ca="1">IFERROR(__xludf.DUMMYFUNCTION("""COMPUTED_VALUE"""),"F")</f>
        <v>F</v>
      </c>
      <c r="D58" s="17" t="str">
        <f ca="1">IFERROR(__xludf.DUMMYFUNCTION("""COMPUTED_VALUE"""),"Winkler, Henry &amp; Oliver, Lin")</f>
        <v>Winkler, Henry &amp; Oliver, Lin</v>
      </c>
      <c r="E58" s="18">
        <f ca="1">IFERROR(__xludf.DUMMYFUNCTION("""COMPUTED_VALUE"""),9780448442679)</f>
        <v>9780448442679</v>
      </c>
      <c r="F58" s="19"/>
      <c r="G58" s="19"/>
    </row>
    <row r="59" spans="1:7" ht="13.15">
      <c r="A59" s="16" t="str">
        <f ca="1">IFERROR(__xludf.DUMMYFUNCTION("""COMPUTED_VALUE"""),"4")</f>
        <v>4</v>
      </c>
      <c r="B59" s="17" t="str">
        <f ca="1">IFERROR(__xludf.DUMMYFUNCTION("""COMPUTED_VALUE"""),"Dancing Bees and Other Amazing Communicators")</f>
        <v>Dancing Bees and Other Amazing Communicators</v>
      </c>
      <c r="C59" s="16" t="str">
        <f ca="1">IFERROR(__xludf.DUMMYFUNCTION("""COMPUTED_VALUE"""),"N")</f>
        <v>N</v>
      </c>
      <c r="D59" s="17" t="str">
        <f ca="1">IFERROR(__xludf.DUMMYFUNCTION("""COMPUTED_VALUE"""),"Lindeen, Mary")</f>
        <v>Lindeen, Mary</v>
      </c>
      <c r="E59" s="18">
        <f ca="1">IFERROR(__xludf.DUMMYFUNCTION("""COMPUTED_VALUE"""),9781512431148)</f>
        <v>9781512431148</v>
      </c>
      <c r="F59" s="19"/>
      <c r="G59" s="19"/>
    </row>
    <row r="60" spans="1:7" ht="13.15">
      <c r="A60" s="16" t="str">
        <f ca="1">IFERROR(__xludf.DUMMYFUNCTION("""COMPUTED_VALUE"""),"4")</f>
        <v>4</v>
      </c>
      <c r="B60" s="17" t="str">
        <f ca="1">IFERROR(__xludf.DUMMYFUNCTION("""COMPUTED_VALUE"""),"A Day at Work with a Chemist")</f>
        <v>A Day at Work with a Chemist</v>
      </c>
      <c r="C60" s="16" t="str">
        <f ca="1">IFERROR(__xludf.DUMMYFUNCTION("""COMPUTED_VALUE"""),"N")</f>
        <v>N</v>
      </c>
      <c r="D60" s="17" t="str">
        <f ca="1">IFERROR(__xludf.DUMMYFUNCTION("""COMPUTED_VALUE"""),"Gaddi, Rosalie")</f>
        <v>Gaddi, Rosalie</v>
      </c>
      <c r="E60" s="18">
        <f ca="1">IFERROR(__xludf.DUMMYFUNCTION("""COMPUTED_VALUE"""),9781508144021)</f>
        <v>9781508144021</v>
      </c>
      <c r="F60" s="19"/>
      <c r="G60" s="19"/>
    </row>
    <row r="61" spans="1:7" ht="13.15">
      <c r="A61" s="16" t="str">
        <f ca="1">IFERROR(__xludf.DUMMYFUNCTION("""COMPUTED_VALUE"""),"4")</f>
        <v>4</v>
      </c>
      <c r="B61" s="17" t="str">
        <f ca="1">IFERROR(__xludf.DUMMYFUNCTION("""COMPUTED_VALUE"""),"A Day at Work with a Geologist")</f>
        <v>A Day at Work with a Geologist</v>
      </c>
      <c r="C61" s="16" t="str">
        <f ca="1">IFERROR(__xludf.DUMMYFUNCTION("""COMPUTED_VALUE"""),"N")</f>
        <v>N</v>
      </c>
      <c r="D61" s="17" t="str">
        <f ca="1">IFERROR(__xludf.DUMMYFUNCTION("""COMPUTED_VALUE"""),"Letts, Amelia")</f>
        <v>Letts, Amelia</v>
      </c>
      <c r="E61" s="18">
        <f ca="1">IFERROR(__xludf.DUMMYFUNCTION("""COMPUTED_VALUE"""),9781508144069)</f>
        <v>9781508144069</v>
      </c>
      <c r="F61" s="19"/>
      <c r="G61" s="19"/>
    </row>
    <row r="62" spans="1:7" ht="13.15">
      <c r="A62" s="16" t="str">
        <f ca="1">IFERROR(__xludf.DUMMYFUNCTION("""COMPUTED_VALUE"""),"4")</f>
        <v>4</v>
      </c>
      <c r="B62" s="17" t="str">
        <f ca="1">IFERROR(__xludf.DUMMYFUNCTION("""COMPUTED_VALUE"""),"Detecting Floods")</f>
        <v>Detecting Floods</v>
      </c>
      <c r="C62" s="16" t="str">
        <f ca="1">IFERROR(__xludf.DUMMYFUNCTION("""COMPUTED_VALUE"""),"N")</f>
        <v>N</v>
      </c>
      <c r="D62" s="17" t="str">
        <f ca="1">IFERROR(__xludf.DUMMYFUNCTION("""COMPUTED_VALUE"""),"Ventura, Marne")</f>
        <v>Ventura, Marne</v>
      </c>
      <c r="E62" s="18">
        <f ca="1">IFERROR(__xludf.DUMMYFUNCTION("""COMPUTED_VALUE"""),9781635170580)</f>
        <v>9781635170580</v>
      </c>
      <c r="F62" s="19"/>
      <c r="G62" s="19"/>
    </row>
    <row r="63" spans="1:7" ht="13.15">
      <c r="A63" s="16" t="str">
        <f ca="1">IFERROR(__xludf.DUMMYFUNCTION("""COMPUTED_VALUE"""),"4")</f>
        <v>4</v>
      </c>
      <c r="B63" s="17" t="str">
        <f ca="1">IFERROR(__xludf.DUMMYFUNCTION("""COMPUTED_VALUE"""),"Detecting Hurricanes")</f>
        <v>Detecting Hurricanes</v>
      </c>
      <c r="C63" s="16" t="str">
        <f ca="1">IFERROR(__xludf.DUMMYFUNCTION("""COMPUTED_VALUE"""),"N")</f>
        <v>N</v>
      </c>
      <c r="D63" s="17" t="str">
        <f ca="1">IFERROR(__xludf.DUMMYFUNCTION("""COMPUTED_VALUE"""),"Bell, Samantha S.")</f>
        <v>Bell, Samantha S.</v>
      </c>
      <c r="E63" s="18">
        <f ca="1">IFERROR(__xludf.DUMMYFUNCTION("""COMPUTED_VALUE"""),9781635170597)</f>
        <v>9781635170597</v>
      </c>
      <c r="F63" s="19"/>
      <c r="G63" s="19"/>
    </row>
    <row r="64" spans="1:7" ht="13.15">
      <c r="A64" s="16" t="str">
        <f ca="1">IFERROR(__xludf.DUMMYFUNCTION("""COMPUTED_VALUE"""),"4")</f>
        <v>4</v>
      </c>
      <c r="B64" s="17" t="str">
        <f ca="1">IFERROR(__xludf.DUMMYFUNCTION("""COMPUTED_VALUE"""),"Detecting Tornadoes")</f>
        <v>Detecting Tornadoes</v>
      </c>
      <c r="C64" s="16" t="str">
        <f ca="1">IFERROR(__xludf.DUMMYFUNCTION("""COMPUTED_VALUE"""),"N")</f>
        <v>N</v>
      </c>
      <c r="D64" s="17" t="str">
        <f ca="1">IFERROR(__xludf.DUMMYFUNCTION("""COMPUTED_VALUE"""),"Ventura, Marne")</f>
        <v>Ventura, Marne</v>
      </c>
      <c r="E64" s="18">
        <f ca="1">IFERROR(__xludf.DUMMYFUNCTION("""COMPUTED_VALUE"""),9781635170603)</f>
        <v>9781635170603</v>
      </c>
      <c r="F64" s="19"/>
      <c r="G64" s="19"/>
    </row>
    <row r="65" spans="1:7" ht="13.15">
      <c r="A65" s="16" t="str">
        <f ca="1">IFERROR(__xludf.DUMMYFUNCTION("""COMPUTED_VALUE"""),"4")</f>
        <v>4</v>
      </c>
      <c r="B65" s="17" t="str">
        <f ca="1">IFERROR(__xludf.DUMMYFUNCTION("""COMPUTED_VALUE"""),"Dewey the Library Cat: A True Story")</f>
        <v>Dewey the Library Cat: A True Story</v>
      </c>
      <c r="C65" s="16" t="str">
        <f ca="1">IFERROR(__xludf.DUMMYFUNCTION("""COMPUTED_VALUE"""),"N")</f>
        <v>N</v>
      </c>
      <c r="D65" s="17" t="str">
        <f ca="1">IFERROR(__xludf.DUMMYFUNCTION("""COMPUTED_VALUE"""),"Myron, Vicki &amp; Witter, Bret")</f>
        <v>Myron, Vicki &amp; Witter, Bret</v>
      </c>
      <c r="E65" s="18">
        <f ca="1">IFERROR(__xludf.DUMMYFUNCTION("""COMPUTED_VALUE"""),9780316068703)</f>
        <v>9780316068703</v>
      </c>
      <c r="F65" s="19"/>
      <c r="G65" s="19"/>
    </row>
    <row r="66" spans="1:7" ht="13.15">
      <c r="A66" s="16" t="str">
        <f ca="1">IFERROR(__xludf.DUMMYFUNCTION("""COMPUTED_VALUE"""),"4")</f>
        <v>4</v>
      </c>
      <c r="B66" s="17" t="str">
        <f ca="1">IFERROR(__xludf.DUMMYFUNCTION("""COMPUTED_VALUE"""),"Dirt Bikes")</f>
        <v>Dirt Bikes</v>
      </c>
      <c r="C66" s="16" t="str">
        <f ca="1">IFERROR(__xludf.DUMMYFUNCTION("""COMPUTED_VALUE"""),"N")</f>
        <v>N</v>
      </c>
      <c r="D66" s="17" t="str">
        <f ca="1">IFERROR(__xludf.DUMMYFUNCTION("""COMPUTED_VALUE"""),"Lanier, Wendy Hinote")</f>
        <v>Lanier, Wendy Hinote</v>
      </c>
      <c r="E66" s="18">
        <f ca="1">IFERROR(__xludf.DUMMYFUNCTION("""COMPUTED_VALUE"""),9781635171099)</f>
        <v>9781635171099</v>
      </c>
      <c r="F66" s="19"/>
      <c r="G66" s="19"/>
    </row>
    <row r="67" spans="1:7" ht="26.45">
      <c r="A67" s="16" t="str">
        <f ca="1">IFERROR(__xludf.DUMMYFUNCTION("""COMPUTED_VALUE"""),"4")</f>
        <v>4</v>
      </c>
      <c r="B67" s="17" t="str">
        <f ca="1">IFERROR(__xludf.DUMMYFUNCTION("""COMPUTED_VALUE"""),"Discovering New Planets")</f>
        <v>Discovering New Planets</v>
      </c>
      <c r="C67" s="16" t="str">
        <f ca="1">IFERROR(__xludf.DUMMYFUNCTION("""COMPUTED_VALUE"""),"N")</f>
        <v>N</v>
      </c>
      <c r="D67" s="17" t="str">
        <f ca="1">IFERROR(__xludf.DUMMYFUNCTION("""COMPUTED_VALUE"""),"Jemison, Dr. Mae &amp; Rau, Dana Meachen")</f>
        <v>Jemison, Dr. Mae &amp; Rau, Dana Meachen</v>
      </c>
      <c r="E67" s="18">
        <f ca="1">IFERROR(__xludf.DUMMYFUNCTION("""COMPUTED_VALUE"""),9780531240632)</f>
        <v>9780531240632</v>
      </c>
      <c r="F67" s="19"/>
      <c r="G67" s="19"/>
    </row>
    <row r="68" spans="1:7" ht="26.45">
      <c r="A68" s="16" t="str">
        <f ca="1">IFERROR(__xludf.DUMMYFUNCTION("""COMPUTED_VALUE"""),"4")</f>
        <v>4</v>
      </c>
      <c r="B68" s="17" t="str">
        <f ca="1">IFERROR(__xludf.DUMMYFUNCTION("""COMPUTED_VALUE"""),"Dolphins and Sharks")</f>
        <v>Dolphins and Sharks</v>
      </c>
      <c r="C68" s="16" t="str">
        <f ca="1">IFERROR(__xludf.DUMMYFUNCTION("""COMPUTED_VALUE"""),"N")</f>
        <v>N</v>
      </c>
      <c r="D68" s="17" t="str">
        <f ca="1">IFERROR(__xludf.DUMMYFUNCTION("""COMPUTED_VALUE"""),"Osborne, Mary Pope &amp; Boyce, Natalie Pope")</f>
        <v>Osborne, Mary Pope &amp; Boyce, Natalie Pope</v>
      </c>
      <c r="E68" s="18">
        <f ca="1">IFERROR(__xludf.DUMMYFUNCTION("""COMPUTED_VALUE"""),9780375823770)</f>
        <v>9780375823770</v>
      </c>
      <c r="F68" s="19"/>
      <c r="G68" s="19"/>
    </row>
    <row r="69" spans="1:7" ht="13.15">
      <c r="A69" s="16" t="str">
        <f ca="1">IFERROR(__xludf.DUMMYFUNCTION("""COMPUTED_VALUE"""),"4")</f>
        <v>4</v>
      </c>
      <c r="B69" s="17" t="str">
        <f ca="1">IFERROR(__xludf.DUMMYFUNCTION("""COMPUTED_VALUE"""),"Don't Know Much About the Solar System")</f>
        <v>Don't Know Much About the Solar System</v>
      </c>
      <c r="C69" s="16" t="str">
        <f ca="1">IFERROR(__xludf.DUMMYFUNCTION("""COMPUTED_VALUE"""),"N")</f>
        <v>N</v>
      </c>
      <c r="D69" s="17" t="str">
        <f ca="1">IFERROR(__xludf.DUMMYFUNCTION("""COMPUTED_VALUE"""),"Davis, Kenneth C.")</f>
        <v>Davis, Kenneth C.</v>
      </c>
      <c r="E69" s="18">
        <f ca="1">IFERROR(__xludf.DUMMYFUNCTION("""COMPUTED_VALUE"""),9780064462303)</f>
        <v>9780064462303</v>
      </c>
      <c r="F69" s="19"/>
      <c r="G69" s="19"/>
    </row>
    <row r="70" spans="1:7" ht="13.15">
      <c r="A70" s="16" t="str">
        <f ca="1">IFERROR(__xludf.DUMMYFUNCTION("""COMPUTED_VALUE"""),"4")</f>
        <v>4</v>
      </c>
      <c r="B70" s="17" t="str">
        <f ca="1">IFERROR(__xludf.DUMMYFUNCTION("""COMPUTED_VALUE"""),"Dragon Rider")</f>
        <v>Dragon Rider</v>
      </c>
      <c r="C70" s="16" t="str">
        <f ca="1">IFERROR(__xludf.DUMMYFUNCTION("""COMPUTED_VALUE"""),"F")</f>
        <v>F</v>
      </c>
      <c r="D70" s="17" t="str">
        <f ca="1">IFERROR(__xludf.DUMMYFUNCTION("""COMPUTED_VALUE"""),"Funke, Cornelia")</f>
        <v>Funke, Cornelia</v>
      </c>
      <c r="E70" s="18">
        <f ca="1">IFERROR(__xludf.DUMMYFUNCTION("""COMPUTED_VALUE"""),9780545316484)</f>
        <v>9780545316484</v>
      </c>
      <c r="F70" s="19"/>
      <c r="G70" s="19"/>
    </row>
    <row r="71" spans="1:7" ht="13.15">
      <c r="A71" s="16" t="str">
        <f ca="1">IFERROR(__xludf.DUMMYFUNCTION("""COMPUTED_VALUE"""),"4")</f>
        <v>4</v>
      </c>
      <c r="B71" s="17" t="str">
        <f ca="1">IFERROR(__xludf.DUMMYFUNCTION("""COMPUTED_VALUE"""),"Drita: My Homegirl")</f>
        <v>Drita: My Homegirl</v>
      </c>
      <c r="C71" s="16" t="str">
        <f ca="1">IFERROR(__xludf.DUMMYFUNCTION("""COMPUTED_VALUE"""),"F")</f>
        <v>F</v>
      </c>
      <c r="D71" s="17" t="str">
        <f ca="1">IFERROR(__xludf.DUMMYFUNCTION("""COMPUTED_VALUE"""),"Lombarnd, Jenny")</f>
        <v>Lombarnd, Jenny</v>
      </c>
      <c r="E71" s="18">
        <f ca="1">IFERROR(__xludf.DUMMYFUNCTION("""COMPUTED_VALUE"""),9780142409053)</f>
        <v>9780142409053</v>
      </c>
      <c r="F71" s="19"/>
      <c r="G71" s="19"/>
    </row>
    <row r="72" spans="1:7" ht="13.15">
      <c r="A72" s="16" t="str">
        <f ca="1">IFERROR(__xludf.DUMMYFUNCTION("""COMPUTED_VALUE"""),"4")</f>
        <v>4</v>
      </c>
      <c r="B72" s="17" t="str">
        <f ca="1">IFERROR(__xludf.DUMMYFUNCTION("""COMPUTED_VALUE"""),"Dude, Where's My Spaceship?")</f>
        <v>Dude, Where's My Spaceship?</v>
      </c>
      <c r="C72" s="16" t="str">
        <f ca="1">IFERROR(__xludf.DUMMYFUNCTION("""COMPUTED_VALUE"""),"F")</f>
        <v>F</v>
      </c>
      <c r="D72" s="17" t="str">
        <f ca="1">IFERROR(__xludf.DUMMYFUNCTION("""COMPUTED_VALUE"""),"Greenburg, Dan")</f>
        <v>Greenburg, Dan</v>
      </c>
      <c r="E72" s="18">
        <f ca="1">IFERROR(__xludf.DUMMYFUNCTION("""COMPUTED_VALUE"""),9780375833441)</f>
        <v>9780375833441</v>
      </c>
      <c r="F72" s="19"/>
      <c r="G72" s="19"/>
    </row>
    <row r="73" spans="1:7" ht="13.15">
      <c r="A73" s="16" t="str">
        <f ca="1">IFERROR(__xludf.DUMMYFUNCTION("""COMPUTED_VALUE"""),"4")</f>
        <v>4</v>
      </c>
      <c r="B73" s="17" t="str">
        <f ca="1">IFERROR(__xludf.DUMMYFUNCTION("""COMPUTED_VALUE"""),"Dumpling Days")</f>
        <v>Dumpling Days</v>
      </c>
      <c r="C73" s="16" t="str">
        <f ca="1">IFERROR(__xludf.DUMMYFUNCTION("""COMPUTED_VALUE"""),"F")</f>
        <v>F</v>
      </c>
      <c r="D73" s="17" t="str">
        <f ca="1">IFERROR(__xludf.DUMMYFUNCTION("""COMPUTED_VALUE"""),"Lin, Grace")</f>
        <v>Lin, Grace</v>
      </c>
      <c r="E73" s="18">
        <f ca="1">IFERROR(__xludf.DUMMYFUNCTION("""COMPUTED_VALUE"""),9780316125895)</f>
        <v>9780316125895</v>
      </c>
      <c r="F73" s="19"/>
      <c r="G73" s="19"/>
    </row>
    <row r="74" spans="1:7" ht="13.15">
      <c r="A74" s="16" t="str">
        <f ca="1">IFERROR(__xludf.DUMMYFUNCTION("""COMPUTED_VALUE"""),"4")</f>
        <v>4</v>
      </c>
      <c r="B74" s="17" t="str">
        <f ca="1">IFERROR(__xludf.DUMMYFUNCTION("""COMPUTED_VALUE"""),"Earthquake in the Early Morning")</f>
        <v>Earthquake in the Early Morning</v>
      </c>
      <c r="C74" s="16" t="str">
        <f ca="1">IFERROR(__xludf.DUMMYFUNCTION("""COMPUTED_VALUE"""),"F")</f>
        <v>F</v>
      </c>
      <c r="D74" s="17" t="str">
        <f ca="1">IFERROR(__xludf.DUMMYFUNCTION("""COMPUTED_VALUE"""),"Osborne, Mary Pope")</f>
        <v>Osborne, Mary Pope</v>
      </c>
      <c r="E74" s="18">
        <f ca="1">IFERROR(__xludf.DUMMYFUNCTION("""COMPUTED_VALUE"""),9780679890706)</f>
        <v>9780679890706</v>
      </c>
      <c r="F74" s="19"/>
      <c r="G74" s="19"/>
    </row>
    <row r="75" spans="1:7" ht="13.15">
      <c r="A75" s="16" t="str">
        <f ca="1">IFERROR(__xludf.DUMMYFUNCTION("""COMPUTED_VALUE"""),"4")</f>
        <v>4</v>
      </c>
      <c r="B75" s="17" t="str">
        <f ca="1">IFERROR(__xludf.DUMMYFUNCTION("""COMPUTED_VALUE"""),"Edmund Hillary Reaches the Top of Everest")</f>
        <v>Edmund Hillary Reaches the Top of Everest</v>
      </c>
      <c r="C75" s="16" t="str">
        <f ca="1">IFERROR(__xludf.DUMMYFUNCTION("""COMPUTED_VALUE"""),"N")</f>
        <v>N</v>
      </c>
      <c r="D75" s="17" t="str">
        <f ca="1">IFERROR(__xludf.DUMMYFUNCTION("""COMPUTED_VALUE"""),"Yomtov, Nel")</f>
        <v>Yomtov, Nel</v>
      </c>
      <c r="E75" s="18">
        <f ca="1">IFERROR(__xludf.DUMMYFUNCTION("""COMPUTED_VALUE"""),9781626175259)</f>
        <v>9781626175259</v>
      </c>
      <c r="F75" s="19"/>
      <c r="G75" s="19"/>
    </row>
    <row r="76" spans="1:7" ht="13.15">
      <c r="A76" s="16" t="str">
        <f ca="1">IFERROR(__xludf.DUMMYFUNCTION("""COMPUTED_VALUE"""),"4")</f>
        <v>4</v>
      </c>
      <c r="B76" s="17" t="str">
        <f ca="1">IFERROR(__xludf.DUMMYFUNCTION("""COMPUTED_VALUE"""),"Election Madness")</f>
        <v>Election Madness</v>
      </c>
      <c r="C76" s="16" t="str">
        <f ca="1">IFERROR(__xludf.DUMMYFUNCTION("""COMPUTED_VALUE"""),"F")</f>
        <v>F</v>
      </c>
      <c r="D76" s="17" t="str">
        <f ca="1">IFERROR(__xludf.DUMMYFUNCTION("""COMPUTED_VALUE"""),"English, Karen")</f>
        <v>English, Karen</v>
      </c>
      <c r="E76" s="18">
        <f ca="1">IFERROR(__xludf.DUMMYFUNCTION("""COMPUTED_VALUE"""),9780547850719)</f>
        <v>9780547850719</v>
      </c>
      <c r="F76" s="19"/>
      <c r="G76" s="19"/>
    </row>
    <row r="77" spans="1:7" ht="13.15">
      <c r="A77" s="16" t="str">
        <f ca="1">IFERROR(__xludf.DUMMYFUNCTION("""COMPUTED_VALUE"""),"4")</f>
        <v>4</v>
      </c>
      <c r="B77" s="17" t="str">
        <f ca="1">IFERROR(__xludf.DUMMYFUNCTION("""COMPUTED_VALUE"""),"Elephant Orphans")</f>
        <v>Elephant Orphans</v>
      </c>
      <c r="C77" s="16" t="str">
        <f ca="1">IFERROR(__xludf.DUMMYFUNCTION("""COMPUTED_VALUE"""),"N")</f>
        <v>N</v>
      </c>
      <c r="D77" s="17" t="str">
        <f ca="1">IFERROR(__xludf.DUMMYFUNCTION("""COMPUTED_VALUE"""),"Hibbert, Clare")</f>
        <v>Hibbert, Clare</v>
      </c>
      <c r="E77" s="18">
        <f ca="1">IFERROR(__xludf.DUMMYFUNCTION("""COMPUTED_VALUE"""),9781477758960)</f>
        <v>9781477758960</v>
      </c>
      <c r="F77" s="19"/>
      <c r="G77" s="19"/>
    </row>
    <row r="78" spans="1:7" ht="13.15">
      <c r="A78" s="16" t="str">
        <f ca="1">IFERROR(__xludf.DUMMYFUNCTION("""COMPUTED_VALUE"""),"4")</f>
        <v>4</v>
      </c>
      <c r="B78" s="17" t="str">
        <f ca="1">IFERROR(__xludf.DUMMYFUNCTION("""COMPUTED_VALUE"""),"Engineering: Feats &amp; Failures")</f>
        <v>Engineering: Feats &amp; Failures</v>
      </c>
      <c r="C78" s="16" t="str">
        <f ca="1">IFERROR(__xludf.DUMMYFUNCTION("""COMPUTED_VALUE"""),"N")</f>
        <v>N</v>
      </c>
      <c r="D78" s="17" t="str">
        <f ca="1">IFERROR(__xludf.DUMMYFUNCTION("""COMPUTED_VALUE"""),"Paris, Stephanie")</f>
        <v>Paris, Stephanie</v>
      </c>
      <c r="E78" s="18">
        <f ca="1">IFERROR(__xludf.DUMMYFUNCTION("""COMPUTED_VALUE"""),9781433348716)</f>
        <v>9781433348716</v>
      </c>
      <c r="F78" s="19"/>
      <c r="G78" s="19"/>
    </row>
    <row r="79" spans="1:7" ht="13.15">
      <c r="A79" s="16" t="str">
        <f ca="1">IFERROR(__xludf.DUMMYFUNCTION("""COMPUTED_VALUE"""),"4")</f>
        <v>4</v>
      </c>
      <c r="B79" s="17" t="str">
        <f ca="1">IFERROR(__xludf.DUMMYFUNCTION("""COMPUTED_VALUE"""),"Ereth's Birthday")</f>
        <v>Ereth's Birthday</v>
      </c>
      <c r="C79" s="16" t="str">
        <f ca="1">IFERROR(__xludf.DUMMYFUNCTION("""COMPUTED_VALUE"""),"F")</f>
        <v>F</v>
      </c>
      <c r="D79" s="17" t="str">
        <f ca="1">IFERROR(__xludf.DUMMYFUNCTION("""COMPUTED_VALUE"""),"Avi")</f>
        <v>Avi</v>
      </c>
      <c r="E79" s="18">
        <f ca="1">IFERROR(__xludf.DUMMYFUNCTION("""COMPUTED_VALUE"""),9780380804900)</f>
        <v>9780380804900</v>
      </c>
      <c r="F79" s="19"/>
      <c r="G79" s="19"/>
    </row>
    <row r="80" spans="1:7" ht="13.15">
      <c r="A80" s="16" t="str">
        <f ca="1">IFERROR(__xludf.DUMMYFUNCTION("""COMPUTED_VALUE"""),"4")</f>
        <v>4</v>
      </c>
      <c r="B80" s="17" t="str">
        <f ca="1">IFERROR(__xludf.DUMMYFUNCTION("""COMPUTED_VALUE"""),"Everything for a Dog")</f>
        <v>Everything for a Dog</v>
      </c>
      <c r="C80" s="16" t="str">
        <f ca="1">IFERROR(__xludf.DUMMYFUNCTION("""COMPUTED_VALUE"""),"F")</f>
        <v>F</v>
      </c>
      <c r="D80" s="17" t="str">
        <f ca="1">IFERROR(__xludf.DUMMYFUNCTION("""COMPUTED_VALUE"""),"Martin, Ann M.")</f>
        <v>Martin, Ann M.</v>
      </c>
      <c r="E80" s="18">
        <f ca="1">IFERROR(__xludf.DUMMYFUNCTION("""COMPUTED_VALUE"""),9780312674847)</f>
        <v>9780312674847</v>
      </c>
      <c r="F80" s="19"/>
      <c r="G80" s="19"/>
    </row>
    <row r="81" spans="1:7" ht="13.15">
      <c r="A81" s="16" t="str">
        <f ca="1">IFERROR(__xludf.DUMMYFUNCTION("""COMPUTED_VALUE"""),"4")</f>
        <v>4</v>
      </c>
      <c r="B81" s="17" t="str">
        <f ca="1">IFERROR(__xludf.DUMMYFUNCTION("""COMPUTED_VALUE"""),"The Extraordinary Education of Nicholas Benedict")</f>
        <v>The Extraordinary Education of Nicholas Benedict</v>
      </c>
      <c r="C81" s="16" t="str">
        <f ca="1">IFERROR(__xludf.DUMMYFUNCTION("""COMPUTED_VALUE"""),"F")</f>
        <v>F</v>
      </c>
      <c r="D81" s="17" t="str">
        <f ca="1">IFERROR(__xludf.DUMMYFUNCTION("""COMPUTED_VALUE"""),"Stewart, Trenton Lee")</f>
        <v>Stewart, Trenton Lee</v>
      </c>
      <c r="E81" s="18">
        <f ca="1">IFERROR(__xludf.DUMMYFUNCTION("""COMPUTED_VALUE"""),9780316176200)</f>
        <v>9780316176200</v>
      </c>
      <c r="F81" s="19"/>
      <c r="G81" s="19"/>
    </row>
    <row r="82" spans="1:7" ht="13.15">
      <c r="A82" s="16" t="str">
        <f ca="1">IFERROR(__xludf.DUMMYFUNCTION("""COMPUTED_VALUE"""),"4")</f>
        <v>4</v>
      </c>
      <c r="B82" s="17" t="str">
        <f ca="1">IFERROR(__xludf.DUMMYFUNCTION("""COMPUTED_VALUE"""),"Fame and Glory in Freedom, Georgia")</f>
        <v>Fame and Glory in Freedom, Georgia</v>
      </c>
      <c r="C82" s="16" t="str">
        <f ca="1">IFERROR(__xludf.DUMMYFUNCTION("""COMPUTED_VALUE"""),"F")</f>
        <v>F</v>
      </c>
      <c r="D82" s="17" t="str">
        <f ca="1">IFERROR(__xludf.DUMMYFUNCTION("""COMPUTED_VALUE"""),"O'Connor, Barbara")</f>
        <v>O'Connor, Barbara</v>
      </c>
      <c r="E82" s="18">
        <f ca="1">IFERROR(__xludf.DUMMYFUNCTION("""COMPUTED_VALUE"""),9780374400187)</f>
        <v>9780374400187</v>
      </c>
      <c r="F82" s="19"/>
      <c r="G82" s="19"/>
    </row>
    <row r="83" spans="1:7" ht="13.15">
      <c r="A83" s="16" t="str">
        <f ca="1">IFERROR(__xludf.DUMMYFUNCTION("""COMPUTED_VALUE"""),"4")</f>
        <v>4</v>
      </c>
      <c r="B83" s="17" t="str">
        <f ca="1">IFERROR(__xludf.DUMMYFUNCTION("""COMPUTED_VALUE"""),"Families Through Time")</f>
        <v>Families Through Time</v>
      </c>
      <c r="C83" s="16" t="str">
        <f ca="1">IFERROR(__xludf.DUMMYFUNCTION("""COMPUTED_VALUE"""),"N")</f>
        <v>N</v>
      </c>
      <c r="D83" s="17" t="str">
        <f ca="1">IFERROR(__xludf.DUMMYFUNCTION("""COMPUTED_VALUE"""),"Dustman, Jeanne")</f>
        <v>Dustman, Jeanne</v>
      </c>
      <c r="E83" s="18">
        <f ca="1">IFERROR(__xludf.DUMMYFUNCTION("""COMPUTED_VALUE"""),9781433369919)</f>
        <v>9781433369919</v>
      </c>
      <c r="F83" s="19"/>
      <c r="G83" s="19"/>
    </row>
    <row r="84" spans="1:7" ht="13.15">
      <c r="A84" s="16" t="str">
        <f ca="1">IFERROR(__xludf.DUMMYFUNCTION("""COMPUTED_VALUE"""),"4")</f>
        <v>4</v>
      </c>
      <c r="B84" s="17" t="str">
        <f ca="1">IFERROR(__xludf.DUMMYFUNCTION("""COMPUTED_VALUE"""),"Fearless! Stunt People")</f>
        <v>Fearless! Stunt People</v>
      </c>
      <c r="C84" s="16" t="str">
        <f ca="1">IFERROR(__xludf.DUMMYFUNCTION("""COMPUTED_VALUE"""),"N")</f>
        <v>N</v>
      </c>
      <c r="D84" s="17" t="str">
        <f ca="1">IFERROR(__xludf.DUMMYFUNCTION("""COMPUTED_VALUE"""),"Cohn, Jessica")</f>
        <v>Cohn, Jessica</v>
      </c>
      <c r="E84" s="18">
        <f ca="1">IFERROR(__xludf.DUMMYFUNCTION("""COMPUTED_VALUE"""),9781433349416)</f>
        <v>9781433349416</v>
      </c>
      <c r="F84" s="19"/>
      <c r="G84" s="19"/>
    </row>
    <row r="85" spans="1:7" ht="13.15">
      <c r="A85" s="16" t="str">
        <f ca="1">IFERROR(__xludf.DUMMYFUNCTION("""COMPUTED_VALUE"""),"4")</f>
        <v>4</v>
      </c>
      <c r="B85" s="17" t="str">
        <f ca="1">IFERROR(__xludf.DUMMYFUNCTION("""COMPUTED_VALUE"""),"Fishers: Then and Now")</f>
        <v>Fishers: Then and Now</v>
      </c>
      <c r="C85" s="16" t="str">
        <f ca="1">IFERROR(__xludf.DUMMYFUNCTION("""COMPUTED_VALUE"""),"N")</f>
        <v>N</v>
      </c>
      <c r="D85" s="17" t="str">
        <f ca="1">IFERROR(__xludf.DUMMYFUNCTION("""COMPUTED_VALUE"""),"Zamosky, Lisa")</f>
        <v>Zamosky, Lisa</v>
      </c>
      <c r="E85" s="18">
        <f ca="1">IFERROR(__xludf.DUMMYFUNCTION("""COMPUTED_VALUE"""),9780743993784)</f>
        <v>9780743993784</v>
      </c>
      <c r="F85" s="19"/>
      <c r="G85" s="19"/>
    </row>
    <row r="86" spans="1:7" ht="13.15">
      <c r="A86" s="16" t="str">
        <f ca="1">IFERROR(__xludf.DUMMYFUNCTION("""COMPUTED_VALUE"""),"4")</f>
        <v>4</v>
      </c>
      <c r="B86" s="17" t="str">
        <f ca="1">IFERROR(__xludf.DUMMYFUNCTION("""COMPUTED_VALUE"""),"Footprints on the Moon")</f>
        <v>Footprints on the Moon</v>
      </c>
      <c r="C86" s="16" t="str">
        <f ca="1">IFERROR(__xludf.DUMMYFUNCTION("""COMPUTED_VALUE"""),"N")</f>
        <v>N</v>
      </c>
      <c r="D86" s="17" t="str">
        <f ca="1">IFERROR(__xludf.DUMMYFUNCTION("""COMPUTED_VALUE"""),"Siy, Alexandra")</f>
        <v>Siy, Alexandra</v>
      </c>
      <c r="E86" s="18">
        <f ca="1">IFERROR(__xludf.DUMMYFUNCTION("""COMPUTED_VALUE"""),9781570914096)</f>
        <v>9781570914096</v>
      </c>
      <c r="F86" s="19"/>
      <c r="G86" s="19"/>
    </row>
    <row r="87" spans="1:7" ht="13.15">
      <c r="A87" s="16" t="str">
        <f ca="1">IFERROR(__xludf.DUMMYFUNCTION("""COMPUTED_VALUE"""),"4")</f>
        <v>4</v>
      </c>
      <c r="B87" s="17" t="str">
        <f ca="1">IFERROR(__xludf.DUMMYFUNCTION("""COMPUTED_VALUE"""),"Fractions = Trouble")</f>
        <v>Fractions = Trouble</v>
      </c>
      <c r="C87" s="16" t="str">
        <f ca="1">IFERROR(__xludf.DUMMYFUNCTION("""COMPUTED_VALUE"""),"F")</f>
        <v>F</v>
      </c>
      <c r="D87" s="17" t="str">
        <f ca="1">IFERROR(__xludf.DUMMYFUNCTION("""COMPUTED_VALUE"""),"Mills, Claudia")</f>
        <v>Mills, Claudia</v>
      </c>
      <c r="E87" s="18">
        <f ca="1">IFERROR(__xludf.DUMMYFUNCTION("""COMPUTED_VALUE"""),9781250003362)</f>
        <v>9781250003362</v>
      </c>
      <c r="F87" s="19"/>
      <c r="G87" s="19"/>
    </row>
    <row r="88" spans="1:7" ht="13.15">
      <c r="A88" s="16" t="str">
        <f ca="1">IFERROR(__xludf.DUMMYFUNCTION("""COMPUTED_VALUE"""),"4")</f>
        <v>4</v>
      </c>
      <c r="B88" s="17" t="str">
        <f ca="1">IFERROR(__xludf.DUMMYFUNCTION("""COMPUTED_VALUE"""),"Framed: A Swindle Mystery")</f>
        <v>Framed: A Swindle Mystery</v>
      </c>
      <c r="C88" s="16" t="str">
        <f ca="1">IFERROR(__xludf.DUMMYFUNCTION("""COMPUTED_VALUE"""),"F")</f>
        <v>F</v>
      </c>
      <c r="D88" s="17" t="str">
        <f ca="1">IFERROR(__xludf.DUMMYFUNCTION("""COMPUTED_VALUE"""),"Korman, Gordon")</f>
        <v>Korman, Gordon</v>
      </c>
      <c r="E88" s="18">
        <f ca="1">IFERROR(__xludf.DUMMYFUNCTION("""COMPUTED_VALUE"""),9780545197632)</f>
        <v>9780545197632</v>
      </c>
      <c r="F88" s="19"/>
      <c r="G88" s="19"/>
    </row>
    <row r="89" spans="1:7" ht="13.15">
      <c r="A89" s="16" t="str">
        <f ca="1">IFERROR(__xludf.DUMMYFUNCTION("""COMPUTED_VALUE"""),"4")</f>
        <v>4</v>
      </c>
      <c r="B89" s="17" t="str">
        <f ca="1">IFERROR(__xludf.DUMMYFUNCTION("""COMPUTED_VALUE"""),"From Russia with Lunch")</f>
        <v>From Russia with Lunch</v>
      </c>
      <c r="C89" s="16" t="str">
        <f ca="1">IFERROR(__xludf.DUMMYFUNCTION("""COMPUTED_VALUE"""),"F")</f>
        <v>F</v>
      </c>
      <c r="D89" s="17" t="str">
        <f ca="1">IFERROR(__xludf.DUMMYFUNCTION("""COMPUTED_VALUE"""),"Hale, Bruce")</f>
        <v>Hale, Bruce</v>
      </c>
      <c r="E89" s="18">
        <f ca="1">IFERROR(__xludf.DUMMYFUNCTION("""COMPUTED_VALUE"""),9780547328829)</f>
        <v>9780547328829</v>
      </c>
      <c r="F89" s="19"/>
      <c r="G89" s="19"/>
    </row>
    <row r="90" spans="1:7" ht="13.15">
      <c r="A90" s="16" t="str">
        <f ca="1">IFERROR(__xludf.DUMMYFUNCTION("""COMPUTED_VALUE"""),"4")</f>
        <v>4</v>
      </c>
      <c r="B90" s="17" t="str">
        <f ca="1">IFERROR(__xludf.DUMMYFUNCTION("""COMPUTED_VALUE"""),"Full Court Pressure")</f>
        <v>Full Court Pressure</v>
      </c>
      <c r="C90" s="16" t="str">
        <f ca="1">IFERROR(__xludf.DUMMYFUNCTION("""COMPUTED_VALUE"""),"F")</f>
        <v>F</v>
      </c>
      <c r="D90" s="17" t="str">
        <f ca="1">IFERROR(__xludf.DUMMYFUNCTION("""COMPUTED_VALUE"""),"Gunderson, Jessica")</f>
        <v>Gunderson, Jessica</v>
      </c>
      <c r="E90" s="18">
        <f ca="1">IFERROR(__xludf.DUMMYFUNCTION("""COMPUTED_VALUE"""),9781434222916)</f>
        <v>9781434222916</v>
      </c>
      <c r="F90" s="19"/>
      <c r="G90" s="19"/>
    </row>
    <row r="91" spans="1:7" ht="26.45">
      <c r="A91" s="16" t="str">
        <f ca="1">IFERROR(__xludf.DUMMYFUNCTION("""COMPUTED_VALUE"""),"4")</f>
        <v>4</v>
      </c>
      <c r="B91" s="17" t="str">
        <f ca="1">IFERROR(__xludf.DUMMYFUNCTION("""COMPUTED_VALUE"""),"Ghosts")</f>
        <v>Ghosts</v>
      </c>
      <c r="C91" s="16" t="str">
        <f ca="1">IFERROR(__xludf.DUMMYFUNCTION("""COMPUTED_VALUE"""),"N")</f>
        <v>N</v>
      </c>
      <c r="D91" s="17" t="str">
        <f ca="1">IFERROR(__xludf.DUMMYFUNCTION("""COMPUTED_VALUE"""),"Osborne, Mary Pope &amp; Boyce, Natalie Pope")</f>
        <v>Osborne, Mary Pope &amp; Boyce, Natalie Pope</v>
      </c>
      <c r="E91" s="18">
        <f ca="1">IFERROR(__xludf.DUMMYFUNCTION("""COMPUTED_VALUE"""),9780375846663)</f>
        <v>9780375846663</v>
      </c>
      <c r="F91" s="19"/>
      <c r="G91" s="19"/>
    </row>
    <row r="92" spans="1:7" ht="13.15">
      <c r="A92" s="16" t="str">
        <f ca="1">IFERROR(__xludf.DUMMYFUNCTION("""COMPUTED_VALUE"""),"4")</f>
        <v>4</v>
      </c>
      <c r="B92" s="17" t="str">
        <f ca="1">IFERROR(__xludf.DUMMYFUNCTION("""COMPUTED_VALUE"""),"Gloria's Way")</f>
        <v>Gloria's Way</v>
      </c>
      <c r="C92" s="16" t="str">
        <f ca="1">IFERROR(__xludf.DUMMYFUNCTION("""COMPUTED_VALUE"""),"F")</f>
        <v>F</v>
      </c>
      <c r="D92" s="17" t="str">
        <f ca="1">IFERROR(__xludf.DUMMYFUNCTION("""COMPUTED_VALUE"""),"Cameron, Ann")</f>
        <v>Cameron, Ann</v>
      </c>
      <c r="E92" s="18">
        <f ca="1">IFERROR(__xludf.DUMMYFUNCTION("""COMPUTED_VALUE"""),9780142300237)</f>
        <v>9780142300237</v>
      </c>
      <c r="F92" s="19"/>
      <c r="G92" s="19"/>
    </row>
    <row r="93" spans="1:7" ht="13.15">
      <c r="A93" s="16" t="str">
        <f ca="1">IFERROR(__xludf.DUMMYFUNCTION("""COMPUTED_VALUE"""),"4")</f>
        <v>4</v>
      </c>
      <c r="B93" s="17" t="str">
        <f ca="1">IFERROR(__xludf.DUMMYFUNCTION("""COMPUTED_VALUE"""),"Going Home: The Mystery of Animal Migration")</f>
        <v>Going Home: The Mystery of Animal Migration</v>
      </c>
      <c r="C93" s="16" t="str">
        <f ca="1">IFERROR(__xludf.DUMMYFUNCTION("""COMPUTED_VALUE"""),"H")</f>
        <v>H</v>
      </c>
      <c r="D93" s="17" t="str">
        <f ca="1">IFERROR(__xludf.DUMMYFUNCTION("""COMPUTED_VALUE"""),"Berkes, Marianne")</f>
        <v>Berkes, Marianne</v>
      </c>
      <c r="E93" s="18">
        <f ca="1">IFERROR(__xludf.DUMMYFUNCTION("""COMPUTED_VALUE"""),9781584691273)</f>
        <v>9781584691273</v>
      </c>
      <c r="F93" s="19"/>
      <c r="G93" s="19"/>
    </row>
    <row r="94" spans="1:7" ht="13.15">
      <c r="A94" s="16" t="str">
        <f ca="1">IFERROR(__xludf.DUMMYFUNCTION("""COMPUTED_VALUE"""),"4")</f>
        <v>4</v>
      </c>
      <c r="B94" s="17" t="str">
        <f ca="1">IFERROR(__xludf.DUMMYFUNCTION("""COMPUTED_VALUE"""),"A Grain of Rice")</f>
        <v>A Grain of Rice</v>
      </c>
      <c r="C94" s="16" t="str">
        <f ca="1">IFERROR(__xludf.DUMMYFUNCTION("""COMPUTED_VALUE"""),"F")</f>
        <v>F</v>
      </c>
      <c r="D94" s="17" t="str">
        <f ca="1">IFERROR(__xludf.DUMMYFUNCTION("""COMPUTED_VALUE"""),"Pittman, Helena Clare")</f>
        <v>Pittman, Helena Clare</v>
      </c>
      <c r="E94" s="18">
        <f ca="1">IFERROR(__xludf.DUMMYFUNCTION("""COMPUTED_VALUE"""),9780440413011)</f>
        <v>9780440413011</v>
      </c>
      <c r="F94" s="19"/>
      <c r="G94" s="19"/>
    </row>
    <row r="95" spans="1:7" ht="13.15">
      <c r="A95" s="16" t="str">
        <f ca="1">IFERROR(__xludf.DUMMYFUNCTION("""COMPUTED_VALUE"""),"4")</f>
        <v>4</v>
      </c>
      <c r="B95" s="17" t="str">
        <f ca="1">IFERROR(__xludf.DUMMYFUNCTION("""COMPUTED_VALUE"""),"Great White Sharks")</f>
        <v>Great White Sharks</v>
      </c>
      <c r="C95" s="16" t="str">
        <f ca="1">IFERROR(__xludf.DUMMYFUNCTION("""COMPUTED_VALUE"""),"N")</f>
        <v>N</v>
      </c>
      <c r="D95" s="17" t="str">
        <f ca="1">IFERROR(__xludf.DUMMYFUNCTION("""COMPUTED_VALUE"""),"Markle, Sandra")</f>
        <v>Markle, Sandra</v>
      </c>
      <c r="E95" s="18">
        <f ca="1">IFERROR(__xludf.DUMMYFUNCTION("""COMPUTED_VALUE"""),9781575057477)</f>
        <v>9781575057477</v>
      </c>
      <c r="F95" s="19"/>
      <c r="G95" s="19"/>
    </row>
    <row r="96" spans="1:7" ht="13.15">
      <c r="A96" s="16" t="str">
        <f ca="1">IFERROR(__xludf.DUMMYFUNCTION("""COMPUTED_VALUE"""),"4")</f>
        <v>4</v>
      </c>
      <c r="B96" s="17" t="str">
        <f ca="1">IFERROR(__xludf.DUMMYFUNCTION("""COMPUTED_VALUE"""),"Hand to Heart: Improving Communities")</f>
        <v>Hand to Heart: Improving Communities</v>
      </c>
      <c r="C96" s="16" t="str">
        <f ca="1">IFERROR(__xludf.DUMMYFUNCTION("""COMPUTED_VALUE"""),"N")</f>
        <v>N</v>
      </c>
      <c r="D96" s="17" t="str">
        <f ca="1">IFERROR(__xludf.DUMMYFUNCTION("""COMPUTED_VALUE"""),"Cohn, Jessica")</f>
        <v>Cohn, Jessica</v>
      </c>
      <c r="E96" s="18">
        <f ca="1">IFERROR(__xludf.DUMMYFUNCTION("""COMPUTED_VALUE"""),9781433348662)</f>
        <v>9781433348662</v>
      </c>
      <c r="F96" s="19"/>
      <c r="G96" s="19"/>
    </row>
    <row r="97" spans="1:7" ht="13.15">
      <c r="A97" s="16" t="str">
        <f ca="1">IFERROR(__xludf.DUMMYFUNCTION("""COMPUTED_VALUE"""),"4")</f>
        <v>4</v>
      </c>
      <c r="B97" s="17" t="str">
        <f ca="1">IFERROR(__xludf.DUMMYFUNCTION("""COMPUTED_VALUE"""),"Hansel and Gretel and the Haunted Hut")</f>
        <v>Hansel and Gretel and the Haunted Hut</v>
      </c>
      <c r="C97" s="16" t="str">
        <f ca="1">IFERROR(__xludf.DUMMYFUNCTION("""COMPUTED_VALUE"""),"F")</f>
        <v>F</v>
      </c>
      <c r="D97" s="17" t="str">
        <f ca="1">IFERROR(__xludf.DUMMYFUNCTION("""COMPUTED_VALUE"""),"Blevins, Wiley")</f>
        <v>Blevins, Wiley</v>
      </c>
      <c r="E97" s="18">
        <f ca="1">IFERROR(__xludf.DUMMYFUNCTION("""COMPUTED_VALUE"""),9781634400978)</f>
        <v>9781634400978</v>
      </c>
      <c r="F97" s="19"/>
      <c r="G97" s="19"/>
    </row>
    <row r="98" spans="1:7" ht="13.15">
      <c r="A98" s="16" t="str">
        <f ca="1">IFERROR(__xludf.DUMMYFUNCTION("""COMPUTED_VALUE"""),"4")</f>
        <v>4</v>
      </c>
      <c r="B98" s="17" t="str">
        <f ca="1">IFERROR(__xludf.DUMMYFUNCTION("""COMPUTED_VALUE"""),"Hellen Keller: A New Vision")</f>
        <v>Hellen Keller: A New Vision</v>
      </c>
      <c r="C98" s="16" t="str">
        <f ca="1">IFERROR(__xludf.DUMMYFUNCTION("""COMPUTED_VALUE"""),"N")</f>
        <v>N</v>
      </c>
      <c r="D98" s="17" t="str">
        <f ca="1">IFERROR(__xludf.DUMMYFUNCTION("""COMPUTED_VALUE"""),"Hollingsworth, Tamara Leigh")</f>
        <v>Hollingsworth, Tamara Leigh</v>
      </c>
      <c r="E98" s="18">
        <f ca="1">IFERROR(__xludf.DUMMYFUNCTION("""COMPUTED_VALUE"""),9781433348631)</f>
        <v>9781433348631</v>
      </c>
      <c r="F98" s="19"/>
      <c r="G98" s="19"/>
    </row>
    <row r="99" spans="1:7" ht="13.15">
      <c r="A99" s="16" t="str">
        <f ca="1">IFERROR(__xludf.DUMMYFUNCTION("""COMPUTED_VALUE"""),"4")</f>
        <v>4</v>
      </c>
      <c r="B99" s="17" t="str">
        <f ca="1">IFERROR(__xludf.DUMMYFUNCTION("""COMPUTED_VALUE"""),"How Can We Reduce Household Waste?")</f>
        <v>How Can We Reduce Household Waste?</v>
      </c>
      <c r="C99" s="16" t="str">
        <f ca="1">IFERROR(__xludf.DUMMYFUNCTION("""COMPUTED_VALUE"""),"N")</f>
        <v>N</v>
      </c>
      <c r="D99" s="17" t="str">
        <f ca="1">IFERROR(__xludf.DUMMYFUNCTION("""COMPUTED_VALUE"""),"Pratt, Mary K.")</f>
        <v>Pratt, Mary K.</v>
      </c>
      <c r="E99" s="18">
        <f ca="1">IFERROR(__xludf.DUMMYFUNCTION("""COMPUTED_VALUE"""),9781467797016)</f>
        <v>9781467797016</v>
      </c>
      <c r="F99" s="19"/>
      <c r="G99" s="19"/>
    </row>
    <row r="100" spans="1:7" ht="26.45">
      <c r="A100" s="16" t="str">
        <f ca="1">IFERROR(__xludf.DUMMYFUNCTION("""COMPUTED_VALUE"""),"4")</f>
        <v>4</v>
      </c>
      <c r="B100" s="17" t="str">
        <f ca="1">IFERROR(__xludf.DUMMYFUNCTION("""COMPUTED_VALUE"""),"How Coyote Stole the Summer: A Native American Folktale")</f>
        <v>How Coyote Stole the Summer: A Native American Folktale</v>
      </c>
      <c r="C100" s="16" t="str">
        <f ca="1">IFERROR(__xludf.DUMMYFUNCTION("""COMPUTED_VALUE"""),"F")</f>
        <v>F</v>
      </c>
      <c r="D100" s="17" t="str">
        <f ca="1">IFERROR(__xludf.DUMMYFUNCTION("""COMPUTED_VALUE"""),"Krensky, Steven")</f>
        <v>Krensky, Steven</v>
      </c>
      <c r="E100" s="18">
        <f ca="1">IFERROR(__xludf.DUMMYFUNCTION("""COMPUTED_VALUE"""),9781580138482)</f>
        <v>9781580138482</v>
      </c>
      <c r="F100" s="19"/>
      <c r="G100" s="19"/>
    </row>
    <row r="101" spans="1:7" ht="13.15">
      <c r="A101" s="16" t="str">
        <f ca="1">IFERROR(__xludf.DUMMYFUNCTION("""COMPUTED_VALUE"""),"4")</f>
        <v>4</v>
      </c>
      <c r="B101" s="17" t="str">
        <f ca="1">IFERROR(__xludf.DUMMYFUNCTION("""COMPUTED_VALUE"""),"How Snakes and Other Animals Taste the Air")</f>
        <v>How Snakes and Other Animals Taste the Air</v>
      </c>
      <c r="C101" s="16" t="str">
        <f ca="1">IFERROR(__xludf.DUMMYFUNCTION("""COMPUTED_VALUE"""),"N")</f>
        <v>N</v>
      </c>
      <c r="D101" s="17" t="str">
        <f ca="1">IFERROR(__xludf.DUMMYFUNCTION("""COMPUTED_VALUE"""),"Rajczak, Kristen")</f>
        <v>Rajczak, Kristen</v>
      </c>
      <c r="E101" s="18">
        <f ca="1">IFERROR(__xludf.DUMMYFUNCTION("""COMPUTED_VALUE"""),9781499409956)</f>
        <v>9781499409956</v>
      </c>
      <c r="F101" s="19"/>
      <c r="G101" s="19"/>
    </row>
    <row r="102" spans="1:7" ht="13.15">
      <c r="A102" s="16" t="str">
        <f ca="1">IFERROR(__xludf.DUMMYFUNCTION("""COMPUTED_VALUE"""),"4")</f>
        <v>4</v>
      </c>
      <c r="B102" s="17" t="str">
        <f ca="1">IFERROR(__xludf.DUMMYFUNCTION("""COMPUTED_VALUE"""),"Human Environmental Impact: How We Affect Earth")</f>
        <v>Human Environmental Impact: How We Affect Earth</v>
      </c>
      <c r="C102" s="16" t="str">
        <f ca="1">IFERROR(__xludf.DUMMYFUNCTION("""COMPUTED_VALUE"""),"N")</f>
        <v>N</v>
      </c>
      <c r="D102" s="17" t="str">
        <f ca="1">IFERROR(__xludf.DUMMYFUNCTION("""COMPUTED_VALUE"""),"Sawyer, Ava")</f>
        <v>Sawyer, Ava</v>
      </c>
      <c r="E102" s="18">
        <f ca="1">IFERROR(__xludf.DUMMYFUNCTION("""COMPUTED_VALUE"""),9781515772101)</f>
        <v>9781515772101</v>
      </c>
      <c r="F102" s="19"/>
      <c r="G102" s="19"/>
    </row>
    <row r="103" spans="1:7" ht="13.15">
      <c r="A103" s="16" t="str">
        <f ca="1">IFERROR(__xludf.DUMMYFUNCTION("""COMPUTED_VALUE"""),"4")</f>
        <v>4</v>
      </c>
      <c r="B103" s="17" t="str">
        <f ca="1">IFERROR(__xludf.DUMMYFUNCTION("""COMPUTED_VALUE"""),"The Hundred Dresses")</f>
        <v>The Hundred Dresses</v>
      </c>
      <c r="C103" s="16" t="str">
        <f ca="1">IFERROR(__xludf.DUMMYFUNCTION("""COMPUTED_VALUE"""),"F")</f>
        <v>F</v>
      </c>
      <c r="D103" s="17" t="str">
        <f ca="1">IFERROR(__xludf.DUMMYFUNCTION("""COMPUTED_VALUE"""),"Estes, Eleanor")</f>
        <v>Estes, Eleanor</v>
      </c>
      <c r="E103" s="18">
        <f ca="1">IFERROR(__xludf.DUMMYFUNCTION("""COMPUTED_VALUE"""),9780152052607)</f>
        <v>9780152052607</v>
      </c>
      <c r="F103" s="19"/>
      <c r="G103" s="19"/>
    </row>
    <row r="104" spans="1:7" ht="13.15">
      <c r="A104" s="16" t="str">
        <f ca="1">IFERROR(__xludf.DUMMYFUNCTION("""COMPUTED_VALUE"""),"4")</f>
        <v>4</v>
      </c>
      <c r="B104" s="17" t="str">
        <f ca="1">IFERROR(__xludf.DUMMYFUNCTION("""COMPUTED_VALUE"""),"Hunter Moran Digs Deep")</f>
        <v>Hunter Moran Digs Deep</v>
      </c>
      <c r="C104" s="16" t="str">
        <f ca="1">IFERROR(__xludf.DUMMYFUNCTION("""COMPUTED_VALUE"""),"F")</f>
        <v>F</v>
      </c>
      <c r="D104" s="17" t="str">
        <f ca="1">IFERROR(__xludf.DUMMYFUNCTION("""COMPUTED_VALUE"""),"Giff, Patricia Reilly")</f>
        <v>Giff, Patricia Reilly</v>
      </c>
      <c r="E104" s="18">
        <f ca="1">IFERROR(__xludf.DUMMYFUNCTION("""COMPUTED_VALUE"""),9780823434503)</f>
        <v>9780823434503</v>
      </c>
      <c r="F104" s="19"/>
      <c r="G104" s="19"/>
    </row>
    <row r="105" spans="1:7" ht="13.15">
      <c r="A105" s="16" t="str">
        <f ca="1">IFERROR(__xludf.DUMMYFUNCTION("""COMPUTED_VALUE"""),"4")</f>
        <v>4</v>
      </c>
      <c r="B105" s="17" t="str">
        <f ca="1">IFERROR(__xludf.DUMMYFUNCTION("""COMPUTED_VALUE"""),"I Survived the Japanese Tsunami, 2011")</f>
        <v>I Survived the Japanese Tsunami, 2011</v>
      </c>
      <c r="C105" s="16" t="str">
        <f ca="1">IFERROR(__xludf.DUMMYFUNCTION("""COMPUTED_VALUE"""),"F")</f>
        <v>F</v>
      </c>
      <c r="D105" s="17" t="str">
        <f ca="1">IFERROR(__xludf.DUMMYFUNCTION("""COMPUTED_VALUE"""),"Tarshis, Lauren")</f>
        <v>Tarshis, Lauren</v>
      </c>
      <c r="E105" s="18">
        <f ca="1">IFERROR(__xludf.DUMMYFUNCTION("""COMPUTED_VALUE"""),9780545459372)</f>
        <v>9780545459372</v>
      </c>
      <c r="F105" s="19"/>
      <c r="G105" s="19"/>
    </row>
    <row r="106" spans="1:7" ht="26.45">
      <c r="A106" s="16" t="str">
        <f ca="1">IFERROR(__xludf.DUMMYFUNCTION("""COMPUTED_VALUE"""),"4")</f>
        <v>4</v>
      </c>
      <c r="B106" s="17" t="str">
        <f ca="1">IFERROR(__xludf.DUMMYFUNCTION("""COMPUTED_VALUE"""),"I Wonder Why Stars Twinkle and Other Questions about Space")</f>
        <v>I Wonder Why Stars Twinkle and Other Questions about Space</v>
      </c>
      <c r="C106" s="16" t="str">
        <f ca="1">IFERROR(__xludf.DUMMYFUNCTION("""COMPUTED_VALUE"""),"N")</f>
        <v>N</v>
      </c>
      <c r="D106" s="17" t="str">
        <f ca="1">IFERROR(__xludf.DUMMYFUNCTION("""COMPUTED_VALUE"""),"Stott, Carole")</f>
        <v>Stott, Carole</v>
      </c>
      <c r="E106" s="18">
        <f ca="1">IFERROR(__xludf.DUMMYFUNCTION("""COMPUTED_VALUE"""),9780753465202)</f>
        <v>9780753465202</v>
      </c>
      <c r="F106" s="19"/>
      <c r="G106" s="19"/>
    </row>
    <row r="107" spans="1:7" ht="13.15">
      <c r="A107" s="16" t="str">
        <f ca="1">IFERROR(__xludf.DUMMYFUNCTION("""COMPUTED_VALUE"""),"4")</f>
        <v>4</v>
      </c>
      <c r="B107" s="17" t="str">
        <f ca="1">IFERROR(__xludf.DUMMYFUNCTION("""COMPUTED_VALUE"""),"I'm Out of My Body... Please Leave a Message")</f>
        <v>I'm Out of My Body... Please Leave a Message</v>
      </c>
      <c r="C107" s="16" t="str">
        <f ca="1">IFERROR(__xludf.DUMMYFUNCTION("""COMPUTED_VALUE"""),"F")</f>
        <v>F</v>
      </c>
      <c r="D107" s="17" t="str">
        <f ca="1">IFERROR(__xludf.DUMMYFUNCTION("""COMPUTED_VALUE"""),"Greenburg, Dan")</f>
        <v>Greenburg, Dan</v>
      </c>
      <c r="E107" s="18">
        <f ca="1">IFERROR(__xludf.DUMMYFUNCTION("""COMPUTED_VALUE"""),9780448413396)</f>
        <v>9780448413396</v>
      </c>
      <c r="F107" s="19"/>
      <c r="G107" s="19"/>
    </row>
    <row r="108" spans="1:7" ht="13.15">
      <c r="A108" s="16" t="str">
        <f ca="1">IFERROR(__xludf.DUMMYFUNCTION("""COMPUTED_VALUE"""),"4")</f>
        <v>4</v>
      </c>
      <c r="B108" s="17" t="str">
        <f ca="1">IFERROR(__xludf.DUMMYFUNCTION("""COMPUTED_VALUE"""),"The Ice Dove and Other Stories")</f>
        <v>The Ice Dove and Other Stories</v>
      </c>
      <c r="C108" s="16" t="str">
        <f ca="1">IFERROR(__xludf.DUMMYFUNCTION("""COMPUTED_VALUE"""),"F")</f>
        <v>F</v>
      </c>
      <c r="D108" s="17" t="str">
        <f ca="1">IFERROR(__xludf.DUMMYFUNCTION("""COMPUTED_VALUE"""),"De Anda, Diane")</f>
        <v>De Anda, Diane</v>
      </c>
      <c r="E108" s="18">
        <f ca="1">IFERROR(__xludf.DUMMYFUNCTION("""COMPUTED_VALUE"""),9781558851894)</f>
        <v>9781558851894</v>
      </c>
      <c r="F108" s="19"/>
      <c r="G108" s="19"/>
    </row>
    <row r="109" spans="1:7" ht="13.15">
      <c r="A109" s="16" t="str">
        <f ca="1">IFERROR(__xludf.DUMMYFUNCTION("""COMPUTED_VALUE"""),"4")</f>
        <v>4</v>
      </c>
      <c r="B109" s="17" t="str">
        <f ca="1">IFERROR(__xludf.DUMMYFUNCTION("""COMPUTED_VALUE"""),"Incredible Bugs")</f>
        <v>Incredible Bugs</v>
      </c>
      <c r="C109" s="16" t="str">
        <f ca="1">IFERROR(__xludf.DUMMYFUNCTION("""COMPUTED_VALUE"""),"N")</f>
        <v>N</v>
      </c>
      <c r="D109" s="17" t="str">
        <f ca="1">IFERROR(__xludf.DUMMYFUNCTION("""COMPUTED_VALUE"""),"Farndon, John")</f>
        <v>Farndon, John</v>
      </c>
      <c r="E109" s="18">
        <f ca="1">IFERROR(__xludf.DUMMYFUNCTION("""COMPUTED_VALUE"""),9781512411669)</f>
        <v>9781512411669</v>
      </c>
      <c r="F109" s="19"/>
      <c r="G109" s="19"/>
    </row>
    <row r="110" spans="1:7" ht="13.15">
      <c r="A110" s="16" t="str">
        <f ca="1">IFERROR(__xludf.DUMMYFUNCTION("""COMPUTED_VALUE"""),"4")</f>
        <v>4</v>
      </c>
      <c r="B110" s="17" t="str">
        <f ca="1">IFERROR(__xludf.DUMMYFUNCTION("""COMPUTED_VALUE"""),"Island of the Aunts")</f>
        <v>Island of the Aunts</v>
      </c>
      <c r="C110" s="16" t="str">
        <f ca="1">IFERROR(__xludf.DUMMYFUNCTION("""COMPUTED_VALUE"""),"F")</f>
        <v>F</v>
      </c>
      <c r="D110" s="17" t="str">
        <f ca="1">IFERROR(__xludf.DUMMYFUNCTION("""COMPUTED_VALUE"""),"Ibbotson, Eva")</f>
        <v>Ibbotson, Eva</v>
      </c>
      <c r="E110" s="18">
        <f ca="1">IFERROR(__xludf.DUMMYFUNCTION("""COMPUTED_VALUE"""),9780142300497)</f>
        <v>9780142300497</v>
      </c>
      <c r="F110" s="19"/>
      <c r="G110" s="19"/>
    </row>
    <row r="111" spans="1:7" ht="26.45">
      <c r="A111" s="16" t="str">
        <f ca="1">IFERROR(__xludf.DUMMYFUNCTION("""COMPUTED_VALUE"""),"4")</f>
        <v>4</v>
      </c>
      <c r="B111" s="17" t="str">
        <f ca="1">IFERROR(__xludf.DUMMYFUNCTION("""COMPUTED_VALUE"""),"It's Disgusting and We Ate It!: True Food Facts from Around the World and Throughout History")</f>
        <v>It's Disgusting and We Ate It!: True Food Facts from Around the World and Throughout History</v>
      </c>
      <c r="C111" s="16" t="str">
        <f ca="1">IFERROR(__xludf.DUMMYFUNCTION("""COMPUTED_VALUE"""),"N")</f>
        <v>N</v>
      </c>
      <c r="D111" s="17" t="str">
        <f ca="1">IFERROR(__xludf.DUMMYFUNCTION("""COMPUTED_VALUE"""),"Solheinm, James")</f>
        <v>Solheinm, James</v>
      </c>
      <c r="E111" s="18">
        <f ca="1">IFERROR(__xludf.DUMMYFUNCTION("""COMPUTED_VALUE"""),9780689843938)</f>
        <v>9780689843938</v>
      </c>
      <c r="F111" s="19"/>
      <c r="G111" s="19"/>
    </row>
    <row r="112" spans="1:7" ht="13.15">
      <c r="A112" s="16" t="str">
        <f ca="1">IFERROR(__xludf.DUMMYFUNCTION("""COMPUTED_VALUE"""),"4")</f>
        <v>4</v>
      </c>
      <c r="B112" s="17" t="str">
        <f ca="1">IFERROR(__xludf.DUMMYFUNCTION("""COMPUTED_VALUE"""),"Jack Adrift: Fourth Grade Without a Clue")</f>
        <v>Jack Adrift: Fourth Grade Without a Clue</v>
      </c>
      <c r="C112" s="16" t="str">
        <f ca="1">IFERROR(__xludf.DUMMYFUNCTION("""COMPUTED_VALUE"""),"F")</f>
        <v>F</v>
      </c>
      <c r="D112" s="17" t="str">
        <f ca="1">IFERROR(__xludf.DUMMYFUNCTION("""COMPUTED_VALUE"""),"Gantos, Jack")</f>
        <v>Gantos, Jack</v>
      </c>
      <c r="E112" s="18">
        <f ca="1">IFERROR(__xludf.DUMMYFUNCTION("""COMPUTED_VALUE"""),9780374437183)</f>
        <v>9780374437183</v>
      </c>
      <c r="F112" s="19"/>
      <c r="G112" s="19"/>
    </row>
    <row r="113" spans="1:7" ht="13.15">
      <c r="A113" s="16" t="str">
        <f ca="1">IFERROR(__xludf.DUMMYFUNCTION("""COMPUTED_VALUE"""),"4")</f>
        <v>4</v>
      </c>
      <c r="B113" s="17" t="str">
        <f ca="1">IFERROR(__xludf.DUMMYFUNCTION("""COMPUTED_VALUE"""),"Jack and the Bloody Beanstalk")</f>
        <v>Jack and the Bloody Beanstalk</v>
      </c>
      <c r="C113" s="16" t="str">
        <f ca="1">IFERROR(__xludf.DUMMYFUNCTION("""COMPUTED_VALUE"""),"F")</f>
        <v>F</v>
      </c>
      <c r="D113" s="17" t="str">
        <f ca="1">IFERROR(__xludf.DUMMYFUNCTION("""COMPUTED_VALUE"""),"Blevins, Wiley")</f>
        <v>Blevins, Wiley</v>
      </c>
      <c r="E113" s="18">
        <f ca="1">IFERROR(__xludf.DUMMYFUNCTION("""COMPUTED_VALUE"""),9781634401005)</f>
        <v>9781634401005</v>
      </c>
      <c r="F113" s="19"/>
      <c r="G113" s="19"/>
    </row>
    <row r="114" spans="1:7" ht="13.15">
      <c r="A114" s="16" t="str">
        <f ca="1">IFERROR(__xludf.DUMMYFUNCTION("""COMPUTED_VALUE"""),"4")</f>
        <v>4</v>
      </c>
      <c r="B114" s="17" t="str">
        <f ca="1">IFERROR(__xludf.DUMMYFUNCTION("""COMPUTED_VALUE"""),"Kindred Souls")</f>
        <v>Kindred Souls</v>
      </c>
      <c r="C114" s="16" t="str">
        <f ca="1">IFERROR(__xludf.DUMMYFUNCTION("""COMPUTED_VALUE"""),"F")</f>
        <v>F</v>
      </c>
      <c r="D114" s="17" t="str">
        <f ca="1">IFERROR(__xludf.DUMMYFUNCTION("""COMPUTED_VALUE"""),"MacLachlan, Patricia")</f>
        <v>MacLachlan, Patricia</v>
      </c>
      <c r="E114" s="18">
        <f ca="1">IFERROR(__xludf.DUMMYFUNCTION("""COMPUTED_VALUE"""),9780060522995)</f>
        <v>9780060522995</v>
      </c>
      <c r="F114" s="19"/>
      <c r="G114" s="19"/>
    </row>
    <row r="115" spans="1:7" ht="13.15">
      <c r="A115" s="16" t="str">
        <f ca="1">IFERROR(__xludf.DUMMYFUNCTION("""COMPUTED_VALUE"""),"4")</f>
        <v>4</v>
      </c>
      <c r="B115" s="17" t="str">
        <f ca="1">IFERROR(__xludf.DUMMYFUNCTION("""COMPUTED_VALUE"""),"Let's Talk about Race")</f>
        <v>Let's Talk about Race</v>
      </c>
      <c r="C115" s="16" t="str">
        <f ca="1">IFERROR(__xludf.DUMMYFUNCTION("""COMPUTED_VALUE"""),"N")</f>
        <v>N</v>
      </c>
      <c r="D115" s="17" t="str">
        <f ca="1">IFERROR(__xludf.DUMMYFUNCTION("""COMPUTED_VALUE"""),"Lester, Julius")</f>
        <v>Lester, Julius</v>
      </c>
      <c r="E115" s="18">
        <f ca="1">IFERROR(__xludf.DUMMYFUNCTION("""COMPUTED_VALUE"""),9780064462266)</f>
        <v>9780064462266</v>
      </c>
      <c r="F115" s="19"/>
      <c r="G115" s="19"/>
    </row>
    <row r="116" spans="1:7" ht="13.15">
      <c r="A116" s="16" t="str">
        <f ca="1">IFERROR(__xludf.DUMMYFUNCTION("""COMPUTED_VALUE"""),"4")</f>
        <v>4</v>
      </c>
      <c r="B116" s="17" t="str">
        <f ca="1">IFERROR(__xludf.DUMMYFUNCTION("""COMPUTED_VALUE"""),"Life and Non-Life in an Ecosystem")</f>
        <v>Life and Non-Life in an Ecosystem</v>
      </c>
      <c r="C116" s="16" t="str">
        <f ca="1">IFERROR(__xludf.DUMMYFUNCTION("""COMPUTED_VALUE"""),"N")</f>
        <v>N</v>
      </c>
      <c r="D116" s="17" t="str">
        <f ca="1">IFERROR(__xludf.DUMMYFUNCTION("""COMPUTED_VALUE"""),"Rice, William B.")</f>
        <v>Rice, William B.</v>
      </c>
      <c r="E116" s="18">
        <f ca="1">IFERROR(__xludf.DUMMYFUNCTION("""COMPUTED_VALUE"""),9781480747166)</f>
        <v>9781480747166</v>
      </c>
      <c r="F116" s="19"/>
      <c r="G116" s="19"/>
    </row>
    <row r="117" spans="1:7" ht="13.15">
      <c r="A117" s="16" t="str">
        <f ca="1">IFERROR(__xludf.DUMMYFUNCTION("""COMPUTED_VALUE"""),"4")</f>
        <v>4</v>
      </c>
      <c r="B117" s="17" t="str">
        <f ca="1">IFERROR(__xludf.DUMMYFUNCTION("""COMPUTED_VALUE"""),"The Life Cycle of a Butterfly")</f>
        <v>The Life Cycle of a Butterfly</v>
      </c>
      <c r="C117" s="16" t="str">
        <f ca="1">IFERROR(__xludf.DUMMYFUNCTION("""COMPUTED_VALUE"""),"N")</f>
        <v>N</v>
      </c>
      <c r="D117" s="17" t="str">
        <f ca="1">IFERROR(__xludf.DUMMYFUNCTION("""COMPUTED_VALUE"""),"Kalman, Bobbie")</f>
        <v>Kalman, Bobbie</v>
      </c>
      <c r="E117" s="18">
        <f ca="1">IFERROR(__xludf.DUMMYFUNCTION("""COMPUTED_VALUE"""),9780778706809)</f>
        <v>9780778706809</v>
      </c>
      <c r="F117" s="19"/>
      <c r="G117" s="19"/>
    </row>
    <row r="118" spans="1:7" ht="13.15">
      <c r="A118" s="16" t="str">
        <f ca="1">IFERROR(__xludf.DUMMYFUNCTION("""COMPUTED_VALUE"""),"4")</f>
        <v>4</v>
      </c>
      <c r="B118" s="17" t="str">
        <f ca="1">IFERROR(__xludf.DUMMYFUNCTION("""COMPUTED_VALUE"""),"Little Dead Riding Hood")</f>
        <v>Little Dead Riding Hood</v>
      </c>
      <c r="C118" s="16" t="str">
        <f ca="1">IFERROR(__xludf.DUMMYFUNCTION("""COMPUTED_VALUE"""),"F")</f>
        <v>F</v>
      </c>
      <c r="D118" s="17" t="str">
        <f ca="1">IFERROR(__xludf.DUMMYFUNCTION("""COMPUTED_VALUE"""),"Blevins, Wiley")</f>
        <v>Blevins, Wiley</v>
      </c>
      <c r="E118" s="18">
        <f ca="1">IFERROR(__xludf.DUMMYFUNCTION("""COMPUTED_VALUE"""),9781634401036)</f>
        <v>9781634401036</v>
      </c>
      <c r="F118" s="19"/>
      <c r="G118" s="19"/>
    </row>
    <row r="119" spans="1:7" ht="13.15">
      <c r="A119" s="16" t="str">
        <f ca="1">IFERROR(__xludf.DUMMYFUNCTION("""COMPUTED_VALUE"""),"4")</f>
        <v>4</v>
      </c>
      <c r="B119" s="17" t="str">
        <f ca="1">IFERROR(__xludf.DUMMYFUNCTION("""COMPUTED_VALUE"""),"Look Inside: Your Skeleton and Muscles")</f>
        <v>Look Inside: Your Skeleton and Muscles</v>
      </c>
      <c r="C119" s="16" t="str">
        <f ca="1">IFERROR(__xludf.DUMMYFUNCTION("""COMPUTED_VALUE"""),"N")</f>
        <v>N</v>
      </c>
      <c r="D119" s="17" t="str">
        <f ca="1">IFERROR(__xludf.DUMMYFUNCTION("""COMPUTED_VALUE"""),"Williams, Ben")</f>
        <v>Williams, Ben</v>
      </c>
      <c r="E119" s="18">
        <f ca="1">IFERROR(__xludf.DUMMYFUNCTION("""COMPUTED_VALUE"""),9781433336355)</f>
        <v>9781433336355</v>
      </c>
      <c r="F119" s="19"/>
      <c r="G119" s="19"/>
    </row>
    <row r="120" spans="1:7" ht="13.15">
      <c r="A120" s="16" t="str">
        <f ca="1">IFERROR(__xludf.DUMMYFUNCTION("""COMPUTED_VALUE"""),"4")</f>
        <v>4</v>
      </c>
      <c r="B120" s="17" t="str">
        <f ca="1">IFERROR(__xludf.DUMMYFUNCTION("""COMPUTED_VALUE"""),"Look Out for the Fitzgerald-Trouts")</f>
        <v>Look Out for the Fitzgerald-Trouts</v>
      </c>
      <c r="C120" s="16" t="str">
        <f ca="1">IFERROR(__xludf.DUMMYFUNCTION("""COMPUTED_VALUE"""),"F")</f>
        <v>F</v>
      </c>
      <c r="D120" s="17" t="str">
        <f ca="1">IFERROR(__xludf.DUMMYFUNCTION("""COMPUTED_VALUE"""),"Spalding, Esta")</f>
        <v>Spalding, Esta</v>
      </c>
      <c r="E120" s="18">
        <f ca="1">IFERROR(__xludf.DUMMYFUNCTION("""COMPUTED_VALUE"""),9780316298575)</f>
        <v>9780316298575</v>
      </c>
      <c r="F120" s="19"/>
      <c r="G120" s="19"/>
    </row>
    <row r="121" spans="1:7" ht="13.15">
      <c r="A121" s="16" t="str">
        <f ca="1">IFERROR(__xludf.DUMMYFUNCTION("""COMPUTED_VALUE"""),"4")</f>
        <v>4</v>
      </c>
      <c r="B121" s="17" t="str">
        <f ca="1">IFERROR(__xludf.DUMMYFUNCTION("""COMPUTED_VALUE"""),"Love, Amalia")</f>
        <v>Love, Amalia</v>
      </c>
      <c r="C121" s="16" t="str">
        <f ca="1">IFERROR(__xludf.DUMMYFUNCTION("""COMPUTED_VALUE"""),"F")</f>
        <v>F</v>
      </c>
      <c r="D121" s="17" t="str">
        <f ca="1">IFERROR(__xludf.DUMMYFUNCTION("""COMPUTED_VALUE"""),"Ada, Alma Flor")</f>
        <v>Ada, Alma Flor</v>
      </c>
      <c r="E121" s="18">
        <f ca="1">IFERROR(__xludf.DUMMYFUNCTION("""COMPUTED_VALUE"""),9781442424036)</f>
        <v>9781442424036</v>
      </c>
      <c r="F121" s="19"/>
      <c r="G121" s="19"/>
    </row>
    <row r="122" spans="1:7" ht="13.15">
      <c r="A122" s="16" t="str">
        <f ca="1">IFERROR(__xludf.DUMMYFUNCTION("""COMPUTED_VALUE"""),"4")</f>
        <v>4</v>
      </c>
      <c r="B122" s="17" t="str">
        <f ca="1">IFERROR(__xludf.DUMMYFUNCTION("""COMPUTED_VALUE"""),"The Magic Half")</f>
        <v>The Magic Half</v>
      </c>
      <c r="C122" s="16" t="str">
        <f ca="1">IFERROR(__xludf.DUMMYFUNCTION("""COMPUTED_VALUE"""),"F")</f>
        <v>F</v>
      </c>
      <c r="D122" s="17" t="str">
        <f ca="1">IFERROR(__xludf.DUMMYFUNCTION("""COMPUTED_VALUE"""),"Barrows, Annie")</f>
        <v>Barrows, Annie</v>
      </c>
      <c r="E122" s="18">
        <f ca="1">IFERROR(__xludf.DUMMYFUNCTION("""COMPUTED_VALUE"""),9781619636255)</f>
        <v>9781619636255</v>
      </c>
      <c r="F122" s="19"/>
      <c r="G122" s="19"/>
    </row>
    <row r="123" spans="1:7" ht="13.15">
      <c r="A123" s="16" t="str">
        <f ca="1">IFERROR(__xludf.DUMMYFUNCTION("""COMPUTED_VALUE"""),"4")</f>
        <v>4</v>
      </c>
      <c r="B123" s="17" t="str">
        <f ca="1">IFERROR(__xludf.DUMMYFUNCTION("""COMPUTED_VALUE"""),"The Magic Pomegranate")</f>
        <v>The Magic Pomegranate</v>
      </c>
      <c r="C123" s="16" t="str">
        <f ca="1">IFERROR(__xludf.DUMMYFUNCTION("""COMPUTED_VALUE"""),"F")</f>
        <v>F</v>
      </c>
      <c r="D123" s="17" t="str">
        <f ca="1">IFERROR(__xludf.DUMMYFUNCTION("""COMPUTED_VALUE"""),"Schram, Peninnah")</f>
        <v>Schram, Peninnah</v>
      </c>
      <c r="E123" s="18">
        <f ca="1">IFERROR(__xludf.DUMMYFUNCTION("""COMPUTED_VALUE"""),9780822567462)</f>
        <v>9780822567462</v>
      </c>
      <c r="F123" s="19"/>
      <c r="G123" s="19"/>
    </row>
    <row r="124" spans="1:7" ht="13.15">
      <c r="A124" s="16" t="str">
        <f ca="1">IFERROR(__xludf.DUMMYFUNCTION("""COMPUTED_VALUE"""),"4")</f>
        <v>4</v>
      </c>
      <c r="B124" s="17" t="str">
        <f ca="1">IFERROR(__xludf.DUMMYFUNCTION("""COMPUTED_VALUE"""),"The Magic Thief: Found")</f>
        <v>The Magic Thief: Found</v>
      </c>
      <c r="C124" s="16" t="str">
        <f ca="1">IFERROR(__xludf.DUMMYFUNCTION("""COMPUTED_VALUE"""),"F")</f>
        <v>F</v>
      </c>
      <c r="D124" s="17" t="str">
        <f ca="1">IFERROR(__xludf.DUMMYFUNCTION("""COMPUTED_VALUE"""),"Prineas, Sarah")</f>
        <v>Prineas, Sarah</v>
      </c>
      <c r="E124" s="18">
        <f ca="1">IFERROR(__xludf.DUMMYFUNCTION("""COMPUTED_VALUE"""),9780061375958)</f>
        <v>9780061375958</v>
      </c>
      <c r="F124" s="19"/>
      <c r="G124" s="19"/>
    </row>
    <row r="125" spans="1:7" ht="13.15">
      <c r="A125" s="16" t="str">
        <f ca="1">IFERROR(__xludf.DUMMYFUNCTION("""COMPUTED_VALUE"""),"4")</f>
        <v>4</v>
      </c>
      <c r="B125" s="17" t="str">
        <f ca="1">IFERROR(__xludf.DUMMYFUNCTION("""COMPUTED_VALUE"""),"The Malted Falcon")</f>
        <v>The Malted Falcon</v>
      </c>
      <c r="C125" s="16" t="str">
        <f ca="1">IFERROR(__xludf.DUMMYFUNCTION("""COMPUTED_VALUE"""),"F")</f>
        <v>F</v>
      </c>
      <c r="D125" s="17" t="str">
        <f ca="1">IFERROR(__xludf.DUMMYFUNCTION("""COMPUTED_VALUE"""),"Hale, Bruce")</f>
        <v>Hale, Bruce</v>
      </c>
      <c r="E125" s="18">
        <f ca="1">IFERROR(__xludf.DUMMYFUNCTION("""COMPUTED_VALUE"""),9780152167127)</f>
        <v>9780152167127</v>
      </c>
      <c r="F125" s="19"/>
      <c r="G125" s="19"/>
    </row>
    <row r="126" spans="1:7" ht="13.15">
      <c r="A126" s="16" t="str">
        <f ca="1">IFERROR(__xludf.DUMMYFUNCTION("""COMPUTED_VALUE"""),"4")</f>
        <v>4</v>
      </c>
      <c r="B126" s="17" t="str">
        <f ca="1">IFERROR(__xludf.DUMMYFUNCTION("""COMPUTED_VALUE"""),"Markets Around the World")</f>
        <v>Markets Around the World</v>
      </c>
      <c r="C126" s="16" t="str">
        <f ca="1">IFERROR(__xludf.DUMMYFUNCTION("""COMPUTED_VALUE"""),"N")</f>
        <v>N</v>
      </c>
      <c r="D126" s="17" t="str">
        <f ca="1">IFERROR(__xludf.DUMMYFUNCTION("""COMPUTED_VALUE"""),"Petersen, Casey Null")</f>
        <v>Petersen, Casey Null</v>
      </c>
      <c r="E126" s="18">
        <f ca="1">IFERROR(__xludf.DUMMYFUNCTION("""COMPUTED_VALUE"""),9781433336522)</f>
        <v>9781433336522</v>
      </c>
      <c r="F126" s="19"/>
      <c r="G126" s="19"/>
    </row>
    <row r="127" spans="1:7" ht="13.15">
      <c r="A127" s="16" t="str">
        <f ca="1">IFERROR(__xludf.DUMMYFUNCTION("""COMPUTED_VALUE"""),"4")</f>
        <v>4</v>
      </c>
      <c r="B127" s="17" t="str">
        <f ca="1">IFERROR(__xludf.DUMMYFUNCTION("""COMPUTED_VALUE"""),"May B.")</f>
        <v>May B.</v>
      </c>
      <c r="C127" s="16" t="str">
        <f ca="1">IFERROR(__xludf.DUMMYFUNCTION("""COMPUTED_VALUE"""),"F")</f>
        <v>F</v>
      </c>
      <c r="D127" s="17" t="str">
        <f ca="1">IFERROR(__xludf.DUMMYFUNCTION("""COMPUTED_VALUE"""),"Rose, Caroline Starr")</f>
        <v>Rose, Caroline Starr</v>
      </c>
      <c r="E127" s="18">
        <f ca="1">IFERROR(__xludf.DUMMYFUNCTION("""COMPUTED_VALUE"""),9780385374149)</f>
        <v>9780385374149</v>
      </c>
      <c r="F127" s="19"/>
      <c r="G127" s="19"/>
    </row>
    <row r="128" spans="1:7" ht="13.15">
      <c r="A128" s="16" t="str">
        <f ca="1">IFERROR(__xludf.DUMMYFUNCTION("""COMPUTED_VALUE"""),"4")</f>
        <v>4</v>
      </c>
      <c r="B128" s="17" t="str">
        <f ca="1">IFERROR(__xludf.DUMMYFUNCTION("""COMPUTED_VALUE"""),"The Miraculous Journey of Edward Tulane")</f>
        <v>The Miraculous Journey of Edward Tulane</v>
      </c>
      <c r="C128" s="16" t="str">
        <f ca="1">IFERROR(__xludf.DUMMYFUNCTION("""COMPUTED_VALUE"""),"F")</f>
        <v>F</v>
      </c>
      <c r="D128" s="17" t="str">
        <f ca="1">IFERROR(__xludf.DUMMYFUNCTION("""COMPUTED_VALUE"""),"DiCamillo, Kate")</f>
        <v>DiCamillo, Kate</v>
      </c>
      <c r="E128" s="18">
        <f ca="1">IFERROR(__xludf.DUMMYFUNCTION("""COMPUTED_VALUE"""),9780763680909)</f>
        <v>9780763680909</v>
      </c>
      <c r="F128" s="19"/>
      <c r="G128" s="19"/>
    </row>
    <row r="129" spans="1:7" ht="13.15">
      <c r="A129" s="16" t="str">
        <f ca="1">IFERROR(__xludf.DUMMYFUNCTION("""COMPUTED_VALUE"""),"4")</f>
        <v>4</v>
      </c>
      <c r="B129" s="17" t="str">
        <f ca="1">IFERROR(__xludf.DUMMYFUNCTION("""COMPUTED_VALUE"""),"The Missing Marlin")</f>
        <v>The Missing Marlin</v>
      </c>
      <c r="C129" s="16" t="str">
        <f ca="1">IFERROR(__xludf.DUMMYFUNCTION("""COMPUTED_VALUE"""),"F")</f>
        <v>F</v>
      </c>
      <c r="D129" s="17" t="str">
        <f ca="1">IFERROR(__xludf.DUMMYFUNCTION("""COMPUTED_VALUE"""),"Kelly, David A.")</f>
        <v>Kelly, David A.</v>
      </c>
      <c r="E129" s="18">
        <f ca="1">IFERROR(__xludf.DUMMYFUNCTION("""COMPUTED_VALUE"""),9780307977823)</f>
        <v>9780307977823</v>
      </c>
      <c r="F129" s="19"/>
      <c r="G129" s="19"/>
    </row>
    <row r="130" spans="1:7" ht="13.15">
      <c r="A130" s="16" t="str">
        <f ca="1">IFERROR(__xludf.DUMMYFUNCTION("""COMPUTED_VALUE"""),"4")</f>
        <v>4</v>
      </c>
      <c r="B130" s="17" t="str">
        <f ca="1">IFERROR(__xludf.DUMMYFUNCTION("""COMPUTED_VALUE"""),"Mistakes Were Made")</f>
        <v>Mistakes Were Made</v>
      </c>
      <c r="C130" s="16" t="str">
        <f ca="1">IFERROR(__xludf.DUMMYFUNCTION("""COMPUTED_VALUE"""),"F")</f>
        <v>F</v>
      </c>
      <c r="D130" s="17" t="str">
        <f ca="1">IFERROR(__xludf.DUMMYFUNCTION("""COMPUTED_VALUE"""),"Pastis, Stephan")</f>
        <v>Pastis, Stephan</v>
      </c>
      <c r="E130" s="18">
        <f ca="1">IFERROR(__xludf.DUMMYFUNCTION("""COMPUTED_VALUE"""),9780763669270)</f>
        <v>9780763669270</v>
      </c>
      <c r="F130" s="19"/>
      <c r="G130" s="19"/>
    </row>
    <row r="131" spans="1:7" ht="13.15">
      <c r="A131" s="16" t="str">
        <f ca="1">IFERROR(__xludf.DUMMYFUNCTION("""COMPUTED_VALUE"""),"4")</f>
        <v>4</v>
      </c>
      <c r="B131" s="17" t="str">
        <f ca="1">IFERROR(__xludf.DUMMYFUNCTION("""COMPUTED_VALUE"""),"Money through History")</f>
        <v>Money through History</v>
      </c>
      <c r="C131" s="16" t="str">
        <f ca="1">IFERROR(__xludf.DUMMYFUNCTION("""COMPUTED_VALUE"""),"N")</f>
        <v>N</v>
      </c>
      <c r="D131" s="17" t="str">
        <f ca="1">IFERROR(__xludf.DUMMYFUNCTION("""COMPUTED_VALUE"""),"McManus, Lori")</f>
        <v>McManus, Lori</v>
      </c>
      <c r="E131" s="18">
        <f ca="1">IFERROR(__xludf.DUMMYFUNCTION("""COMPUTED_VALUE"""),9781432946432)</f>
        <v>9781432946432</v>
      </c>
      <c r="F131" s="19"/>
      <c r="G131" s="19"/>
    </row>
    <row r="132" spans="1:7" ht="13.15">
      <c r="A132" s="16" t="str">
        <f ca="1">IFERROR(__xludf.DUMMYFUNCTION("""COMPUTED_VALUE"""),"4")</f>
        <v>4</v>
      </c>
      <c r="B132" s="17" t="str">
        <f ca="1">IFERROR(__xludf.DUMMYFUNCTION("""COMPUTED_VALUE"""),"The Most Endangered Animals in the World")</f>
        <v>The Most Endangered Animals in the World</v>
      </c>
      <c r="C132" s="16" t="str">
        <f ca="1">IFERROR(__xludf.DUMMYFUNCTION("""COMPUTED_VALUE"""),"N")</f>
        <v>N</v>
      </c>
      <c r="D132" s="17" t="str">
        <f ca="1">IFERROR(__xludf.DUMMYFUNCTION("""COMPUTED_VALUE"""),"Gagne, Tammy")</f>
        <v>Gagne, Tammy</v>
      </c>
      <c r="E132" s="18">
        <f ca="1">IFERROR(__xludf.DUMMYFUNCTION("""COMPUTED_VALUE"""),9781491422373)</f>
        <v>9781491422373</v>
      </c>
      <c r="F132" s="19"/>
      <c r="G132" s="19"/>
    </row>
    <row r="133" spans="1:7" ht="13.15">
      <c r="A133" s="16" t="str">
        <f ca="1">IFERROR(__xludf.DUMMYFUNCTION("""COMPUTED_VALUE"""),"4")</f>
        <v>4</v>
      </c>
      <c r="B133" s="17" t="str">
        <f ca="1">IFERROR(__xludf.DUMMYFUNCTION("""COMPUTED_VALUE"""),"Mr. Chickee's Funny Money")</f>
        <v>Mr. Chickee's Funny Money</v>
      </c>
      <c r="C133" s="16" t="str">
        <f ca="1">IFERROR(__xludf.DUMMYFUNCTION("""COMPUTED_VALUE"""),"F")</f>
        <v>F</v>
      </c>
      <c r="D133" s="17" t="str">
        <f ca="1">IFERROR(__xludf.DUMMYFUNCTION("""COMPUTED_VALUE"""),"Curtis, Christopher Paul")</f>
        <v>Curtis, Christopher Paul</v>
      </c>
      <c r="E133" s="18">
        <f ca="1">IFERROR(__xludf.DUMMYFUNCTION("""COMPUTED_VALUE"""),9780440229193)</f>
        <v>9780440229193</v>
      </c>
      <c r="F133" s="19"/>
      <c r="G133" s="19"/>
    </row>
    <row r="134" spans="1:7" ht="13.15">
      <c r="A134" s="16" t="str">
        <f ca="1">IFERROR(__xludf.DUMMYFUNCTION("""COMPUTED_VALUE"""),"4")</f>
        <v>4</v>
      </c>
      <c r="B134" s="17" t="str">
        <f ca="1">IFERROR(__xludf.DUMMYFUNCTION("""COMPUTED_VALUE"""),"Murder, My Tweet")</f>
        <v>Murder, My Tweet</v>
      </c>
      <c r="C134" s="16" t="str">
        <f ca="1">IFERROR(__xludf.DUMMYFUNCTION("""COMPUTED_VALUE"""),"F")</f>
        <v>F</v>
      </c>
      <c r="D134" s="17" t="str">
        <f ca="1">IFERROR(__xludf.DUMMYFUNCTION("""COMPUTED_VALUE"""),"Hale, Bruce")</f>
        <v>Hale, Bruce</v>
      </c>
      <c r="E134" s="18">
        <f ca="1">IFERROR(__xludf.DUMMYFUNCTION("""COMPUTED_VALUE"""),9780152052195)</f>
        <v>9780152052195</v>
      </c>
      <c r="F134" s="19"/>
      <c r="G134" s="19"/>
    </row>
    <row r="135" spans="1:7" ht="13.15">
      <c r="A135" s="16" t="str">
        <f ca="1">IFERROR(__xludf.DUMMYFUNCTION("""COMPUTED_VALUE"""),"4")</f>
        <v>4</v>
      </c>
      <c r="B135" s="17" t="str">
        <f ca="1">IFERROR(__xludf.DUMMYFUNCTION("""COMPUTED_VALUE"""),"My Life as a Book")</f>
        <v>My Life as a Book</v>
      </c>
      <c r="C135" s="16" t="str">
        <f ca="1">IFERROR(__xludf.DUMMYFUNCTION("""COMPUTED_VALUE"""),"F")</f>
        <v>F</v>
      </c>
      <c r="D135" s="17" t="str">
        <f ca="1">IFERROR(__xludf.DUMMYFUNCTION("""COMPUTED_VALUE"""),"Tashjian, Janet")</f>
        <v>Tashjian, Janet</v>
      </c>
      <c r="E135" s="18">
        <f ca="1">IFERROR(__xludf.DUMMYFUNCTION("""COMPUTED_VALUE"""),9780312672898)</f>
        <v>9780312672898</v>
      </c>
      <c r="F135" s="19"/>
      <c r="G135" s="19"/>
    </row>
    <row r="136" spans="1:7" ht="13.15">
      <c r="A136" s="16" t="str">
        <f ca="1">IFERROR(__xludf.DUMMYFUNCTION("""COMPUTED_VALUE"""),"4")</f>
        <v>4</v>
      </c>
      <c r="B136" s="17" t="str">
        <f ca="1">IFERROR(__xludf.DUMMYFUNCTION("""COMPUTED_VALUE"""),"My Son, the Time Traveler")</f>
        <v>My Son, the Time Traveler</v>
      </c>
      <c r="C136" s="16" t="str">
        <f ca="1">IFERROR(__xludf.DUMMYFUNCTION("""COMPUTED_VALUE"""),"F")</f>
        <v>F</v>
      </c>
      <c r="D136" s="17" t="str">
        <f ca="1">IFERROR(__xludf.DUMMYFUNCTION("""COMPUTED_VALUE"""),"Greenburg, Dan")</f>
        <v>Greenburg, Dan</v>
      </c>
      <c r="E136" s="18">
        <f ca="1">IFERROR(__xludf.DUMMYFUNCTION("""COMPUTED_VALUE"""),9780448413419)</f>
        <v>9780448413419</v>
      </c>
      <c r="F136" s="19"/>
      <c r="G136" s="19"/>
    </row>
    <row r="137" spans="1:7" ht="13.15">
      <c r="A137" s="16" t="str">
        <f ca="1">IFERROR(__xludf.DUMMYFUNCTION("""COMPUTED_VALUE"""),"4")</f>
        <v>4</v>
      </c>
      <c r="B137" s="17" t="str">
        <f ca="1">IFERROR(__xludf.DUMMYFUNCTION("""COMPUTED_VALUE"""),"Mystery of the Missing Luck")</f>
        <v>Mystery of the Missing Luck</v>
      </c>
      <c r="C137" s="16" t="str">
        <f ca="1">IFERROR(__xludf.DUMMYFUNCTION("""COMPUTED_VALUE"""),"F")</f>
        <v>F</v>
      </c>
      <c r="D137" s="17" t="str">
        <f ca="1">IFERROR(__xludf.DUMMYFUNCTION("""COMPUTED_VALUE"""),"Pearce, Jacqueline")</f>
        <v>Pearce, Jacqueline</v>
      </c>
      <c r="E137" s="18">
        <f ca="1">IFERROR(__xludf.DUMMYFUNCTION("""COMPUTED_VALUE"""),9781554693962)</f>
        <v>9781554693962</v>
      </c>
      <c r="F137" s="19"/>
      <c r="G137" s="19"/>
    </row>
    <row r="138" spans="1:7" ht="13.15">
      <c r="A138" s="16" t="str">
        <f ca="1">IFERROR(__xludf.DUMMYFUNCTION("""COMPUTED_VALUE"""),"4")</f>
        <v>4</v>
      </c>
      <c r="B138" s="17" t="str">
        <f ca="1">IFERROR(__xludf.DUMMYFUNCTION("""COMPUTED_VALUE"""),"Natural Disasters: Violent Weather")</f>
        <v>Natural Disasters: Violent Weather</v>
      </c>
      <c r="C138" s="16" t="str">
        <f ca="1">IFERROR(__xludf.DUMMYFUNCTION("""COMPUTED_VALUE"""),"N")</f>
        <v>N</v>
      </c>
      <c r="D138" s="17" t="str">
        <f ca="1">IFERROR(__xludf.DUMMYFUNCTION("""COMPUTED_VALUE"""),"Parker, Steve &amp; West, David")</f>
        <v>Parker, Steve &amp; West, David</v>
      </c>
      <c r="E138" s="18">
        <f ca="1">IFERROR(__xludf.DUMMYFUNCTION("""COMPUTED_VALUE"""),9780778775799)</f>
        <v>9780778775799</v>
      </c>
      <c r="F138" s="19"/>
      <c r="G138" s="19"/>
    </row>
    <row r="139" spans="1:7" ht="13.15">
      <c r="A139" s="16" t="str">
        <f ca="1">IFERROR(__xludf.DUMMYFUNCTION("""COMPUTED_VALUE"""),"4")</f>
        <v>4</v>
      </c>
      <c r="B139" s="17" t="str">
        <f ca="1">IFERROR(__xludf.DUMMYFUNCTION("""COMPUTED_VALUE"""),"Never Trust a Cat Who Wears Earrings")</f>
        <v>Never Trust a Cat Who Wears Earrings</v>
      </c>
      <c r="C139" s="16" t="str">
        <f ca="1">IFERROR(__xludf.DUMMYFUNCTION("""COMPUTED_VALUE"""),"F")</f>
        <v>F</v>
      </c>
      <c r="D139" s="17" t="str">
        <f ca="1">IFERROR(__xludf.DUMMYFUNCTION("""COMPUTED_VALUE"""),"Greenburg, Dan")</f>
        <v>Greenburg, Dan</v>
      </c>
      <c r="E139" s="18">
        <f ca="1">IFERROR(__xludf.DUMMYFUNCTION("""COMPUTED_VALUE"""),9780448413402)</f>
        <v>9780448413402</v>
      </c>
      <c r="F139" s="19"/>
      <c r="G139" s="19"/>
    </row>
    <row r="140" spans="1:7" ht="13.15">
      <c r="A140" s="16" t="str">
        <f ca="1">IFERROR(__xludf.DUMMYFUNCTION("""COMPUTED_VALUE"""),"4")</f>
        <v>4</v>
      </c>
      <c r="B140" s="17" t="str">
        <f ca="1">IFERROR(__xludf.DUMMYFUNCTION("""COMPUTED_VALUE"""),"Niagra Falls, or Does It?")</f>
        <v>Niagra Falls, or Does It?</v>
      </c>
      <c r="C140" s="16" t="str">
        <f ca="1">IFERROR(__xludf.DUMMYFUNCTION("""COMPUTED_VALUE"""),"F")</f>
        <v>F</v>
      </c>
      <c r="D140" s="17" t="str">
        <f ca="1">IFERROR(__xludf.DUMMYFUNCTION("""COMPUTED_VALUE"""),"Winkler, Henry &amp; Oliver, Lin")</f>
        <v>Winkler, Henry &amp; Oliver, Lin</v>
      </c>
      <c r="E140" s="18">
        <f ca="1">IFERROR(__xludf.DUMMYFUNCTION("""COMPUTED_VALUE"""),9780448431628)</f>
        <v>9780448431628</v>
      </c>
      <c r="F140" s="19"/>
      <c r="G140" s="19"/>
    </row>
    <row r="141" spans="1:7" ht="13.15">
      <c r="A141" s="16" t="str">
        <f ca="1">IFERROR(__xludf.DUMMYFUNCTION("""COMPUTED_VALUE"""),"4")</f>
        <v>4</v>
      </c>
      <c r="B141" s="17" t="str">
        <f ca="1">IFERROR(__xludf.DUMMYFUNCTION("""COMPUTED_VALUE"""),"Night of the Living Worms")</f>
        <v>Night of the Living Worms</v>
      </c>
      <c r="C141" s="16" t="str">
        <f ca="1">IFERROR(__xludf.DUMMYFUNCTION("""COMPUTED_VALUE"""),"F")</f>
        <v>F</v>
      </c>
      <c r="D141" s="17" t="str">
        <f ca="1">IFERROR(__xludf.DUMMYFUNCTION("""COMPUTED_VALUE"""),"Coverly, Dave")</f>
        <v>Coverly, Dave</v>
      </c>
      <c r="E141" s="18">
        <f ca="1">IFERROR(__xludf.DUMMYFUNCTION("""COMPUTED_VALUE"""),9781250090508)</f>
        <v>9781250090508</v>
      </c>
      <c r="F141" s="19"/>
      <c r="G141" s="19"/>
    </row>
    <row r="142" spans="1:7" ht="13.15">
      <c r="A142" s="16" t="str">
        <f ca="1">IFERROR(__xludf.DUMMYFUNCTION("""COMPUTED_VALUE"""),"4")</f>
        <v>4</v>
      </c>
      <c r="B142" s="17" t="str">
        <f ca="1">IFERROR(__xludf.DUMMYFUNCTION("""COMPUTED_VALUE"""),"Now Look What You've Done")</f>
        <v>Now Look What You've Done</v>
      </c>
      <c r="C142" s="16" t="str">
        <f ca="1">IFERROR(__xludf.DUMMYFUNCTION("""COMPUTED_VALUE"""),"F")</f>
        <v>F</v>
      </c>
      <c r="D142" s="17" t="str">
        <f ca="1">IFERROR(__xludf.DUMMYFUNCTION("""COMPUTED_VALUE"""),"Pastis, Stephan")</f>
        <v>Pastis, Stephan</v>
      </c>
      <c r="E142" s="18">
        <f ca="1">IFERROR(__xludf.DUMMYFUNCTION("""COMPUTED_VALUE"""),9780763680145)</f>
        <v>9780763680145</v>
      </c>
      <c r="F142" s="19"/>
      <c r="G142" s="19"/>
    </row>
    <row r="143" spans="1:7" ht="26.45">
      <c r="A143" s="16" t="str">
        <f ca="1">IFERROR(__xludf.DUMMYFUNCTION("""COMPUTED_VALUE"""),"4")</f>
        <v>4</v>
      </c>
      <c r="B143" s="17" t="str">
        <f ca="1">IFERROR(__xludf.DUMMYFUNCTION("""COMPUTED_VALUE"""),"Off to Class: Incredible and Unusual Schools Around the World")</f>
        <v>Off to Class: Incredible and Unusual Schools Around the World</v>
      </c>
      <c r="C143" s="16" t="str">
        <f ca="1">IFERROR(__xludf.DUMMYFUNCTION("""COMPUTED_VALUE"""),"N")</f>
        <v>N</v>
      </c>
      <c r="D143" s="17" t="str">
        <f ca="1">IFERROR(__xludf.DUMMYFUNCTION("""COMPUTED_VALUE"""),"Hughes, Susan")</f>
        <v>Hughes, Susan</v>
      </c>
      <c r="E143" s="18">
        <f ca="1">IFERROR(__xludf.DUMMYFUNCTION("""COMPUTED_VALUE"""),9781926818863)</f>
        <v>9781926818863</v>
      </c>
      <c r="F143" s="19"/>
      <c r="G143" s="19"/>
    </row>
    <row r="144" spans="1:7" ht="13.15">
      <c r="A144" s="16" t="str">
        <f ca="1">IFERROR(__xludf.DUMMYFUNCTION("""COMPUTED_VALUE"""),"4")</f>
        <v>4</v>
      </c>
      <c r="B144" s="17" t="str">
        <f ca="1">IFERROR(__xludf.DUMMYFUNCTION("""COMPUTED_VALUE"""),"Oh, Rats!: The Story of Rats and People")</f>
        <v>Oh, Rats!: The Story of Rats and People</v>
      </c>
      <c r="C144" s="16" t="str">
        <f ca="1">IFERROR(__xludf.DUMMYFUNCTION("""COMPUTED_VALUE"""),"N")</f>
        <v>N</v>
      </c>
      <c r="D144" s="17" t="str">
        <f ca="1">IFERROR(__xludf.DUMMYFUNCTION("""COMPUTED_VALUE"""),"Marrin, Albert")</f>
        <v>Marrin, Albert</v>
      </c>
      <c r="E144" s="18">
        <f ca="1">IFERROR(__xludf.DUMMYFUNCTION("""COMPUTED_VALUE"""),9780147512819)</f>
        <v>9780147512819</v>
      </c>
      <c r="F144" s="19"/>
      <c r="G144" s="19"/>
    </row>
    <row r="145" spans="1:7" ht="13.15">
      <c r="A145" s="16" t="str">
        <f ca="1">IFERROR(__xludf.DUMMYFUNCTION("""COMPUTED_VALUE"""),"4")</f>
        <v>4</v>
      </c>
      <c r="B145" s="17" t="str">
        <f ca="1">IFERROR(__xludf.DUMMYFUNCTION("""COMPUTED_VALUE"""),"Out to Lunch")</f>
        <v>Out to Lunch</v>
      </c>
      <c r="C145" s="16" t="str">
        <f ca="1">IFERROR(__xludf.DUMMYFUNCTION("""COMPUTED_VALUE"""),"F")</f>
        <v>F</v>
      </c>
      <c r="D145" s="17" t="str">
        <f ca="1">IFERROR(__xludf.DUMMYFUNCTION("""COMPUTED_VALUE"""),"Krulik, Nancy")</f>
        <v>Krulik, Nancy</v>
      </c>
      <c r="E145" s="18">
        <f ca="1">IFERROR(__xludf.DUMMYFUNCTION("""COMPUTED_VALUE"""),9780448426549)</f>
        <v>9780448426549</v>
      </c>
      <c r="F145" s="19"/>
      <c r="G145" s="19"/>
    </row>
    <row r="146" spans="1:7" ht="13.15">
      <c r="A146" s="16" t="str">
        <f ca="1">IFERROR(__xludf.DUMMYFUNCTION("""COMPUTED_VALUE"""),"4")</f>
        <v>4</v>
      </c>
      <c r="B146" s="17" t="str">
        <f ca="1">IFERROR(__xludf.DUMMYFUNCTION("""COMPUTED_VALUE"""),"Pecos Bill: Colossal Cowboy")</f>
        <v>Pecos Bill: Colossal Cowboy</v>
      </c>
      <c r="C146" s="16" t="str">
        <f ca="1">IFERROR(__xludf.DUMMYFUNCTION("""COMPUTED_VALUE"""),"F")</f>
        <v>F</v>
      </c>
      <c r="D146" s="17" t="str">
        <f ca="1">IFERROR(__xludf.DUMMYFUNCTION("""COMPUTED_VALUE"""),"Tulien, Sean")</f>
        <v>Tulien, Sean</v>
      </c>
      <c r="E146" s="18">
        <f ca="1">IFERROR(__xludf.DUMMYFUNCTION("""COMPUTED_VALUE"""),9781434222671)</f>
        <v>9781434222671</v>
      </c>
      <c r="F146" s="19"/>
      <c r="G146" s="19"/>
    </row>
    <row r="147" spans="1:7" ht="13.15">
      <c r="A147" s="16" t="str">
        <f ca="1">IFERROR(__xludf.DUMMYFUNCTION("""COMPUTED_VALUE"""),"4")</f>
        <v>4</v>
      </c>
      <c r="B147" s="17" t="str">
        <f ca="1">IFERROR(__xludf.DUMMYFUNCTION("""COMPUTED_VALUE"""),"Pigling: A Cinderella Story")</f>
        <v>Pigling: A Cinderella Story</v>
      </c>
      <c r="C147" s="16" t="str">
        <f ca="1">IFERROR(__xludf.DUMMYFUNCTION("""COMPUTED_VALUE"""),"F")</f>
        <v>F</v>
      </c>
      <c r="D147" s="17" t="str">
        <f ca="1">IFERROR(__xludf.DUMMYFUNCTION("""COMPUTED_VALUE"""),"Jolley, Dan")</f>
        <v>Jolley, Dan</v>
      </c>
      <c r="E147" s="18">
        <f ca="1">IFERROR(__xludf.DUMMYFUNCTION("""COMPUTED_VALUE"""),9781580138253)</f>
        <v>9781580138253</v>
      </c>
      <c r="F147" s="19"/>
      <c r="G147" s="19"/>
    </row>
    <row r="148" spans="1:7" ht="13.15">
      <c r="A148" s="16" t="str">
        <f ca="1">IFERROR(__xludf.DUMMYFUNCTION("""COMPUTED_VALUE"""),"4")</f>
        <v>4</v>
      </c>
      <c r="B148" s="17" t="str">
        <f ca="1">IFERROR(__xludf.DUMMYFUNCTION("""COMPUTED_VALUE"""),"Pleasing the Ghost")</f>
        <v>Pleasing the Ghost</v>
      </c>
      <c r="C148" s="16" t="str">
        <f ca="1">IFERROR(__xludf.DUMMYFUNCTION("""COMPUTED_VALUE"""),"F")</f>
        <v>F</v>
      </c>
      <c r="D148" s="17" t="str">
        <f ca="1">IFERROR(__xludf.DUMMYFUNCTION("""COMPUTED_VALUE"""),"Creech, Sharon")</f>
        <v>Creech, Sharon</v>
      </c>
      <c r="E148" s="18">
        <f ca="1">IFERROR(__xludf.DUMMYFUNCTION("""COMPUTED_VALUE"""),9780064406864)</f>
        <v>9780064406864</v>
      </c>
      <c r="F148" s="19"/>
      <c r="G148" s="19"/>
    </row>
    <row r="149" spans="1:7" ht="13.15">
      <c r="A149" s="16" t="str">
        <f ca="1">IFERROR(__xludf.DUMMYFUNCTION("""COMPUTED_VALUE"""),"4")</f>
        <v>4</v>
      </c>
      <c r="B149" s="17" t="str">
        <f ca="1">IFERROR(__xludf.DUMMYFUNCTION("""COMPUTED_VALUE"""),"Poppy and Rye")</f>
        <v>Poppy and Rye</v>
      </c>
      <c r="C149" s="16" t="str">
        <f ca="1">IFERROR(__xludf.DUMMYFUNCTION("""COMPUTED_VALUE"""),"F")</f>
        <v>F</v>
      </c>
      <c r="D149" s="17" t="str">
        <f ca="1">IFERROR(__xludf.DUMMYFUNCTION("""COMPUTED_VALUE"""),"Avi")</f>
        <v>Avi</v>
      </c>
      <c r="E149" s="18">
        <f ca="1">IFERROR(__xludf.DUMMYFUNCTION("""COMPUTED_VALUE"""),9780380797172)</f>
        <v>9780380797172</v>
      </c>
      <c r="F149" s="19"/>
      <c r="G149" s="19"/>
    </row>
    <row r="150" spans="1:7" ht="26.45">
      <c r="A150" s="16" t="str">
        <f ca="1">IFERROR(__xludf.DUMMYFUNCTION("""COMPUTED_VALUE"""),"4")</f>
        <v>4</v>
      </c>
      <c r="B150" s="17" t="str">
        <f ca="1">IFERROR(__xludf.DUMMYFUNCTION("""COMPUTED_VALUE"""),"The Prairie Adventure of Sarah and Annie, Blizzard Survivors")</f>
        <v>The Prairie Adventure of Sarah and Annie, Blizzard Survivors</v>
      </c>
      <c r="C150" s="16" t="str">
        <f ca="1">IFERROR(__xludf.DUMMYFUNCTION("""COMPUTED_VALUE"""),"F")</f>
        <v>F</v>
      </c>
      <c r="D150" s="17" t="str">
        <f ca="1">IFERROR(__xludf.DUMMYFUNCTION("""COMPUTED_VALUE"""),"Figley, Marty Rhodes")</f>
        <v>Figley, Marty Rhodes</v>
      </c>
      <c r="E150" s="18">
        <f ca="1">IFERROR(__xludf.DUMMYFUNCTION("""COMPUTED_VALUE"""),9780761378082)</f>
        <v>9780761378082</v>
      </c>
      <c r="F150" s="19"/>
      <c r="G150" s="19"/>
    </row>
    <row r="151" spans="1:7" ht="13.15">
      <c r="A151" s="16" t="str">
        <f ca="1">IFERROR(__xludf.DUMMYFUNCTION("""COMPUTED_VALUE"""),"4")</f>
        <v>4</v>
      </c>
      <c r="B151" s="17" t="str">
        <f ca="1">IFERROR(__xludf.DUMMYFUNCTION("""COMPUTED_VALUE"""),"Revenge of the Dragon Lady")</f>
        <v>Revenge of the Dragon Lady</v>
      </c>
      <c r="C151" s="16" t="str">
        <f ca="1">IFERROR(__xludf.DUMMYFUNCTION("""COMPUTED_VALUE"""),"F")</f>
        <v>F</v>
      </c>
      <c r="D151" s="17" t="str">
        <f ca="1">IFERROR(__xludf.DUMMYFUNCTION("""COMPUTED_VALUE"""),"McMullan, Kate")</f>
        <v>McMullan, Kate</v>
      </c>
      <c r="E151" s="18">
        <f ca="1">IFERROR(__xludf.DUMMYFUNCTION("""COMPUTED_VALUE"""),9780448431093)</f>
        <v>9780448431093</v>
      </c>
      <c r="F151" s="19"/>
      <c r="G151" s="19"/>
    </row>
    <row r="152" spans="1:7" ht="26.45">
      <c r="A152" s="16" t="str">
        <f ca="1">IFERROR(__xludf.DUMMYFUNCTION("""COMPUTED_VALUE"""),"4")</f>
        <v>4</v>
      </c>
      <c r="B152" s="17" t="str">
        <f ca="1">IFERROR(__xludf.DUMMYFUNCTION("""COMPUTED_VALUE"""),"Robin Hood: A Graphic Novel")</f>
        <v>Robin Hood: A Graphic Novel</v>
      </c>
      <c r="C152" s="16" t="str">
        <f ca="1">IFERROR(__xludf.DUMMYFUNCTION("""COMPUTED_VALUE"""),"F")</f>
        <v>F</v>
      </c>
      <c r="D152" s="17" t="str">
        <f ca="1">IFERROR(__xludf.DUMMYFUNCTION("""COMPUTED_VALUE"""),"Shephard, Aaron, &amp; Watson, Anne")</f>
        <v>Shephard, Aaron, &amp; Watson, Anne</v>
      </c>
      <c r="E152" s="18">
        <f ca="1">IFERROR(__xludf.DUMMYFUNCTION("""COMPUTED_VALUE"""),9781496500267)</f>
        <v>9781496500267</v>
      </c>
      <c r="F152" s="19"/>
      <c r="G152" s="19"/>
    </row>
    <row r="153" spans="1:7" ht="13.15">
      <c r="A153" s="16" t="str">
        <f ca="1">IFERROR(__xludf.DUMMYFUNCTION("""COMPUTED_VALUE"""),"4")</f>
        <v>4</v>
      </c>
      <c r="B153" s="17" t="str">
        <f ca="1">IFERROR(__xludf.DUMMYFUNCTION("""COMPUTED_VALUE"""),"Sadako and the Thousand Paper Cranes")</f>
        <v>Sadako and the Thousand Paper Cranes</v>
      </c>
      <c r="C153" s="16" t="str">
        <f ca="1">IFERROR(__xludf.DUMMYFUNCTION("""COMPUTED_VALUE"""),"F")</f>
        <v>F</v>
      </c>
      <c r="D153" s="17" t="str">
        <f ca="1">IFERROR(__xludf.DUMMYFUNCTION("""COMPUTED_VALUE"""),"Coerr, Eleanor")</f>
        <v>Coerr, Eleanor</v>
      </c>
      <c r="E153" s="18">
        <f ca="1">IFERROR(__xludf.DUMMYFUNCTION("""COMPUTED_VALUE"""),9780142401132)</f>
        <v>9780142401132</v>
      </c>
      <c r="F153" s="19"/>
      <c r="G153" s="19"/>
    </row>
    <row r="154" spans="1:7" ht="13.15">
      <c r="A154" s="16" t="str">
        <f ca="1">IFERROR(__xludf.DUMMYFUNCTION("""COMPUTED_VALUE"""),"4")</f>
        <v>4</v>
      </c>
      <c r="B154" s="17" t="str">
        <f ca="1">IFERROR(__xludf.DUMMYFUNCTION("""COMPUTED_VALUE"""),"Savvy")</f>
        <v>Savvy</v>
      </c>
      <c r="C154" s="16" t="str">
        <f ca="1">IFERROR(__xludf.DUMMYFUNCTION("""COMPUTED_VALUE"""),"F")</f>
        <v>F</v>
      </c>
      <c r="D154" s="17" t="str">
        <f ca="1">IFERROR(__xludf.DUMMYFUNCTION("""COMPUTED_VALUE"""),"Law, Ingrid")</f>
        <v>Law, Ingrid</v>
      </c>
      <c r="E154" s="18">
        <f ca="1">IFERROR(__xludf.DUMMYFUNCTION("""COMPUTED_VALUE"""),9780142414330)</f>
        <v>9780142414330</v>
      </c>
      <c r="F154" s="19"/>
      <c r="G154" s="19"/>
    </row>
    <row r="155" spans="1:7" ht="26.45">
      <c r="A155" s="16" t="str">
        <f ca="1">IFERROR(__xludf.DUMMYFUNCTION("""COMPUTED_VALUE"""),"4")</f>
        <v>4</v>
      </c>
      <c r="B155" s="17" t="str">
        <f ca="1">IFERROR(__xludf.DUMMYFUNCTION("""COMPUTED_VALUE"""),"The Science Behind Wonders of the Earth: Cave Crystals, Balancing Rocks, and Snow Donuts")</f>
        <v>The Science Behind Wonders of the Earth: Cave Crystals, Balancing Rocks, and Snow Donuts</v>
      </c>
      <c r="C155" s="16" t="str">
        <f ca="1">IFERROR(__xludf.DUMMYFUNCTION("""COMPUTED_VALUE"""),"N")</f>
        <v>N</v>
      </c>
      <c r="D155" s="17" t="str">
        <f ca="1">IFERROR(__xludf.DUMMYFUNCTION("""COMPUTED_VALUE"""),"Leavitt, Amie Jane")</f>
        <v>Leavitt, Amie Jane</v>
      </c>
      <c r="E155" s="18">
        <f ca="1">IFERROR(__xludf.DUMMYFUNCTION("""COMPUTED_VALUE"""),9781515707790)</f>
        <v>9781515707790</v>
      </c>
      <c r="F155" s="19"/>
      <c r="G155" s="19"/>
    </row>
    <row r="156" spans="1:7" ht="13.15">
      <c r="A156" s="16" t="str">
        <f ca="1">IFERROR(__xludf.DUMMYFUNCTION("""COMPUTED_VALUE"""),"4")</f>
        <v>4</v>
      </c>
      <c r="B156" s="17" t="str">
        <f ca="1">IFERROR(__xludf.DUMMYFUNCTION("""COMPUTED_VALUE"""),"Scumble")</f>
        <v>Scumble</v>
      </c>
      <c r="C156" s="16" t="str">
        <f ca="1">IFERROR(__xludf.DUMMYFUNCTION("""COMPUTED_VALUE"""),"F")</f>
        <v>F</v>
      </c>
      <c r="D156" s="17" t="str">
        <f ca="1">IFERROR(__xludf.DUMMYFUNCTION("""COMPUTED_VALUE"""),"Law, Ingrid")</f>
        <v>Law, Ingrid</v>
      </c>
      <c r="E156" s="18">
        <f ca="1">IFERROR(__xludf.DUMMYFUNCTION("""COMPUTED_VALUE"""),9780142419625)</f>
        <v>9780142419625</v>
      </c>
      <c r="F156" s="19"/>
      <c r="G156" s="19"/>
    </row>
    <row r="157" spans="1:7" ht="13.15">
      <c r="A157" s="16" t="str">
        <f ca="1">IFERROR(__xludf.DUMMYFUNCTION("""COMPUTED_VALUE"""),"4")</f>
        <v>4</v>
      </c>
      <c r="B157" s="17" t="str">
        <f ca="1">IFERROR(__xludf.DUMMYFUNCTION("""COMPUTED_VALUE"""),"The Shadow Door")</f>
        <v>The Shadow Door</v>
      </c>
      <c r="C157" s="16" t="str">
        <f ca="1">IFERROR(__xludf.DUMMYFUNCTION("""COMPUTED_VALUE"""),"F")</f>
        <v>F</v>
      </c>
      <c r="D157" s="17" t="str">
        <f ca="1">IFERROR(__xludf.DUMMYFUNCTION("""COMPUTED_VALUE"""),"Bannister")</f>
        <v>Bannister</v>
      </c>
      <c r="E157" s="18">
        <f ca="1">IFERROR(__xludf.DUMMYFUNCTION("""COMPUTED_VALUE"""),9780761339632)</f>
        <v>9780761339632</v>
      </c>
      <c r="F157" s="19"/>
      <c r="G157" s="19"/>
    </row>
    <row r="158" spans="1:7" ht="13.15">
      <c r="A158" s="16" t="str">
        <f ca="1">IFERROR(__xludf.DUMMYFUNCTION("""COMPUTED_VALUE"""),"4")</f>
        <v>4</v>
      </c>
      <c r="B158" s="17" t="str">
        <f ca="1">IFERROR(__xludf.DUMMYFUNCTION("""COMPUTED_VALUE"""),"Shouldn't You Be in School?")</f>
        <v>Shouldn't You Be in School?</v>
      </c>
      <c r="C158" s="16" t="str">
        <f ca="1">IFERROR(__xludf.DUMMYFUNCTION("""COMPUTED_VALUE"""),"F")</f>
        <v>F</v>
      </c>
      <c r="D158" s="17" t="str">
        <f ca="1">IFERROR(__xludf.DUMMYFUNCTION("""COMPUTED_VALUE"""),"Snicket, Lemony")</f>
        <v>Snicket, Lemony</v>
      </c>
      <c r="E158" s="18">
        <f ca="1">IFERROR(__xludf.DUMMYFUNCTION("""COMPUTED_VALUE"""),9780316380607)</f>
        <v>9780316380607</v>
      </c>
      <c r="F158" s="19"/>
      <c r="G158" s="19"/>
    </row>
    <row r="159" spans="1:7" ht="13.15">
      <c r="A159" s="16" t="str">
        <f ca="1">IFERROR(__xludf.DUMMYFUNCTION("""COMPUTED_VALUE"""),"4")</f>
        <v>4</v>
      </c>
      <c r="B159" s="17" t="str">
        <f ca="1">IFERROR(__xludf.DUMMYFUNCTION("""COMPUTED_VALUE"""),"Shredderman: Attack of the Tagger")</f>
        <v>Shredderman: Attack of the Tagger</v>
      </c>
      <c r="C159" s="16" t="str">
        <f ca="1">IFERROR(__xludf.DUMMYFUNCTION("""COMPUTED_VALUE"""),"F")</f>
        <v>F</v>
      </c>
      <c r="D159" s="17" t="str">
        <f ca="1">IFERROR(__xludf.DUMMYFUNCTION("""COMPUTED_VALUE"""),"Van Draanen, Wendelin")</f>
        <v>Van Draanen, Wendelin</v>
      </c>
      <c r="E159" s="18">
        <f ca="1">IFERROR(__xludf.DUMMYFUNCTION("""COMPUTED_VALUE"""),9780440419136)</f>
        <v>9780440419136</v>
      </c>
      <c r="F159" s="19"/>
      <c r="G159" s="19"/>
    </row>
    <row r="160" spans="1:7" ht="13.15">
      <c r="A160" s="16" t="str">
        <f ca="1">IFERROR(__xludf.DUMMYFUNCTION("""COMPUTED_VALUE"""),"4")</f>
        <v>4</v>
      </c>
      <c r="B160" s="17" t="str">
        <f ca="1">IFERROR(__xludf.DUMMYFUNCTION("""COMPUTED_VALUE"""),"Shredderman: Secret Identity")</f>
        <v>Shredderman: Secret Identity</v>
      </c>
      <c r="C160" s="16" t="str">
        <f ca="1">IFERROR(__xludf.DUMMYFUNCTION("""COMPUTED_VALUE"""),"F")</f>
        <v>F</v>
      </c>
      <c r="D160" s="17" t="str">
        <f ca="1">IFERROR(__xludf.DUMMYFUNCTION("""COMPUTED_VALUE"""),"Van Draanen, Wendelin")</f>
        <v>Van Draanen, Wendelin</v>
      </c>
      <c r="E160" s="18">
        <f ca="1">IFERROR(__xludf.DUMMYFUNCTION("""COMPUTED_VALUE"""),9780440419129)</f>
        <v>9780440419129</v>
      </c>
      <c r="F160" s="19"/>
      <c r="G160" s="19"/>
    </row>
    <row r="161" spans="1:7" ht="13.15">
      <c r="A161" s="16" t="str">
        <f ca="1">IFERROR(__xludf.DUMMYFUNCTION("""COMPUTED_VALUE"""),"4")</f>
        <v>4</v>
      </c>
      <c r="B161" s="17" t="str">
        <f ca="1">IFERROR(__xludf.DUMMYFUNCTION("""COMPUTED_VALUE"""),"Sideways Stories from Wayside School")</f>
        <v>Sideways Stories from Wayside School</v>
      </c>
      <c r="C161" s="16" t="str">
        <f ca="1">IFERROR(__xludf.DUMMYFUNCTION("""COMPUTED_VALUE"""),"F")</f>
        <v>F</v>
      </c>
      <c r="D161" s="17" t="str">
        <f ca="1">IFERROR(__xludf.DUMMYFUNCTION("""COMPUTED_VALUE"""),"Sachar, Louis")</f>
        <v>Sachar, Louis</v>
      </c>
      <c r="E161" s="18">
        <f ca="1">IFERROR(__xludf.DUMMYFUNCTION("""COMPUTED_VALUE"""),9780380698714)</f>
        <v>9780380698714</v>
      </c>
      <c r="F161" s="19"/>
      <c r="G161" s="19"/>
    </row>
    <row r="162" spans="1:7" ht="13.15">
      <c r="A162" s="16" t="str">
        <f ca="1">IFERROR(__xludf.DUMMYFUNCTION("""COMPUTED_VALUE"""),"4")</f>
        <v>4</v>
      </c>
      <c r="B162" s="17" t="str">
        <f ca="1">IFERROR(__xludf.DUMMYFUNCTION("""COMPUTED_VALUE"""),"A Smart Girl's Guide: Friendship Troubles")</f>
        <v>A Smart Girl's Guide: Friendship Troubles</v>
      </c>
      <c r="C162" s="16" t="str">
        <f ca="1">IFERROR(__xludf.DUMMYFUNCTION("""COMPUTED_VALUE"""),"N")</f>
        <v>N</v>
      </c>
      <c r="D162" s="17" t="str">
        <f ca="1">IFERROR(__xludf.DUMMYFUNCTION("""COMPUTED_VALUE"""),"Criswell, Patti Kelley")</f>
        <v>Criswell, Patti Kelley</v>
      </c>
      <c r="E162" s="18">
        <f ca="1">IFERROR(__xludf.DUMMYFUNCTION("""COMPUTED_VALUE"""),9781609582234)</f>
        <v>9781609582234</v>
      </c>
      <c r="F162" s="19"/>
      <c r="G162" s="19"/>
    </row>
    <row r="163" spans="1:7" ht="13.15">
      <c r="A163" s="16" t="str">
        <f ca="1">IFERROR(__xludf.DUMMYFUNCTION("""COMPUTED_VALUE"""),"4")</f>
        <v>4</v>
      </c>
      <c r="B163" s="17" t="str">
        <f ca="1">IFERROR(__xludf.DUMMYFUNCTION("""COMPUTED_VALUE"""),"A Snicker of Magic")</f>
        <v>A Snicker of Magic</v>
      </c>
      <c r="C163" s="16" t="str">
        <f ca="1">IFERROR(__xludf.DUMMYFUNCTION("""COMPUTED_VALUE"""),"F")</f>
        <v>F</v>
      </c>
      <c r="D163" s="17" t="str">
        <f ca="1">IFERROR(__xludf.DUMMYFUNCTION("""COMPUTED_VALUE"""),"Lloyd, Natalie")</f>
        <v>Lloyd, Natalie</v>
      </c>
      <c r="E163" s="18">
        <f ca="1">IFERROR(__xludf.DUMMYFUNCTION("""COMPUTED_VALUE"""),9780545552738)</f>
        <v>9780545552738</v>
      </c>
      <c r="F163" s="19"/>
      <c r="G163" s="19"/>
    </row>
    <row r="164" spans="1:7" ht="13.15">
      <c r="A164" s="16" t="str">
        <f ca="1">IFERROR(__xludf.DUMMYFUNCTION("""COMPUTED_VALUE"""),"4")</f>
        <v>4</v>
      </c>
      <c r="B164" s="17" t="str">
        <f ca="1">IFERROR(__xludf.DUMMYFUNCTION("""COMPUTED_VALUE"""),"Star Scouts")</f>
        <v>Star Scouts</v>
      </c>
      <c r="C164" s="16" t="str">
        <f ca="1">IFERROR(__xludf.DUMMYFUNCTION("""COMPUTED_VALUE"""),"F")</f>
        <v>F</v>
      </c>
      <c r="D164" s="17" t="str">
        <f ca="1">IFERROR(__xludf.DUMMYFUNCTION("""COMPUTED_VALUE"""),"Lawrence, Mike")</f>
        <v>Lawrence, Mike</v>
      </c>
      <c r="E164" s="18">
        <f ca="1">IFERROR(__xludf.DUMMYFUNCTION("""COMPUTED_VALUE"""),9781626722804)</f>
        <v>9781626722804</v>
      </c>
      <c r="F164" s="19"/>
      <c r="G164" s="19"/>
    </row>
    <row r="165" spans="1:7" ht="13.15">
      <c r="A165" s="16" t="str">
        <f ca="1">IFERROR(__xludf.DUMMYFUNCTION("""COMPUTED_VALUE"""),"4")</f>
        <v>4</v>
      </c>
      <c r="B165" s="17" t="str">
        <f ca="1">IFERROR(__xludf.DUMMYFUNCTION("""COMPUTED_VALUE"""),"Still Firetalking")</f>
        <v>Still Firetalking</v>
      </c>
      <c r="C165" s="16" t="str">
        <f ca="1">IFERROR(__xludf.DUMMYFUNCTION("""COMPUTED_VALUE"""),"N")</f>
        <v>N</v>
      </c>
      <c r="D165" s="17" t="str">
        <f ca="1">IFERROR(__xludf.DUMMYFUNCTION("""COMPUTED_VALUE"""),"Polacco, Patricia")</f>
        <v>Polacco, Patricia</v>
      </c>
      <c r="E165" s="18">
        <f ca="1">IFERROR(__xludf.DUMMYFUNCTION("""COMPUTED_VALUE"""),9781572749900)</f>
        <v>9781572749900</v>
      </c>
      <c r="F165" s="19"/>
      <c r="G165" s="19"/>
    </row>
    <row r="166" spans="1:7" ht="13.15">
      <c r="A166" s="16" t="str">
        <f ca="1">IFERROR(__xludf.DUMMYFUNCTION("""COMPUTED_VALUE"""),"4")</f>
        <v>4</v>
      </c>
      <c r="B166" s="17" t="str">
        <f ca="1">IFERROR(__xludf.DUMMYFUNCTION("""COMPUTED_VALUE"""),"Surprise Island")</f>
        <v>Surprise Island</v>
      </c>
      <c r="C166" s="16" t="str">
        <f ca="1">IFERROR(__xludf.DUMMYFUNCTION("""COMPUTED_VALUE"""),"F")</f>
        <v>F</v>
      </c>
      <c r="D166" s="17" t="str">
        <f ca="1">IFERROR(__xludf.DUMMYFUNCTION("""COMPUTED_VALUE"""),"Warner, Gertrude Chandler")</f>
        <v>Warner, Gertrude Chandler</v>
      </c>
      <c r="E166" s="18">
        <f ca="1">IFERROR(__xludf.DUMMYFUNCTION("""COMPUTED_VALUE"""),9780807576748)</f>
        <v>9780807576748</v>
      </c>
      <c r="F166" s="19"/>
      <c r="G166" s="19"/>
    </row>
    <row r="167" spans="1:7" ht="13.15">
      <c r="A167" s="16" t="str">
        <f ca="1">IFERROR(__xludf.DUMMYFUNCTION("""COMPUTED_VALUE"""),"4")</f>
        <v>4</v>
      </c>
      <c r="B167" s="17" t="str">
        <f ca="1">IFERROR(__xludf.DUMMYFUNCTION("""COMPUTED_VALUE"""),"Switch")</f>
        <v>Switch</v>
      </c>
      <c r="C167" s="16" t="str">
        <f ca="1">IFERROR(__xludf.DUMMYFUNCTION("""COMPUTED_VALUE"""),"F")</f>
        <v>F</v>
      </c>
      <c r="D167" s="17" t="str">
        <f ca="1">IFERROR(__xludf.DUMMYFUNCTION("""COMPUTED_VALUE"""),"Law, Ingrid")</f>
        <v>Law, Ingrid</v>
      </c>
      <c r="E167" s="18">
        <f ca="1">IFERROR(__xludf.DUMMYFUNCTION("""COMPUTED_VALUE"""),9780142425701)</f>
        <v>9780142425701</v>
      </c>
      <c r="F167" s="19"/>
      <c r="G167" s="19"/>
    </row>
    <row r="168" spans="1:7" ht="13.15">
      <c r="A168" s="16" t="str">
        <f ca="1">IFERROR(__xludf.DUMMYFUNCTION("""COMPUTED_VALUE"""),"4")</f>
        <v>4</v>
      </c>
      <c r="B168" s="17" t="str">
        <f ca="1">IFERROR(__xludf.DUMMYFUNCTION("""COMPUTED_VALUE"""),"The Tale of Despereaux")</f>
        <v>The Tale of Despereaux</v>
      </c>
      <c r="C168" s="16" t="str">
        <f ca="1">IFERROR(__xludf.DUMMYFUNCTION("""COMPUTED_VALUE"""),"F")</f>
        <v>F</v>
      </c>
      <c r="D168" s="17" t="str">
        <f ca="1">IFERROR(__xludf.DUMMYFUNCTION("""COMPUTED_VALUE"""),"DiCamillo, Kate")</f>
        <v>DiCamillo, Kate</v>
      </c>
      <c r="E168" s="18">
        <f ca="1">IFERROR(__xludf.DUMMYFUNCTION("""COMPUTED_VALUE"""),9780763680893)</f>
        <v>9780763680893</v>
      </c>
      <c r="F168" s="19"/>
      <c r="G168" s="19"/>
    </row>
    <row r="169" spans="1:7" ht="13.15">
      <c r="A169" s="16" t="str">
        <f ca="1">IFERROR(__xludf.DUMMYFUNCTION("""COMPUTED_VALUE"""),"4")</f>
        <v>4</v>
      </c>
      <c r="B169" s="17" t="str">
        <f ca="1">IFERROR(__xludf.DUMMYFUNCTION("""COMPUTED_VALUE"""),"A Taste of Blackberries")</f>
        <v>A Taste of Blackberries</v>
      </c>
      <c r="C169" s="16" t="str">
        <f ca="1">IFERROR(__xludf.DUMMYFUNCTION("""COMPUTED_VALUE"""),"F")</f>
        <v>F</v>
      </c>
      <c r="D169" s="17" t="str">
        <f ca="1">IFERROR(__xludf.DUMMYFUNCTION("""COMPUTED_VALUE"""),"Buchanan Smith, Doris")</f>
        <v>Buchanan Smith, Doris</v>
      </c>
      <c r="E169" s="18">
        <f ca="1">IFERROR(__xludf.DUMMYFUNCTION("""COMPUTED_VALUE"""),9780064402385)</f>
        <v>9780064402385</v>
      </c>
      <c r="F169" s="19"/>
      <c r="G169" s="19"/>
    </row>
    <row r="170" spans="1:7" ht="13.15">
      <c r="A170" s="16" t="str">
        <f ca="1">IFERROR(__xludf.DUMMYFUNCTION("""COMPUTED_VALUE"""),"4")</f>
        <v>4</v>
      </c>
      <c r="B170" s="17" t="str">
        <f ca="1">IFERROR(__xludf.DUMMYFUNCTION("""COMPUTED_VALUE"""),"A Thief in the Village and Other Stories of Jamaica")</f>
        <v>A Thief in the Village and Other Stories of Jamaica</v>
      </c>
      <c r="C170" s="16" t="str">
        <f ca="1">IFERROR(__xludf.DUMMYFUNCTION("""COMPUTED_VALUE"""),"F")</f>
        <v>F</v>
      </c>
      <c r="D170" s="17" t="str">
        <f ca="1">IFERROR(__xludf.DUMMYFUNCTION("""COMPUTED_VALUE"""),"Berry, James")</f>
        <v>Berry, James</v>
      </c>
      <c r="E170" s="18">
        <f ca="1">IFERROR(__xludf.DUMMYFUNCTION("""COMPUTED_VALUE"""),9780140343571)</f>
        <v>9780140343571</v>
      </c>
      <c r="F170" s="19"/>
      <c r="G170" s="19"/>
    </row>
    <row r="171" spans="1:7" ht="13.15">
      <c r="A171" s="16" t="str">
        <f ca="1">IFERROR(__xludf.DUMMYFUNCTION("""COMPUTED_VALUE"""),"4")</f>
        <v>4</v>
      </c>
      <c r="B171" s="17" t="str">
        <f ca="1">IFERROR(__xludf.DUMMYFUNCTION("""COMPUTED_VALUE"""),"The Thing About Georgie")</f>
        <v>The Thing About Georgie</v>
      </c>
      <c r="C171" s="16" t="str">
        <f ca="1">IFERROR(__xludf.DUMMYFUNCTION("""COMPUTED_VALUE"""),"F")</f>
        <v>F</v>
      </c>
      <c r="D171" s="17" t="str">
        <f ca="1">IFERROR(__xludf.DUMMYFUNCTION("""COMPUTED_VALUE"""),"Graff, Lisa")</f>
        <v>Graff, Lisa</v>
      </c>
      <c r="E171" s="18">
        <f ca="1">IFERROR(__xludf.DUMMYFUNCTION("""COMPUTED_VALUE"""),9780060875916)</f>
        <v>9780060875916</v>
      </c>
      <c r="F171" s="19"/>
      <c r="G171" s="19"/>
    </row>
    <row r="172" spans="1:7" ht="13.15">
      <c r="A172" s="16" t="str">
        <f ca="1">IFERROR(__xludf.DUMMYFUNCTION("""COMPUTED_VALUE"""),"4")</f>
        <v>4</v>
      </c>
      <c r="B172" s="17" t="str">
        <f ca="1">IFERROR(__xludf.DUMMYFUNCTION("""COMPUTED_VALUE"""),"Three Good Deeds")</f>
        <v>Three Good Deeds</v>
      </c>
      <c r="C172" s="16" t="str">
        <f ca="1">IFERROR(__xludf.DUMMYFUNCTION("""COMPUTED_VALUE"""),"F")</f>
        <v>F</v>
      </c>
      <c r="D172" s="17" t="str">
        <f ca="1">IFERROR(__xludf.DUMMYFUNCTION("""COMPUTED_VALUE"""),"Vande Velde, Vivian")</f>
        <v>Vande Velde, Vivian</v>
      </c>
      <c r="E172" s="18">
        <f ca="1">IFERROR(__xludf.DUMMYFUNCTION("""COMPUTED_VALUE"""),9780152054557)</f>
        <v>9780152054557</v>
      </c>
      <c r="F172" s="19"/>
      <c r="G172" s="19"/>
    </row>
    <row r="173" spans="1:7" ht="13.15">
      <c r="A173" s="16" t="str">
        <f ca="1">IFERROR(__xludf.DUMMYFUNCTION("""COMPUTED_VALUE"""),"4")</f>
        <v>4</v>
      </c>
      <c r="B173" s="17" t="str">
        <f ca="1">IFERROR(__xludf.DUMMYFUNCTION("""COMPUTED_VALUE"""),"Thunder Creek Ranch")</f>
        <v>Thunder Creek Ranch</v>
      </c>
      <c r="C173" s="16" t="str">
        <f ca="1">IFERROR(__xludf.DUMMYFUNCTION("""COMPUTED_VALUE"""),"F")</f>
        <v>F</v>
      </c>
      <c r="D173" s="17" t="str">
        <f ca="1">IFERROR(__xludf.DUMMYFUNCTION("""COMPUTED_VALUE"""),"Spreen Bates, Sonya")</f>
        <v>Spreen Bates, Sonya</v>
      </c>
      <c r="E173" s="18">
        <f ca="1">IFERROR(__xludf.DUMMYFUNCTION("""COMPUTED_VALUE"""),9781459801127)</f>
        <v>9781459801127</v>
      </c>
      <c r="F173" s="19"/>
      <c r="G173" s="19"/>
    </row>
    <row r="174" spans="1:7" ht="13.15">
      <c r="A174" s="16" t="str">
        <f ca="1">IFERROR(__xludf.DUMMYFUNCTION("""COMPUTED_VALUE"""),"4")</f>
        <v>4</v>
      </c>
      <c r="B174" s="17" t="str">
        <f ca="1">IFERROR(__xludf.DUMMYFUNCTION("""COMPUTED_VALUE"""),"Tiny Creatures")</f>
        <v>Tiny Creatures</v>
      </c>
      <c r="C174" s="16" t="str">
        <f ca="1">IFERROR(__xludf.DUMMYFUNCTION("""COMPUTED_VALUE"""),"N")</f>
        <v>N</v>
      </c>
      <c r="D174" s="17" t="str">
        <f ca="1">IFERROR(__xludf.DUMMYFUNCTION("""COMPUTED_VALUE"""),"Bradley, Timothy")</f>
        <v>Bradley, Timothy</v>
      </c>
      <c r="E174" s="18">
        <f ca="1">IFERROR(__xludf.DUMMYFUNCTION("""COMPUTED_VALUE"""),9781433348624)</f>
        <v>9781433348624</v>
      </c>
      <c r="F174" s="19"/>
      <c r="G174" s="19"/>
    </row>
    <row r="175" spans="1:7" ht="13.15">
      <c r="A175" s="16" t="str">
        <f ca="1">IFERROR(__xludf.DUMMYFUNCTION("""COMPUTED_VALUE"""),"4")</f>
        <v>4</v>
      </c>
      <c r="B175" s="17" t="str">
        <f ca="1">IFERROR(__xludf.DUMMYFUNCTION("""COMPUTED_VALUE"""),"Titanic: Unsinkable")</f>
        <v>Titanic: Unsinkable</v>
      </c>
      <c r="C175" s="16" t="str">
        <f ca="1">IFERROR(__xludf.DUMMYFUNCTION("""COMPUTED_VALUE"""),"F")</f>
        <v>F</v>
      </c>
      <c r="D175" s="17" t="str">
        <f ca="1">IFERROR(__xludf.DUMMYFUNCTION("""COMPUTED_VALUE"""),"Korman, Gordon")</f>
        <v>Korman, Gordon</v>
      </c>
      <c r="E175" s="18">
        <f ca="1">IFERROR(__xludf.DUMMYFUNCTION("""COMPUTED_VALUE"""),9780545123310)</f>
        <v>9780545123310</v>
      </c>
      <c r="F175" s="19"/>
      <c r="G175" s="19"/>
    </row>
    <row r="176" spans="1:7" ht="13.15">
      <c r="A176" s="16" t="str">
        <f ca="1">IFERROR(__xludf.DUMMYFUNCTION("""COMPUTED_VALUE"""),"4")</f>
        <v>4</v>
      </c>
      <c r="B176" s="17" t="str">
        <f ca="1">IFERROR(__xludf.DUMMYFUNCTION("""COMPUTED_VALUE"""),"Titanic: Collision Course")</f>
        <v>Titanic: Collision Course</v>
      </c>
      <c r="C176" s="16" t="str">
        <f ca="1">IFERROR(__xludf.DUMMYFUNCTION("""COMPUTED_VALUE"""),"F")</f>
        <v>F</v>
      </c>
      <c r="D176" s="17" t="str">
        <f ca="1">IFERROR(__xludf.DUMMYFUNCTION("""COMPUTED_VALUE"""),"Korman, Gordon")</f>
        <v>Korman, Gordon</v>
      </c>
      <c r="E176" s="18">
        <f ca="1">IFERROR(__xludf.DUMMYFUNCTION("""COMPUTED_VALUE"""),9780545123327)</f>
        <v>9780545123327</v>
      </c>
      <c r="F176" s="19"/>
      <c r="G176" s="19"/>
    </row>
    <row r="177" spans="1:7" ht="13.15">
      <c r="A177" s="16" t="str">
        <f ca="1">IFERROR(__xludf.DUMMYFUNCTION("""COMPUTED_VALUE"""),"4")</f>
        <v>4</v>
      </c>
      <c r="B177" s="17" t="str">
        <f ca="1">IFERROR(__xludf.DUMMYFUNCTION("""COMPUTED_VALUE"""),"Titanic: S.O.S.")</f>
        <v>Titanic: S.O.S.</v>
      </c>
      <c r="C177" s="16" t="str">
        <f ca="1">IFERROR(__xludf.DUMMYFUNCTION("""COMPUTED_VALUE"""),"F")</f>
        <v>F</v>
      </c>
      <c r="D177" s="17" t="str">
        <f ca="1">IFERROR(__xludf.DUMMYFUNCTION("""COMPUTED_VALUE"""),"Korman, Gordon")</f>
        <v>Korman, Gordon</v>
      </c>
      <c r="E177" s="18">
        <f ca="1">IFERROR(__xludf.DUMMYFUNCTION("""COMPUTED_VALUE"""),9780545123334)</f>
        <v>9780545123334</v>
      </c>
      <c r="F177" s="19"/>
      <c r="G177" s="19"/>
    </row>
    <row r="178" spans="1:7" ht="13.15">
      <c r="A178" s="16" t="str">
        <f ca="1">IFERROR(__xludf.DUMMYFUNCTION("""COMPUTED_VALUE"""),"4")</f>
        <v>4</v>
      </c>
      <c r="B178" s="17" t="str">
        <f ca="1">IFERROR(__xludf.DUMMYFUNCTION("""COMPUTED_VALUE"""),"Tools and Treasures of the Ancient Maya")</f>
        <v>Tools and Treasures of the Ancient Maya</v>
      </c>
      <c r="C178" s="16" t="str">
        <f ca="1">IFERROR(__xludf.DUMMYFUNCTION("""COMPUTED_VALUE"""),"N")</f>
        <v>N</v>
      </c>
      <c r="D178" s="17" t="str">
        <f ca="1">IFERROR(__xludf.DUMMYFUNCTION("""COMPUTED_VALUE"""),"Doeden, Matt")</f>
        <v>Doeden, Matt</v>
      </c>
      <c r="E178" s="18">
        <f ca="1">IFERROR(__xludf.DUMMYFUNCTION("""COMPUTED_VALUE"""),9781467723831)</f>
        <v>9781467723831</v>
      </c>
      <c r="F178" s="19"/>
      <c r="G178" s="19"/>
    </row>
    <row r="179" spans="1:7" ht="13.15">
      <c r="A179" s="16" t="str">
        <f ca="1">IFERROR(__xludf.DUMMYFUNCTION("""COMPUTED_VALUE"""),"4")</f>
        <v>4</v>
      </c>
      <c r="B179" s="17" t="str">
        <f ca="1">IFERROR(__xludf.DUMMYFUNCTION("""COMPUTED_VALUE"""),"The Truth of Me")</f>
        <v>The Truth of Me</v>
      </c>
      <c r="C179" s="16" t="str">
        <f ca="1">IFERROR(__xludf.DUMMYFUNCTION("""COMPUTED_VALUE"""),"F")</f>
        <v>F</v>
      </c>
      <c r="D179" s="17" t="str">
        <f ca="1">IFERROR(__xludf.DUMMYFUNCTION("""COMPUTED_VALUE"""),"MacLachlan, Patricia")</f>
        <v>MacLachlan, Patricia</v>
      </c>
      <c r="E179" s="18">
        <f ca="1">IFERROR(__xludf.DUMMYFUNCTION("""COMPUTED_VALUE"""),9780061998614)</f>
        <v>9780061998614</v>
      </c>
      <c r="F179" s="19"/>
      <c r="G179" s="19"/>
    </row>
    <row r="180" spans="1:7" ht="26.45">
      <c r="A180" s="16" t="str">
        <f ca="1">IFERROR(__xludf.DUMMYFUNCTION("""COMPUTED_VALUE"""),"4")</f>
        <v>4</v>
      </c>
      <c r="B180" s="17" t="str">
        <f ca="1">IFERROR(__xludf.DUMMYFUNCTION("""COMPUTED_VALUE"""),"Upside-Down Magic")</f>
        <v>Upside-Down Magic</v>
      </c>
      <c r="C180" s="16" t="str">
        <f ca="1">IFERROR(__xludf.DUMMYFUNCTION("""COMPUTED_VALUE"""),"F")</f>
        <v>F</v>
      </c>
      <c r="D180" s="17" t="str">
        <f ca="1">IFERROR(__xludf.DUMMYFUNCTION("""COMPUTED_VALUE"""),"Mlynowski, Sarah, Myracle, Lauren, &amp; Jenkins, Emily")</f>
        <v>Mlynowski, Sarah, Myracle, Lauren, &amp; Jenkins, Emily</v>
      </c>
      <c r="E180" s="18">
        <f ca="1">IFERROR(__xludf.DUMMYFUNCTION("""COMPUTED_VALUE"""),9780545800464)</f>
        <v>9780545800464</v>
      </c>
      <c r="F180" s="19"/>
      <c r="G180" s="19"/>
    </row>
    <row r="181" spans="1:7" ht="13.15">
      <c r="A181" s="16" t="str">
        <f ca="1">IFERROR(__xludf.DUMMYFUNCTION("""COMPUTED_VALUE"""),"4")</f>
        <v>4</v>
      </c>
      <c r="B181" s="17" t="str">
        <f ca="1">IFERROR(__xludf.DUMMYFUNCTION("""COMPUTED_VALUE"""),"The Volcano Goddess Will See You Now")</f>
        <v>The Volcano Goddess Will See You Now</v>
      </c>
      <c r="C181" s="16" t="str">
        <f ca="1">IFERROR(__xludf.DUMMYFUNCTION("""COMPUTED_VALUE"""),"F")</f>
        <v>F</v>
      </c>
      <c r="D181" s="17" t="str">
        <f ca="1">IFERROR(__xludf.DUMMYFUNCTION("""COMPUTED_VALUE"""),"Greenburg, Dan")</f>
        <v>Greenburg, Dan</v>
      </c>
      <c r="E181" s="18">
        <f ca="1">IFERROR(__xludf.DUMMYFUNCTION("""COMPUTED_VALUE"""),9780448415598)</f>
        <v>9780448415598</v>
      </c>
      <c r="F181" s="19"/>
      <c r="G181" s="19"/>
    </row>
    <row r="182" spans="1:7" ht="13.15">
      <c r="A182" s="16" t="str">
        <f ca="1">IFERROR(__xludf.DUMMYFUNCTION("""COMPUTED_VALUE"""),"4")</f>
        <v>4</v>
      </c>
      <c r="B182" s="17" t="str">
        <f ca="1">IFERROR(__xludf.DUMMYFUNCTION("""COMPUTED_VALUE"""),"Waiting for Normal")</f>
        <v>Waiting for Normal</v>
      </c>
      <c r="C182" s="16" t="str">
        <f ca="1">IFERROR(__xludf.DUMMYFUNCTION("""COMPUTED_VALUE"""),"F")</f>
        <v>F</v>
      </c>
      <c r="D182" s="17" t="str">
        <f ca="1">IFERROR(__xludf.DUMMYFUNCTION("""COMPUTED_VALUE"""),"Connor, Leslie")</f>
        <v>Connor, Leslie</v>
      </c>
      <c r="E182" s="18">
        <f ca="1">IFERROR(__xludf.DUMMYFUNCTION("""COMPUTED_VALUE"""),9780060890902)</f>
        <v>9780060890902</v>
      </c>
      <c r="F182" s="19"/>
      <c r="G182" s="19"/>
    </row>
    <row r="183" spans="1:7" ht="13.15">
      <c r="A183" s="16" t="str">
        <f ca="1">IFERROR(__xludf.DUMMYFUNCTION("""COMPUTED_VALUE"""),"4")</f>
        <v>4</v>
      </c>
      <c r="B183" s="17" t="str">
        <f ca="1">IFERROR(__xludf.DUMMYFUNCTION("""COMPUTED_VALUE"""),"Water Habitats")</f>
        <v>Water Habitats</v>
      </c>
      <c r="C183" s="16" t="str">
        <f ca="1">IFERROR(__xludf.DUMMYFUNCTION("""COMPUTED_VALUE"""),"N")</f>
        <v>N</v>
      </c>
      <c r="D183" s="17" t="str">
        <f ca="1">IFERROR(__xludf.DUMMYFUNCTION("""COMPUTED_VALUE"""),"Kalman, Bobbie")</f>
        <v>Kalman, Bobbie</v>
      </c>
      <c r="E183" s="18">
        <f ca="1">IFERROR(__xludf.DUMMYFUNCTION("""COMPUTED_VALUE"""),9780778729778)</f>
        <v>9780778729778</v>
      </c>
      <c r="F183" s="19"/>
      <c r="G183" s="19"/>
    </row>
    <row r="184" spans="1:7" ht="13.15">
      <c r="A184" s="16" t="str">
        <f ca="1">IFERROR(__xludf.DUMMYFUNCTION("""COMPUTED_VALUE"""),"4")</f>
        <v>4</v>
      </c>
      <c r="B184" s="17" t="str">
        <f ca="1">IFERROR(__xludf.DUMMYFUNCTION("""COMPUTED_VALUE"""),"Wayside School Is Falling Down")</f>
        <v>Wayside School Is Falling Down</v>
      </c>
      <c r="C184" s="16" t="str">
        <f ca="1">IFERROR(__xludf.DUMMYFUNCTION("""COMPUTED_VALUE"""),"F")</f>
        <v>F</v>
      </c>
      <c r="D184" s="17" t="str">
        <f ca="1">IFERROR(__xludf.DUMMYFUNCTION("""COMPUTED_VALUE"""),"Sachar, Louis")</f>
        <v>Sachar, Louis</v>
      </c>
      <c r="E184" s="18">
        <f ca="1">IFERROR(__xludf.DUMMYFUNCTION("""COMPUTED_VALUE"""),9780380754847)</f>
        <v>9780380754847</v>
      </c>
      <c r="F184" s="19"/>
      <c r="G184" s="19"/>
    </row>
    <row r="185" spans="1:7" ht="13.15">
      <c r="A185" s="16" t="str">
        <f ca="1">IFERROR(__xludf.DUMMYFUNCTION("""COMPUTED_VALUE"""),"4")</f>
        <v>4</v>
      </c>
      <c r="B185" s="17" t="str">
        <f ca="1">IFERROR(__xludf.DUMMYFUNCTION("""COMPUTED_VALUE"""),"We Meet Again")</f>
        <v>We Meet Again</v>
      </c>
      <c r="C185" s="16" t="str">
        <f ca="1">IFERROR(__xludf.DUMMYFUNCTION("""COMPUTED_VALUE"""),"F")</f>
        <v>F</v>
      </c>
      <c r="D185" s="17" t="str">
        <f ca="1">IFERROR(__xludf.DUMMYFUNCTION("""COMPUTED_VALUE"""),"Pastis, Stephan")</f>
        <v>Pastis, Stephan</v>
      </c>
      <c r="E185" s="18">
        <f ca="1">IFERROR(__xludf.DUMMYFUNCTION("""COMPUTED_VALUE"""),9780763691066)</f>
        <v>9780763691066</v>
      </c>
      <c r="F185" s="19"/>
      <c r="G185" s="19"/>
    </row>
    <row r="186" spans="1:7" ht="13.15">
      <c r="A186" s="16" t="str">
        <f ca="1">IFERROR(__xludf.DUMMYFUNCTION("""COMPUTED_VALUE"""),"4")</f>
        <v>4</v>
      </c>
      <c r="B186" s="17" t="str">
        <f ca="1">IFERROR(__xludf.DUMMYFUNCTION("""COMPUTED_VALUE"""),"Wedding Drama")</f>
        <v>Wedding Drama</v>
      </c>
      <c r="C186" s="16" t="str">
        <f ca="1">IFERROR(__xludf.DUMMYFUNCTION("""COMPUTED_VALUE"""),"F")</f>
        <v>F</v>
      </c>
      <c r="D186" s="17" t="str">
        <f ca="1">IFERROR(__xludf.DUMMYFUNCTION("""COMPUTED_VALUE"""),"English, Karen")</f>
        <v>English, Karen</v>
      </c>
      <c r="E186" s="18">
        <f ca="1">IFERROR(__xludf.DUMMYFUNCTION("""COMPUTED_VALUE"""),9780544003248)</f>
        <v>9780544003248</v>
      </c>
      <c r="F186" s="19"/>
      <c r="G186" s="19"/>
    </row>
    <row r="187" spans="1:7" ht="13.15">
      <c r="A187" s="16" t="str">
        <f ca="1">IFERROR(__xludf.DUMMYFUNCTION("""COMPUTED_VALUE"""),"4")</f>
        <v>4</v>
      </c>
      <c r="B187" s="17" t="str">
        <f ca="1">IFERROR(__xludf.DUMMYFUNCTION("""COMPUTED_VALUE"""),"A Wedding for Wiglaf?")</f>
        <v>A Wedding for Wiglaf?</v>
      </c>
      <c r="C187" s="16" t="str">
        <f ca="1">IFERROR(__xludf.DUMMYFUNCTION("""COMPUTED_VALUE"""),"F")</f>
        <v>F</v>
      </c>
      <c r="D187" s="17" t="str">
        <f ca="1">IFERROR(__xludf.DUMMYFUNCTION("""COMPUTED_VALUE"""),"McMullan, Kate")</f>
        <v>McMullan, Kate</v>
      </c>
      <c r="E187" s="18">
        <f ca="1">IFERROR(__xludf.DUMMYFUNCTION("""COMPUTED_VALUE"""),9780448431116)</f>
        <v>9780448431116</v>
      </c>
      <c r="F187" s="19"/>
      <c r="G187" s="19"/>
    </row>
    <row r="188" spans="1:7" ht="13.15">
      <c r="A188" s="16" t="str">
        <f ca="1">IFERROR(__xludf.DUMMYFUNCTION("""COMPUTED_VALUE"""),"4")</f>
        <v>4</v>
      </c>
      <c r="B188" s="17" t="str">
        <f ca="1">IFERROR(__xludf.DUMMYFUNCTION("""COMPUTED_VALUE"""),"When Did You See Her Last?")</f>
        <v>When Did You See Her Last?</v>
      </c>
      <c r="C188" s="16" t="str">
        <f ca="1">IFERROR(__xludf.DUMMYFUNCTION("""COMPUTED_VALUE"""),"F")</f>
        <v>F</v>
      </c>
      <c r="D188" s="17" t="str">
        <f ca="1">IFERROR(__xludf.DUMMYFUNCTION("""COMPUTED_VALUE"""),"Snicket, Lemony")</f>
        <v>Snicket, Lemony</v>
      </c>
      <c r="E188" s="18">
        <f ca="1">IFERROR(__xludf.DUMMYFUNCTION("""COMPUTED_VALUE"""),9780316336840)</f>
        <v>9780316336840</v>
      </c>
      <c r="F188" s="19"/>
      <c r="G188" s="19"/>
    </row>
    <row r="189" spans="1:7" ht="13.15">
      <c r="A189" s="16" t="str">
        <f ca="1">IFERROR(__xludf.DUMMYFUNCTION("""COMPUTED_VALUE"""),"4")</f>
        <v>4</v>
      </c>
      <c r="B189" s="17" t="str">
        <f ca="1">IFERROR(__xludf.DUMMYFUNCTION("""COMPUTED_VALUE"""),"Who Could That Be at This Hour?")</f>
        <v>Who Could That Be at This Hour?</v>
      </c>
      <c r="C189" s="16" t="str">
        <f ca="1">IFERROR(__xludf.DUMMYFUNCTION("""COMPUTED_VALUE"""),"F")</f>
        <v>F</v>
      </c>
      <c r="D189" s="17" t="str">
        <f ca="1">IFERROR(__xludf.DUMMYFUNCTION("""COMPUTED_VALUE"""),"Snicket, Lemony")</f>
        <v>Snicket, Lemony</v>
      </c>
      <c r="E189" s="18">
        <f ca="1">IFERROR(__xludf.DUMMYFUNCTION("""COMPUTED_VALUE"""),9780316335478)</f>
        <v>9780316335478</v>
      </c>
      <c r="F189" s="19"/>
      <c r="G189" s="19"/>
    </row>
    <row r="190" spans="1:7" ht="13.15">
      <c r="A190" s="16" t="str">
        <f ca="1">IFERROR(__xludf.DUMMYFUNCTION("""COMPUTED_VALUE"""),"4")</f>
        <v>4</v>
      </c>
      <c r="B190" s="17" t="str">
        <f ca="1">IFERROR(__xludf.DUMMYFUNCTION("""COMPUTED_VALUE"""),"Who Was Ferdinand Magellan?")</f>
        <v>Who Was Ferdinand Magellan?</v>
      </c>
      <c r="C190" s="16" t="str">
        <f ca="1">IFERROR(__xludf.DUMMYFUNCTION("""COMPUTED_VALUE"""),"N")</f>
        <v>N</v>
      </c>
      <c r="D190" s="17" t="str">
        <f ca="1">IFERROR(__xludf.DUMMYFUNCTION("""COMPUTED_VALUE"""),"Kramer, Sydelle")</f>
        <v>Kramer, Sydelle</v>
      </c>
      <c r="E190" s="18">
        <f ca="1">IFERROR(__xludf.DUMMYFUNCTION("""COMPUTED_VALUE"""),9780448431055)</f>
        <v>9780448431055</v>
      </c>
      <c r="F190" s="19"/>
      <c r="G190" s="19"/>
    </row>
    <row r="191" spans="1:7" ht="13.15">
      <c r="A191" s="16" t="str">
        <f ca="1">IFERROR(__xludf.DUMMYFUNCTION("""COMPUTED_VALUE"""),"4")</f>
        <v>4</v>
      </c>
      <c r="B191" s="17" t="str">
        <f ca="1">IFERROR(__xludf.DUMMYFUNCTION("""COMPUTED_VALUE"""),"Who Was Jackie Robinson?")</f>
        <v>Who Was Jackie Robinson?</v>
      </c>
      <c r="C191" s="16" t="str">
        <f ca="1">IFERROR(__xludf.DUMMYFUNCTION("""COMPUTED_VALUE"""),"N")</f>
        <v>N</v>
      </c>
      <c r="D191" s="17" t="str">
        <f ca="1">IFERROR(__xludf.DUMMYFUNCTION("""COMPUTED_VALUE"""),"Herman, Gail")</f>
        <v>Herman, Gail</v>
      </c>
      <c r="E191" s="18">
        <f ca="1">IFERROR(__xludf.DUMMYFUNCTION("""COMPUTED_VALUE"""),9780448455570)</f>
        <v>9780448455570</v>
      </c>
      <c r="F191" s="19"/>
      <c r="G191" s="19"/>
    </row>
    <row r="192" spans="1:7" ht="13.15">
      <c r="A192" s="16" t="str">
        <f ca="1">IFERROR(__xludf.DUMMYFUNCTION("""COMPUTED_VALUE"""),"4")</f>
        <v>4</v>
      </c>
      <c r="B192" s="17" t="str">
        <f ca="1">IFERROR(__xludf.DUMMYFUNCTION("""COMPUTED_VALUE"""),"Who Was Marie Curie?")</f>
        <v>Who Was Marie Curie?</v>
      </c>
      <c r="C192" s="16" t="str">
        <f ca="1">IFERROR(__xludf.DUMMYFUNCTION("""COMPUTED_VALUE"""),"N")</f>
        <v>N</v>
      </c>
      <c r="D192" s="17" t="str">
        <f ca="1">IFERROR(__xludf.DUMMYFUNCTION("""COMPUTED_VALUE"""),"Stine, Megan")</f>
        <v>Stine, Megan</v>
      </c>
      <c r="E192" s="18">
        <f ca="1">IFERROR(__xludf.DUMMYFUNCTION("""COMPUTED_VALUE"""),9780448478968)</f>
        <v>9780448478968</v>
      </c>
      <c r="F192" s="19"/>
      <c r="G192" s="19"/>
    </row>
    <row r="193" spans="1:7" ht="13.15">
      <c r="A193" s="16" t="str">
        <f ca="1">IFERROR(__xludf.DUMMYFUNCTION("""COMPUTED_VALUE"""),"4")</f>
        <v>4</v>
      </c>
      <c r="B193" s="17" t="str">
        <f ca="1">IFERROR(__xludf.DUMMYFUNCTION("""COMPUTED_VALUE"""),"A Whole New Ballgame")</f>
        <v>A Whole New Ballgame</v>
      </c>
      <c r="C193" s="16" t="str">
        <f ca="1">IFERROR(__xludf.DUMMYFUNCTION("""COMPUTED_VALUE"""),"F")</f>
        <v>F</v>
      </c>
      <c r="D193" s="17" t="str">
        <f ca="1">IFERROR(__xludf.DUMMYFUNCTION("""COMPUTED_VALUE"""),"Bildner, Phil")</f>
        <v>Bildner, Phil</v>
      </c>
      <c r="E193" s="18">
        <f ca="1">IFERROR(__xludf.DUMMYFUNCTION("""COMPUTED_VALUE"""),9781250079763)</f>
        <v>9781250079763</v>
      </c>
      <c r="F193" s="19"/>
      <c r="G193" s="19"/>
    </row>
    <row r="194" spans="1:7" ht="13.15">
      <c r="A194" s="16" t="str">
        <f ca="1">IFERROR(__xludf.DUMMYFUNCTION("""COMPUTED_VALUE"""),"4")</f>
        <v>4</v>
      </c>
      <c r="B194" s="17" t="str">
        <f ca="1">IFERROR(__xludf.DUMMYFUNCTION("""COMPUTED_VALUE"""),"The Willoughbys")</f>
        <v>The Willoughbys</v>
      </c>
      <c r="C194" s="16" t="str">
        <f ca="1">IFERROR(__xludf.DUMMYFUNCTION("""COMPUTED_VALUE"""),"F")</f>
        <v>F</v>
      </c>
      <c r="D194" s="17" t="str">
        <f ca="1">IFERROR(__xludf.DUMMYFUNCTION("""COMPUTED_VALUE"""),"Lowry, Lois")</f>
        <v>Lowry, Lois</v>
      </c>
      <c r="E194" s="18">
        <f ca="1">IFERROR(__xludf.DUMMYFUNCTION("""COMPUTED_VALUE"""),9780385737760)</f>
        <v>9780385737760</v>
      </c>
      <c r="F194" s="19"/>
      <c r="G194" s="19"/>
    </row>
    <row r="195" spans="1:7" ht="13.15">
      <c r="A195" s="16" t="str">
        <f ca="1">IFERROR(__xludf.DUMMYFUNCTION("""COMPUTED_VALUE"""),"4")</f>
        <v>4</v>
      </c>
      <c r="B195" s="17" t="str">
        <f ca="1">IFERROR(__xludf.DUMMYFUNCTION("""COMPUTED_VALUE"""),"The Witches")</f>
        <v>The Witches</v>
      </c>
      <c r="C195" s="16" t="str">
        <f ca="1">IFERROR(__xludf.DUMMYFUNCTION("""COMPUTED_VALUE"""),"F")</f>
        <v>F</v>
      </c>
      <c r="D195" s="17" t="str">
        <f ca="1">IFERROR(__xludf.DUMMYFUNCTION("""COMPUTED_VALUE"""),"Dahl, Roald")</f>
        <v>Dahl, Roald</v>
      </c>
      <c r="E195" s="18">
        <f ca="1">IFERROR(__xludf.DUMMYFUNCTION("""COMPUTED_VALUE"""),9780142410110)</f>
        <v>9780142410110</v>
      </c>
      <c r="F195" s="19"/>
      <c r="G195" s="19"/>
    </row>
    <row r="196" spans="1:7" ht="13.15">
      <c r="A196" s="16" t="str">
        <f ca="1">IFERROR(__xludf.DUMMYFUNCTION("""COMPUTED_VALUE"""),"4")</f>
        <v>4</v>
      </c>
      <c r="B196" s="17" t="str">
        <f ca="1">IFERROR(__xludf.DUMMYFUNCTION("""COMPUTED_VALUE"""),"The Wolves of Willoughby Chase")</f>
        <v>The Wolves of Willoughby Chase</v>
      </c>
      <c r="C196" s="16" t="str">
        <f ca="1">IFERROR(__xludf.DUMMYFUNCTION("""COMPUTED_VALUE"""),"F")</f>
        <v>F</v>
      </c>
      <c r="D196" s="17" t="str">
        <f ca="1">IFERROR(__xludf.DUMMYFUNCTION("""COMPUTED_VALUE"""),"Aiken, Joan")</f>
        <v>Aiken, Joan</v>
      </c>
      <c r="E196" s="18">
        <f ca="1">IFERROR(__xludf.DUMMYFUNCTION("""COMPUTED_VALUE"""),9780440496038)</f>
        <v>9780440496038</v>
      </c>
      <c r="F196" s="19"/>
      <c r="G196" s="19"/>
    </row>
    <row r="197" spans="1:7" ht="13.15">
      <c r="A197" s="16" t="str">
        <f ca="1">IFERROR(__xludf.DUMMYFUNCTION("""COMPUTED_VALUE"""),"4")</f>
        <v>4</v>
      </c>
      <c r="B197" s="17" t="str">
        <f ca="1">IFERROR(__xludf.DUMMYFUNCTION("""COMPUTED_VALUE"""),"The Year of the Baby")</f>
        <v>The Year of the Baby</v>
      </c>
      <c r="C197" s="16" t="str">
        <f ca="1">IFERROR(__xludf.DUMMYFUNCTION("""COMPUTED_VALUE"""),"F")</f>
        <v>F</v>
      </c>
      <c r="D197" s="17" t="str">
        <f ca="1">IFERROR(__xludf.DUMMYFUNCTION("""COMPUTED_VALUE"""),"Cheng, Andrea")</f>
        <v>Cheng, Andrea</v>
      </c>
      <c r="E197" s="18">
        <f ca="1">IFERROR(__xludf.DUMMYFUNCTION("""COMPUTED_VALUE"""),9780544225251)</f>
        <v>9780544225251</v>
      </c>
      <c r="F197" s="19"/>
      <c r="G197" s="19"/>
    </row>
    <row r="198" spans="1:7" ht="13.15">
      <c r="A198" s="16" t="str">
        <f ca="1">IFERROR(__xludf.DUMMYFUNCTION("""COMPUTED_VALUE"""),"4")</f>
        <v>4</v>
      </c>
      <c r="B198" s="17" t="str">
        <f ca="1">IFERROR(__xludf.DUMMYFUNCTION("""COMPUTED_VALUE"""),"The Year of the Book")</f>
        <v>The Year of the Book</v>
      </c>
      <c r="C198" s="16" t="str">
        <f ca="1">IFERROR(__xludf.DUMMYFUNCTION("""COMPUTED_VALUE"""),"F")</f>
        <v>F</v>
      </c>
      <c r="D198" s="17" t="str">
        <f ca="1">IFERROR(__xludf.DUMMYFUNCTION("""COMPUTED_VALUE"""),"Cheng, Andrea")</f>
        <v>Cheng, Andrea</v>
      </c>
      <c r="E198" s="18">
        <f ca="1">IFERROR(__xludf.DUMMYFUNCTION("""COMPUTED_VALUE"""),9780544022638)</f>
        <v>9780544022638</v>
      </c>
      <c r="F198" s="19"/>
      <c r="G198" s="19"/>
    </row>
    <row r="199" spans="1:7" ht="13.15">
      <c r="A199" s="16" t="str">
        <f ca="1">IFERROR(__xludf.DUMMYFUNCTION("""COMPUTED_VALUE"""),"4")</f>
        <v>4</v>
      </c>
      <c r="B199" s="17" t="str">
        <f ca="1">IFERROR(__xludf.DUMMYFUNCTION("""COMPUTED_VALUE"""),"The Year of the Fortune Cookie")</f>
        <v>The Year of the Fortune Cookie</v>
      </c>
      <c r="C199" s="16" t="str">
        <f ca="1">IFERROR(__xludf.DUMMYFUNCTION("""COMPUTED_VALUE"""),"F")</f>
        <v>F</v>
      </c>
      <c r="D199" s="17" t="str">
        <f ca="1">IFERROR(__xludf.DUMMYFUNCTION("""COMPUTED_VALUE"""),"Cheng, Andrea")</f>
        <v>Cheng, Andrea</v>
      </c>
      <c r="E199" s="18">
        <f ca="1">IFERROR(__xludf.DUMMYFUNCTION("""COMPUTED_VALUE"""),9780544455924)</f>
        <v>9780544455924</v>
      </c>
      <c r="F199" s="19"/>
      <c r="G199" s="19"/>
    </row>
    <row r="200" spans="1:7" ht="13.15">
      <c r="A200" s="16" t="str">
        <f ca="1">IFERROR(__xludf.DUMMYFUNCTION("""COMPUTED_VALUE"""),"4")</f>
        <v>4</v>
      </c>
      <c r="B200" s="17" t="str">
        <f ca="1">IFERROR(__xludf.DUMMYFUNCTION("""COMPUTED_VALUE"""),"The Yellow House Mystery")</f>
        <v>The Yellow House Mystery</v>
      </c>
      <c r="C200" s="16" t="str">
        <f ca="1">IFERROR(__xludf.DUMMYFUNCTION("""COMPUTED_VALUE"""),"F")</f>
        <v>F</v>
      </c>
      <c r="D200" s="17" t="str">
        <f ca="1">IFERROR(__xludf.DUMMYFUNCTION("""COMPUTED_VALUE"""),"Warner, Gertrude Chandler")</f>
        <v>Warner, Gertrude Chandler</v>
      </c>
      <c r="E200" s="18">
        <f ca="1">IFERROR(__xludf.DUMMYFUNCTION("""COMPUTED_VALUE"""),9780807593660)</f>
        <v>9780807593660</v>
      </c>
      <c r="F200" s="19"/>
      <c r="G200" s="19"/>
    </row>
    <row r="201" spans="1:7" ht="13.15">
      <c r="A201" s="16" t="str">
        <f ca="1">IFERROR(__xludf.DUMMYFUNCTION("""COMPUTED_VALUE"""),"4")</f>
        <v>4</v>
      </c>
      <c r="B201" s="17" t="str">
        <f ca="1">IFERROR(__xludf.DUMMYFUNCTION("""COMPUTED_VALUE"""),"Your Life as an Explorer on a Viking Ship")</f>
        <v>Your Life as an Explorer on a Viking Ship</v>
      </c>
      <c r="C201" s="16" t="str">
        <f ca="1">IFERROR(__xludf.DUMMYFUNCTION("""COMPUTED_VALUE"""),"H")</f>
        <v>H</v>
      </c>
      <c r="D201" s="17" t="str">
        <f ca="1">IFERROR(__xludf.DUMMYFUNCTION("""COMPUTED_VALUE"""),"Troupe, Thomas Kingsley")</f>
        <v>Troupe, Thomas Kingsley</v>
      </c>
      <c r="E201" s="18">
        <f ca="1">IFERROR(__xludf.DUMMYFUNCTION("""COMPUTED_VALUE"""),9781404872523)</f>
        <v>9781404872523</v>
      </c>
      <c r="F201" s="19"/>
      <c r="G201" s="19"/>
    </row>
    <row r="202" spans="1:7" ht="13.15">
      <c r="A202" s="16" t="str">
        <f ca="1">IFERROR(__xludf.DUMMYFUNCTION("""COMPUTED_VALUE"""),"4")</f>
        <v>4</v>
      </c>
      <c r="B202" s="17" t="str">
        <f ca="1">IFERROR(__xludf.DUMMYFUNCTION("""COMPUTED_VALUE"""),"Zita the Spacegirl: Far from Home")</f>
        <v>Zita the Spacegirl: Far from Home</v>
      </c>
      <c r="C202" s="16" t="str">
        <f ca="1">IFERROR(__xludf.DUMMYFUNCTION("""COMPUTED_VALUE"""),"F")</f>
        <v>F</v>
      </c>
      <c r="D202" s="17" t="str">
        <f ca="1">IFERROR(__xludf.DUMMYFUNCTION("""COMPUTED_VALUE"""),"Hatke, Ben")</f>
        <v>Hatke, Ben</v>
      </c>
      <c r="E202" s="18">
        <f ca="1">IFERROR(__xludf.DUMMYFUNCTION("""COMPUTED_VALUE"""),9781596434462)</f>
        <v>9781596434462</v>
      </c>
      <c r="F202" s="19"/>
      <c r="G202" s="19"/>
    </row>
  </sheetData>
  <mergeCells count="1">
    <mergeCell ref="A1:G1"/>
  </mergeCells>
  <conditionalFormatting sqref="A2">
    <cfRule type="expression" dxfId="5" priority="1">
      <formula>B2=""</formula>
    </cfRule>
  </conditionalFormatting>
  <conditionalFormatting sqref="B2:B611">
    <cfRule type="expression" dxfId="4" priority="3">
      <formula>D2=""</formula>
    </cfRule>
  </conditionalFormatting>
  <conditionalFormatting sqref="C2:C611">
    <cfRule type="beginsWith" dxfId="3" priority="2" operator="beginsWith" text="N">
      <formula>LEFT((C2),LEN("N"))=("N")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233F-77FC-4FB1-ACDC-5C35C08A35E5}">
  <sheetPr>
    <tabColor rgb="FFFF0000"/>
  </sheetPr>
  <dimension ref="A1:C112"/>
  <sheetViews>
    <sheetView workbookViewId="0">
      <selection activeCell="B22" sqref="B22"/>
    </sheetView>
  </sheetViews>
  <sheetFormatPr defaultRowHeight="13.15"/>
  <cols>
    <col min="1" max="1" width="14.140625" style="20" bestFit="1" customWidth="1"/>
    <col min="2" max="2" width="65.85546875" style="20" bestFit="1" customWidth="1"/>
    <col min="3" max="3" width="36.7109375" style="20" bestFit="1" customWidth="1"/>
    <col min="4" max="251" width="8.85546875" style="20"/>
    <col min="252" max="252" width="10.140625" style="20" bestFit="1" customWidth="1"/>
    <col min="253" max="253" width="7.7109375" style="20" bestFit="1" customWidth="1"/>
    <col min="254" max="254" width="14.140625" style="20" bestFit="1" customWidth="1"/>
    <col min="255" max="255" width="65.85546875" style="20" bestFit="1" customWidth="1"/>
    <col min="256" max="256" width="36.7109375" style="20" bestFit="1" customWidth="1"/>
    <col min="257" max="257" width="8.85546875" style="20" bestFit="1" customWidth="1"/>
    <col min="258" max="258" width="9.7109375" style="20" bestFit="1" customWidth="1"/>
    <col min="259" max="259" width="13.85546875" style="20" bestFit="1" customWidth="1"/>
    <col min="260" max="507" width="8.85546875" style="20"/>
    <col min="508" max="508" width="10.140625" style="20" bestFit="1" customWidth="1"/>
    <col min="509" max="509" width="7.7109375" style="20" bestFit="1" customWidth="1"/>
    <col min="510" max="510" width="14.140625" style="20" bestFit="1" customWidth="1"/>
    <col min="511" max="511" width="65.85546875" style="20" bestFit="1" customWidth="1"/>
    <col min="512" max="512" width="36.7109375" style="20" bestFit="1" customWidth="1"/>
    <col min="513" max="513" width="8.85546875" style="20" bestFit="1" customWidth="1"/>
    <col min="514" max="514" width="9.7109375" style="20" bestFit="1" customWidth="1"/>
    <col min="515" max="515" width="13.85546875" style="20" bestFit="1" customWidth="1"/>
    <col min="516" max="763" width="8.85546875" style="20"/>
    <col min="764" max="764" width="10.140625" style="20" bestFit="1" customWidth="1"/>
    <col min="765" max="765" width="7.7109375" style="20" bestFit="1" customWidth="1"/>
    <col min="766" max="766" width="14.140625" style="20" bestFit="1" customWidth="1"/>
    <col min="767" max="767" width="65.85546875" style="20" bestFit="1" customWidth="1"/>
    <col min="768" max="768" width="36.7109375" style="20" bestFit="1" customWidth="1"/>
    <col min="769" max="769" width="8.85546875" style="20" bestFit="1" customWidth="1"/>
    <col min="770" max="770" width="9.7109375" style="20" bestFit="1" customWidth="1"/>
    <col min="771" max="771" width="13.85546875" style="20" bestFit="1" customWidth="1"/>
    <col min="772" max="1019" width="8.85546875" style="20"/>
    <col min="1020" max="1020" width="10.140625" style="20" bestFit="1" customWidth="1"/>
    <col min="1021" max="1021" width="7.7109375" style="20" bestFit="1" customWidth="1"/>
    <col min="1022" max="1022" width="14.140625" style="20" bestFit="1" customWidth="1"/>
    <col min="1023" max="1023" width="65.85546875" style="20" bestFit="1" customWidth="1"/>
    <col min="1024" max="1024" width="36.7109375" style="20" bestFit="1" customWidth="1"/>
    <col min="1025" max="1025" width="8.85546875" style="20" bestFit="1" customWidth="1"/>
    <col min="1026" max="1026" width="9.7109375" style="20" bestFit="1" customWidth="1"/>
    <col min="1027" max="1027" width="13.85546875" style="20" bestFit="1" customWidth="1"/>
    <col min="1028" max="1275" width="8.85546875" style="20"/>
    <col min="1276" max="1276" width="10.140625" style="20" bestFit="1" customWidth="1"/>
    <col min="1277" max="1277" width="7.7109375" style="20" bestFit="1" customWidth="1"/>
    <col min="1278" max="1278" width="14.140625" style="20" bestFit="1" customWidth="1"/>
    <col min="1279" max="1279" width="65.85546875" style="20" bestFit="1" customWidth="1"/>
    <col min="1280" max="1280" width="36.7109375" style="20" bestFit="1" customWidth="1"/>
    <col min="1281" max="1281" width="8.85546875" style="20" bestFit="1" customWidth="1"/>
    <col min="1282" max="1282" width="9.7109375" style="20" bestFit="1" customWidth="1"/>
    <col min="1283" max="1283" width="13.85546875" style="20" bestFit="1" customWidth="1"/>
    <col min="1284" max="1531" width="8.85546875" style="20"/>
    <col min="1532" max="1532" width="10.140625" style="20" bestFit="1" customWidth="1"/>
    <col min="1533" max="1533" width="7.7109375" style="20" bestFit="1" customWidth="1"/>
    <col min="1534" max="1534" width="14.140625" style="20" bestFit="1" customWidth="1"/>
    <col min="1535" max="1535" width="65.85546875" style="20" bestFit="1" customWidth="1"/>
    <col min="1536" max="1536" width="36.7109375" style="20" bestFit="1" customWidth="1"/>
    <col min="1537" max="1537" width="8.85546875" style="20" bestFit="1" customWidth="1"/>
    <col min="1538" max="1538" width="9.7109375" style="20" bestFit="1" customWidth="1"/>
    <col min="1539" max="1539" width="13.85546875" style="20" bestFit="1" customWidth="1"/>
    <col min="1540" max="1787" width="8.85546875" style="20"/>
    <col min="1788" max="1788" width="10.140625" style="20" bestFit="1" customWidth="1"/>
    <col min="1789" max="1789" width="7.7109375" style="20" bestFit="1" customWidth="1"/>
    <col min="1790" max="1790" width="14.140625" style="20" bestFit="1" customWidth="1"/>
    <col min="1791" max="1791" width="65.85546875" style="20" bestFit="1" customWidth="1"/>
    <col min="1792" max="1792" width="36.7109375" style="20" bestFit="1" customWidth="1"/>
    <col min="1793" max="1793" width="8.85546875" style="20" bestFit="1" customWidth="1"/>
    <col min="1794" max="1794" width="9.7109375" style="20" bestFit="1" customWidth="1"/>
    <col min="1795" max="1795" width="13.85546875" style="20" bestFit="1" customWidth="1"/>
    <col min="1796" max="2043" width="8.85546875" style="20"/>
    <col min="2044" max="2044" width="10.140625" style="20" bestFit="1" customWidth="1"/>
    <col min="2045" max="2045" width="7.7109375" style="20" bestFit="1" customWidth="1"/>
    <col min="2046" max="2046" width="14.140625" style="20" bestFit="1" customWidth="1"/>
    <col min="2047" max="2047" width="65.85546875" style="20" bestFit="1" customWidth="1"/>
    <col min="2048" max="2048" width="36.7109375" style="20" bestFit="1" customWidth="1"/>
    <col min="2049" max="2049" width="8.85546875" style="20" bestFit="1" customWidth="1"/>
    <col min="2050" max="2050" width="9.7109375" style="20" bestFit="1" customWidth="1"/>
    <col min="2051" max="2051" width="13.85546875" style="20" bestFit="1" customWidth="1"/>
    <col min="2052" max="2299" width="8.85546875" style="20"/>
    <col min="2300" max="2300" width="10.140625" style="20" bestFit="1" customWidth="1"/>
    <col min="2301" max="2301" width="7.7109375" style="20" bestFit="1" customWidth="1"/>
    <col min="2302" max="2302" width="14.140625" style="20" bestFit="1" customWidth="1"/>
    <col min="2303" max="2303" width="65.85546875" style="20" bestFit="1" customWidth="1"/>
    <col min="2304" max="2304" width="36.7109375" style="20" bestFit="1" customWidth="1"/>
    <col min="2305" max="2305" width="8.85546875" style="20" bestFit="1" customWidth="1"/>
    <col min="2306" max="2306" width="9.7109375" style="20" bestFit="1" customWidth="1"/>
    <col min="2307" max="2307" width="13.85546875" style="20" bestFit="1" customWidth="1"/>
    <col min="2308" max="2555" width="8.85546875" style="20"/>
    <col min="2556" max="2556" width="10.140625" style="20" bestFit="1" customWidth="1"/>
    <col min="2557" max="2557" width="7.7109375" style="20" bestFit="1" customWidth="1"/>
    <col min="2558" max="2558" width="14.140625" style="20" bestFit="1" customWidth="1"/>
    <col min="2559" max="2559" width="65.85546875" style="20" bestFit="1" customWidth="1"/>
    <col min="2560" max="2560" width="36.7109375" style="20" bestFit="1" customWidth="1"/>
    <col min="2561" max="2561" width="8.85546875" style="20" bestFit="1" customWidth="1"/>
    <col min="2562" max="2562" width="9.7109375" style="20" bestFit="1" customWidth="1"/>
    <col min="2563" max="2563" width="13.85546875" style="20" bestFit="1" customWidth="1"/>
    <col min="2564" max="2811" width="8.85546875" style="20"/>
    <col min="2812" max="2812" width="10.140625" style="20" bestFit="1" customWidth="1"/>
    <col min="2813" max="2813" width="7.7109375" style="20" bestFit="1" customWidth="1"/>
    <col min="2814" max="2814" width="14.140625" style="20" bestFit="1" customWidth="1"/>
    <col min="2815" max="2815" width="65.85546875" style="20" bestFit="1" customWidth="1"/>
    <col min="2816" max="2816" width="36.7109375" style="20" bestFit="1" customWidth="1"/>
    <col min="2817" max="2817" width="8.85546875" style="20" bestFit="1" customWidth="1"/>
    <col min="2818" max="2818" width="9.7109375" style="20" bestFit="1" customWidth="1"/>
    <col min="2819" max="2819" width="13.85546875" style="20" bestFit="1" customWidth="1"/>
    <col min="2820" max="3067" width="8.85546875" style="20"/>
    <col min="3068" max="3068" width="10.140625" style="20" bestFit="1" customWidth="1"/>
    <col min="3069" max="3069" width="7.7109375" style="20" bestFit="1" customWidth="1"/>
    <col min="3070" max="3070" width="14.140625" style="20" bestFit="1" customWidth="1"/>
    <col min="3071" max="3071" width="65.85546875" style="20" bestFit="1" customWidth="1"/>
    <col min="3072" max="3072" width="36.7109375" style="20" bestFit="1" customWidth="1"/>
    <col min="3073" max="3073" width="8.85546875" style="20" bestFit="1" customWidth="1"/>
    <col min="3074" max="3074" width="9.7109375" style="20" bestFit="1" customWidth="1"/>
    <col min="3075" max="3075" width="13.85546875" style="20" bestFit="1" customWidth="1"/>
    <col min="3076" max="3323" width="8.85546875" style="20"/>
    <col min="3324" max="3324" width="10.140625" style="20" bestFit="1" customWidth="1"/>
    <col min="3325" max="3325" width="7.7109375" style="20" bestFit="1" customWidth="1"/>
    <col min="3326" max="3326" width="14.140625" style="20" bestFit="1" customWidth="1"/>
    <col min="3327" max="3327" width="65.85546875" style="20" bestFit="1" customWidth="1"/>
    <col min="3328" max="3328" width="36.7109375" style="20" bestFit="1" customWidth="1"/>
    <col min="3329" max="3329" width="8.85546875" style="20" bestFit="1" customWidth="1"/>
    <col min="3330" max="3330" width="9.7109375" style="20" bestFit="1" customWidth="1"/>
    <col min="3331" max="3331" width="13.85546875" style="20" bestFit="1" customWidth="1"/>
    <col min="3332" max="3579" width="8.85546875" style="20"/>
    <col min="3580" max="3580" width="10.140625" style="20" bestFit="1" customWidth="1"/>
    <col min="3581" max="3581" width="7.7109375" style="20" bestFit="1" customWidth="1"/>
    <col min="3582" max="3582" width="14.140625" style="20" bestFit="1" customWidth="1"/>
    <col min="3583" max="3583" width="65.85546875" style="20" bestFit="1" customWidth="1"/>
    <col min="3584" max="3584" width="36.7109375" style="20" bestFit="1" customWidth="1"/>
    <col min="3585" max="3585" width="8.85546875" style="20" bestFit="1" customWidth="1"/>
    <col min="3586" max="3586" width="9.7109375" style="20" bestFit="1" customWidth="1"/>
    <col min="3587" max="3587" width="13.85546875" style="20" bestFit="1" customWidth="1"/>
    <col min="3588" max="3835" width="8.85546875" style="20"/>
    <col min="3836" max="3836" width="10.140625" style="20" bestFit="1" customWidth="1"/>
    <col min="3837" max="3837" width="7.7109375" style="20" bestFit="1" customWidth="1"/>
    <col min="3838" max="3838" width="14.140625" style="20" bestFit="1" customWidth="1"/>
    <col min="3839" max="3839" width="65.85546875" style="20" bestFit="1" customWidth="1"/>
    <col min="3840" max="3840" width="36.7109375" style="20" bestFit="1" customWidth="1"/>
    <col min="3841" max="3841" width="8.85546875" style="20" bestFit="1" customWidth="1"/>
    <col min="3842" max="3842" width="9.7109375" style="20" bestFit="1" customWidth="1"/>
    <col min="3843" max="3843" width="13.85546875" style="20" bestFit="1" customWidth="1"/>
    <col min="3844" max="4091" width="8.85546875" style="20"/>
    <col min="4092" max="4092" width="10.140625" style="20" bestFit="1" customWidth="1"/>
    <col min="4093" max="4093" width="7.7109375" style="20" bestFit="1" customWidth="1"/>
    <col min="4094" max="4094" width="14.140625" style="20" bestFit="1" customWidth="1"/>
    <col min="4095" max="4095" width="65.85546875" style="20" bestFit="1" customWidth="1"/>
    <col min="4096" max="4096" width="36.7109375" style="20" bestFit="1" customWidth="1"/>
    <col min="4097" max="4097" width="8.85546875" style="20" bestFit="1" customWidth="1"/>
    <col min="4098" max="4098" width="9.7109375" style="20" bestFit="1" customWidth="1"/>
    <col min="4099" max="4099" width="13.85546875" style="20" bestFit="1" customWidth="1"/>
    <col min="4100" max="4347" width="8.85546875" style="20"/>
    <col min="4348" max="4348" width="10.140625" style="20" bestFit="1" customWidth="1"/>
    <col min="4349" max="4349" width="7.7109375" style="20" bestFit="1" customWidth="1"/>
    <col min="4350" max="4350" width="14.140625" style="20" bestFit="1" customWidth="1"/>
    <col min="4351" max="4351" width="65.85546875" style="20" bestFit="1" customWidth="1"/>
    <col min="4352" max="4352" width="36.7109375" style="20" bestFit="1" customWidth="1"/>
    <col min="4353" max="4353" width="8.85546875" style="20" bestFit="1" customWidth="1"/>
    <col min="4354" max="4354" width="9.7109375" style="20" bestFit="1" customWidth="1"/>
    <col min="4355" max="4355" width="13.85546875" style="20" bestFit="1" customWidth="1"/>
    <col min="4356" max="4603" width="8.85546875" style="20"/>
    <col min="4604" max="4604" width="10.140625" style="20" bestFit="1" customWidth="1"/>
    <col min="4605" max="4605" width="7.7109375" style="20" bestFit="1" customWidth="1"/>
    <col min="4606" max="4606" width="14.140625" style="20" bestFit="1" customWidth="1"/>
    <col min="4607" max="4607" width="65.85546875" style="20" bestFit="1" customWidth="1"/>
    <col min="4608" max="4608" width="36.7109375" style="20" bestFit="1" customWidth="1"/>
    <col min="4609" max="4609" width="8.85546875" style="20" bestFit="1" customWidth="1"/>
    <col min="4610" max="4610" width="9.7109375" style="20" bestFit="1" customWidth="1"/>
    <col min="4611" max="4611" width="13.85546875" style="20" bestFit="1" customWidth="1"/>
    <col min="4612" max="4859" width="8.85546875" style="20"/>
    <col min="4860" max="4860" width="10.140625" style="20" bestFit="1" customWidth="1"/>
    <col min="4861" max="4861" width="7.7109375" style="20" bestFit="1" customWidth="1"/>
    <col min="4862" max="4862" width="14.140625" style="20" bestFit="1" customWidth="1"/>
    <col min="4863" max="4863" width="65.85546875" style="20" bestFit="1" customWidth="1"/>
    <col min="4864" max="4864" width="36.7109375" style="20" bestFit="1" customWidth="1"/>
    <col min="4865" max="4865" width="8.85546875" style="20" bestFit="1" customWidth="1"/>
    <col min="4866" max="4866" width="9.7109375" style="20" bestFit="1" customWidth="1"/>
    <col min="4867" max="4867" width="13.85546875" style="20" bestFit="1" customWidth="1"/>
    <col min="4868" max="5115" width="8.85546875" style="20"/>
    <col min="5116" max="5116" width="10.140625" style="20" bestFit="1" customWidth="1"/>
    <col min="5117" max="5117" width="7.7109375" style="20" bestFit="1" customWidth="1"/>
    <col min="5118" max="5118" width="14.140625" style="20" bestFit="1" customWidth="1"/>
    <col min="5119" max="5119" width="65.85546875" style="20" bestFit="1" customWidth="1"/>
    <col min="5120" max="5120" width="36.7109375" style="20" bestFit="1" customWidth="1"/>
    <col min="5121" max="5121" width="8.85546875" style="20" bestFit="1" customWidth="1"/>
    <col min="5122" max="5122" width="9.7109375" style="20" bestFit="1" customWidth="1"/>
    <col min="5123" max="5123" width="13.85546875" style="20" bestFit="1" customWidth="1"/>
    <col min="5124" max="5371" width="8.85546875" style="20"/>
    <col min="5372" max="5372" width="10.140625" style="20" bestFit="1" customWidth="1"/>
    <col min="5373" max="5373" width="7.7109375" style="20" bestFit="1" customWidth="1"/>
    <col min="5374" max="5374" width="14.140625" style="20" bestFit="1" customWidth="1"/>
    <col min="5375" max="5375" width="65.85546875" style="20" bestFit="1" customWidth="1"/>
    <col min="5376" max="5376" width="36.7109375" style="20" bestFit="1" customWidth="1"/>
    <col min="5377" max="5377" width="8.85546875" style="20" bestFit="1" customWidth="1"/>
    <col min="5378" max="5378" width="9.7109375" style="20" bestFit="1" customWidth="1"/>
    <col min="5379" max="5379" width="13.85546875" style="20" bestFit="1" customWidth="1"/>
    <col min="5380" max="5627" width="8.85546875" style="20"/>
    <col min="5628" max="5628" width="10.140625" style="20" bestFit="1" customWidth="1"/>
    <col min="5629" max="5629" width="7.7109375" style="20" bestFit="1" customWidth="1"/>
    <col min="5630" max="5630" width="14.140625" style="20" bestFit="1" customWidth="1"/>
    <col min="5631" max="5631" width="65.85546875" style="20" bestFit="1" customWidth="1"/>
    <col min="5632" max="5632" width="36.7109375" style="20" bestFit="1" customWidth="1"/>
    <col min="5633" max="5633" width="8.85546875" style="20" bestFit="1" customWidth="1"/>
    <col min="5634" max="5634" width="9.7109375" style="20" bestFit="1" customWidth="1"/>
    <col min="5635" max="5635" width="13.85546875" style="20" bestFit="1" customWidth="1"/>
    <col min="5636" max="5883" width="8.85546875" style="20"/>
    <col min="5884" max="5884" width="10.140625" style="20" bestFit="1" customWidth="1"/>
    <col min="5885" max="5885" width="7.7109375" style="20" bestFit="1" customWidth="1"/>
    <col min="5886" max="5886" width="14.140625" style="20" bestFit="1" customWidth="1"/>
    <col min="5887" max="5887" width="65.85546875" style="20" bestFit="1" customWidth="1"/>
    <col min="5888" max="5888" width="36.7109375" style="20" bestFit="1" customWidth="1"/>
    <col min="5889" max="5889" width="8.85546875" style="20" bestFit="1" customWidth="1"/>
    <col min="5890" max="5890" width="9.7109375" style="20" bestFit="1" customWidth="1"/>
    <col min="5891" max="5891" width="13.85546875" style="20" bestFit="1" customWidth="1"/>
    <col min="5892" max="6139" width="8.85546875" style="20"/>
    <col min="6140" max="6140" width="10.140625" style="20" bestFit="1" customWidth="1"/>
    <col min="6141" max="6141" width="7.7109375" style="20" bestFit="1" customWidth="1"/>
    <col min="6142" max="6142" width="14.140625" style="20" bestFit="1" customWidth="1"/>
    <col min="6143" max="6143" width="65.85546875" style="20" bestFit="1" customWidth="1"/>
    <col min="6144" max="6144" width="36.7109375" style="20" bestFit="1" customWidth="1"/>
    <col min="6145" max="6145" width="8.85546875" style="20" bestFit="1" customWidth="1"/>
    <col min="6146" max="6146" width="9.7109375" style="20" bestFit="1" customWidth="1"/>
    <col min="6147" max="6147" width="13.85546875" style="20" bestFit="1" customWidth="1"/>
    <col min="6148" max="6395" width="8.85546875" style="20"/>
    <col min="6396" max="6396" width="10.140625" style="20" bestFit="1" customWidth="1"/>
    <col min="6397" max="6397" width="7.7109375" style="20" bestFit="1" customWidth="1"/>
    <col min="6398" max="6398" width="14.140625" style="20" bestFit="1" customWidth="1"/>
    <col min="6399" max="6399" width="65.85546875" style="20" bestFit="1" customWidth="1"/>
    <col min="6400" max="6400" width="36.7109375" style="20" bestFit="1" customWidth="1"/>
    <col min="6401" max="6401" width="8.85546875" style="20" bestFit="1" customWidth="1"/>
    <col min="6402" max="6402" width="9.7109375" style="20" bestFit="1" customWidth="1"/>
    <col min="6403" max="6403" width="13.85546875" style="20" bestFit="1" customWidth="1"/>
    <col min="6404" max="6651" width="8.85546875" style="20"/>
    <col min="6652" max="6652" width="10.140625" style="20" bestFit="1" customWidth="1"/>
    <col min="6653" max="6653" width="7.7109375" style="20" bestFit="1" customWidth="1"/>
    <col min="6654" max="6654" width="14.140625" style="20" bestFit="1" customWidth="1"/>
    <col min="6655" max="6655" width="65.85546875" style="20" bestFit="1" customWidth="1"/>
    <col min="6656" max="6656" width="36.7109375" style="20" bestFit="1" customWidth="1"/>
    <col min="6657" max="6657" width="8.85546875" style="20" bestFit="1" customWidth="1"/>
    <col min="6658" max="6658" width="9.7109375" style="20" bestFit="1" customWidth="1"/>
    <col min="6659" max="6659" width="13.85546875" style="20" bestFit="1" customWidth="1"/>
    <col min="6660" max="6907" width="8.85546875" style="20"/>
    <col min="6908" max="6908" width="10.140625" style="20" bestFit="1" customWidth="1"/>
    <col min="6909" max="6909" width="7.7109375" style="20" bestFit="1" customWidth="1"/>
    <col min="6910" max="6910" width="14.140625" style="20" bestFit="1" customWidth="1"/>
    <col min="6911" max="6911" width="65.85546875" style="20" bestFit="1" customWidth="1"/>
    <col min="6912" max="6912" width="36.7109375" style="20" bestFit="1" customWidth="1"/>
    <col min="6913" max="6913" width="8.85546875" style="20" bestFit="1" customWidth="1"/>
    <col min="6914" max="6914" width="9.7109375" style="20" bestFit="1" customWidth="1"/>
    <col min="6915" max="6915" width="13.85546875" style="20" bestFit="1" customWidth="1"/>
    <col min="6916" max="7163" width="8.85546875" style="20"/>
    <col min="7164" max="7164" width="10.140625" style="20" bestFit="1" customWidth="1"/>
    <col min="7165" max="7165" width="7.7109375" style="20" bestFit="1" customWidth="1"/>
    <col min="7166" max="7166" width="14.140625" style="20" bestFit="1" customWidth="1"/>
    <col min="7167" max="7167" width="65.85546875" style="20" bestFit="1" customWidth="1"/>
    <col min="7168" max="7168" width="36.7109375" style="20" bestFit="1" customWidth="1"/>
    <col min="7169" max="7169" width="8.85546875" style="20" bestFit="1" customWidth="1"/>
    <col min="7170" max="7170" width="9.7109375" style="20" bestFit="1" customWidth="1"/>
    <col min="7171" max="7171" width="13.85546875" style="20" bestFit="1" customWidth="1"/>
    <col min="7172" max="7419" width="8.85546875" style="20"/>
    <col min="7420" max="7420" width="10.140625" style="20" bestFit="1" customWidth="1"/>
    <col min="7421" max="7421" width="7.7109375" style="20" bestFit="1" customWidth="1"/>
    <col min="7422" max="7422" width="14.140625" style="20" bestFit="1" customWidth="1"/>
    <col min="7423" max="7423" width="65.85546875" style="20" bestFit="1" customWidth="1"/>
    <col min="7424" max="7424" width="36.7109375" style="20" bestFit="1" customWidth="1"/>
    <col min="7425" max="7425" width="8.85546875" style="20" bestFit="1" customWidth="1"/>
    <col min="7426" max="7426" width="9.7109375" style="20" bestFit="1" customWidth="1"/>
    <col min="7427" max="7427" width="13.85546875" style="20" bestFit="1" customWidth="1"/>
    <col min="7428" max="7675" width="8.85546875" style="20"/>
    <col min="7676" max="7676" width="10.140625" style="20" bestFit="1" customWidth="1"/>
    <col min="7677" max="7677" width="7.7109375" style="20" bestFit="1" customWidth="1"/>
    <col min="7678" max="7678" width="14.140625" style="20" bestFit="1" customWidth="1"/>
    <col min="7679" max="7679" width="65.85546875" style="20" bestFit="1" customWidth="1"/>
    <col min="7680" max="7680" width="36.7109375" style="20" bestFit="1" customWidth="1"/>
    <col min="7681" max="7681" width="8.85546875" style="20" bestFit="1" customWidth="1"/>
    <col min="7682" max="7682" width="9.7109375" style="20" bestFit="1" customWidth="1"/>
    <col min="7683" max="7683" width="13.85546875" style="20" bestFit="1" customWidth="1"/>
    <col min="7684" max="7931" width="8.85546875" style="20"/>
    <col min="7932" max="7932" width="10.140625" style="20" bestFit="1" customWidth="1"/>
    <col min="7933" max="7933" width="7.7109375" style="20" bestFit="1" customWidth="1"/>
    <col min="7934" max="7934" width="14.140625" style="20" bestFit="1" customWidth="1"/>
    <col min="7935" max="7935" width="65.85546875" style="20" bestFit="1" customWidth="1"/>
    <col min="7936" max="7936" width="36.7109375" style="20" bestFit="1" customWidth="1"/>
    <col min="7937" max="7937" width="8.85546875" style="20" bestFit="1" customWidth="1"/>
    <col min="7938" max="7938" width="9.7109375" style="20" bestFit="1" customWidth="1"/>
    <col min="7939" max="7939" width="13.85546875" style="20" bestFit="1" customWidth="1"/>
    <col min="7940" max="8187" width="8.85546875" style="20"/>
    <col min="8188" max="8188" width="10.140625" style="20" bestFit="1" customWidth="1"/>
    <col min="8189" max="8189" width="7.7109375" style="20" bestFit="1" customWidth="1"/>
    <col min="8190" max="8190" width="14.140625" style="20" bestFit="1" customWidth="1"/>
    <col min="8191" max="8191" width="65.85546875" style="20" bestFit="1" customWidth="1"/>
    <col min="8192" max="8192" width="36.7109375" style="20" bestFit="1" customWidth="1"/>
    <col min="8193" max="8193" width="8.85546875" style="20" bestFit="1" customWidth="1"/>
    <col min="8194" max="8194" width="9.7109375" style="20" bestFit="1" customWidth="1"/>
    <col min="8195" max="8195" width="13.85546875" style="20" bestFit="1" customWidth="1"/>
    <col min="8196" max="8443" width="8.85546875" style="20"/>
    <col min="8444" max="8444" width="10.140625" style="20" bestFit="1" customWidth="1"/>
    <col min="8445" max="8445" width="7.7109375" style="20" bestFit="1" customWidth="1"/>
    <col min="8446" max="8446" width="14.140625" style="20" bestFit="1" customWidth="1"/>
    <col min="8447" max="8447" width="65.85546875" style="20" bestFit="1" customWidth="1"/>
    <col min="8448" max="8448" width="36.7109375" style="20" bestFit="1" customWidth="1"/>
    <col min="8449" max="8449" width="8.85546875" style="20" bestFit="1" customWidth="1"/>
    <col min="8450" max="8450" width="9.7109375" style="20" bestFit="1" customWidth="1"/>
    <col min="8451" max="8451" width="13.85546875" style="20" bestFit="1" customWidth="1"/>
    <col min="8452" max="8699" width="8.85546875" style="20"/>
    <col min="8700" max="8700" width="10.140625" style="20" bestFit="1" customWidth="1"/>
    <col min="8701" max="8701" width="7.7109375" style="20" bestFit="1" customWidth="1"/>
    <col min="8702" max="8702" width="14.140625" style="20" bestFit="1" customWidth="1"/>
    <col min="8703" max="8703" width="65.85546875" style="20" bestFit="1" customWidth="1"/>
    <col min="8704" max="8704" width="36.7109375" style="20" bestFit="1" customWidth="1"/>
    <col min="8705" max="8705" width="8.85546875" style="20" bestFit="1" customWidth="1"/>
    <col min="8706" max="8706" width="9.7109375" style="20" bestFit="1" customWidth="1"/>
    <col min="8707" max="8707" width="13.85546875" style="20" bestFit="1" customWidth="1"/>
    <col min="8708" max="8955" width="8.85546875" style="20"/>
    <col min="8956" max="8956" width="10.140625" style="20" bestFit="1" customWidth="1"/>
    <col min="8957" max="8957" width="7.7109375" style="20" bestFit="1" customWidth="1"/>
    <col min="8958" max="8958" width="14.140625" style="20" bestFit="1" customWidth="1"/>
    <col min="8959" max="8959" width="65.85546875" style="20" bestFit="1" customWidth="1"/>
    <col min="8960" max="8960" width="36.7109375" style="20" bestFit="1" customWidth="1"/>
    <col min="8961" max="8961" width="8.85546875" style="20" bestFit="1" customWidth="1"/>
    <col min="8962" max="8962" width="9.7109375" style="20" bestFit="1" customWidth="1"/>
    <col min="8963" max="8963" width="13.85546875" style="20" bestFit="1" customWidth="1"/>
    <col min="8964" max="9211" width="8.85546875" style="20"/>
    <col min="9212" max="9212" width="10.140625" style="20" bestFit="1" customWidth="1"/>
    <col min="9213" max="9213" width="7.7109375" style="20" bestFit="1" customWidth="1"/>
    <col min="9214" max="9214" width="14.140625" style="20" bestFit="1" customWidth="1"/>
    <col min="9215" max="9215" width="65.85546875" style="20" bestFit="1" customWidth="1"/>
    <col min="9216" max="9216" width="36.7109375" style="20" bestFit="1" customWidth="1"/>
    <col min="9217" max="9217" width="8.85546875" style="20" bestFit="1" customWidth="1"/>
    <col min="9218" max="9218" width="9.7109375" style="20" bestFit="1" customWidth="1"/>
    <col min="9219" max="9219" width="13.85546875" style="20" bestFit="1" customWidth="1"/>
    <col min="9220" max="9467" width="8.85546875" style="20"/>
    <col min="9468" max="9468" width="10.140625" style="20" bestFit="1" customWidth="1"/>
    <col min="9469" max="9469" width="7.7109375" style="20" bestFit="1" customWidth="1"/>
    <col min="9470" max="9470" width="14.140625" style="20" bestFit="1" customWidth="1"/>
    <col min="9471" max="9471" width="65.85546875" style="20" bestFit="1" customWidth="1"/>
    <col min="9472" max="9472" width="36.7109375" style="20" bestFit="1" customWidth="1"/>
    <col min="9473" max="9473" width="8.85546875" style="20" bestFit="1" customWidth="1"/>
    <col min="9474" max="9474" width="9.7109375" style="20" bestFit="1" customWidth="1"/>
    <col min="9475" max="9475" width="13.85546875" style="20" bestFit="1" customWidth="1"/>
    <col min="9476" max="9723" width="8.85546875" style="20"/>
    <col min="9724" max="9724" width="10.140625" style="20" bestFit="1" customWidth="1"/>
    <col min="9725" max="9725" width="7.7109375" style="20" bestFit="1" customWidth="1"/>
    <col min="9726" max="9726" width="14.140625" style="20" bestFit="1" customWidth="1"/>
    <col min="9727" max="9727" width="65.85546875" style="20" bestFit="1" customWidth="1"/>
    <col min="9728" max="9728" width="36.7109375" style="20" bestFit="1" customWidth="1"/>
    <col min="9729" max="9729" width="8.85546875" style="20" bestFit="1" customWidth="1"/>
    <col min="9730" max="9730" width="9.7109375" style="20" bestFit="1" customWidth="1"/>
    <col min="9731" max="9731" width="13.85546875" style="20" bestFit="1" customWidth="1"/>
    <col min="9732" max="9979" width="8.85546875" style="20"/>
    <col min="9980" max="9980" width="10.140625" style="20" bestFit="1" customWidth="1"/>
    <col min="9981" max="9981" width="7.7109375" style="20" bestFit="1" customWidth="1"/>
    <col min="9982" max="9982" width="14.140625" style="20" bestFit="1" customWidth="1"/>
    <col min="9983" max="9983" width="65.85546875" style="20" bestFit="1" customWidth="1"/>
    <col min="9984" max="9984" width="36.7109375" style="20" bestFit="1" customWidth="1"/>
    <col min="9985" max="9985" width="8.85546875" style="20" bestFit="1" customWidth="1"/>
    <col min="9986" max="9986" width="9.7109375" style="20" bestFit="1" customWidth="1"/>
    <col min="9987" max="9987" width="13.85546875" style="20" bestFit="1" customWidth="1"/>
    <col min="9988" max="10235" width="8.85546875" style="20"/>
    <col min="10236" max="10236" width="10.140625" style="20" bestFit="1" customWidth="1"/>
    <col min="10237" max="10237" width="7.7109375" style="20" bestFit="1" customWidth="1"/>
    <col min="10238" max="10238" width="14.140625" style="20" bestFit="1" customWidth="1"/>
    <col min="10239" max="10239" width="65.85546875" style="20" bestFit="1" customWidth="1"/>
    <col min="10240" max="10240" width="36.7109375" style="20" bestFit="1" customWidth="1"/>
    <col min="10241" max="10241" width="8.85546875" style="20" bestFit="1" customWidth="1"/>
    <col min="10242" max="10242" width="9.7109375" style="20" bestFit="1" customWidth="1"/>
    <col min="10243" max="10243" width="13.85546875" style="20" bestFit="1" customWidth="1"/>
    <col min="10244" max="10491" width="8.85546875" style="20"/>
    <col min="10492" max="10492" width="10.140625" style="20" bestFit="1" customWidth="1"/>
    <col min="10493" max="10493" width="7.7109375" style="20" bestFit="1" customWidth="1"/>
    <col min="10494" max="10494" width="14.140625" style="20" bestFit="1" customWidth="1"/>
    <col min="10495" max="10495" width="65.85546875" style="20" bestFit="1" customWidth="1"/>
    <col min="10496" max="10496" width="36.7109375" style="20" bestFit="1" customWidth="1"/>
    <col min="10497" max="10497" width="8.85546875" style="20" bestFit="1" customWidth="1"/>
    <col min="10498" max="10498" width="9.7109375" style="20" bestFit="1" customWidth="1"/>
    <col min="10499" max="10499" width="13.85546875" style="20" bestFit="1" customWidth="1"/>
    <col min="10500" max="10747" width="8.85546875" style="20"/>
    <col min="10748" max="10748" width="10.140625" style="20" bestFit="1" customWidth="1"/>
    <col min="10749" max="10749" width="7.7109375" style="20" bestFit="1" customWidth="1"/>
    <col min="10750" max="10750" width="14.140625" style="20" bestFit="1" customWidth="1"/>
    <col min="10751" max="10751" width="65.85546875" style="20" bestFit="1" customWidth="1"/>
    <col min="10752" max="10752" width="36.7109375" style="20" bestFit="1" customWidth="1"/>
    <col min="10753" max="10753" width="8.85546875" style="20" bestFit="1" customWidth="1"/>
    <col min="10754" max="10754" width="9.7109375" style="20" bestFit="1" customWidth="1"/>
    <col min="10755" max="10755" width="13.85546875" style="20" bestFit="1" customWidth="1"/>
    <col min="10756" max="11003" width="8.85546875" style="20"/>
    <col min="11004" max="11004" width="10.140625" style="20" bestFit="1" customWidth="1"/>
    <col min="11005" max="11005" width="7.7109375" style="20" bestFit="1" customWidth="1"/>
    <col min="11006" max="11006" width="14.140625" style="20" bestFit="1" customWidth="1"/>
    <col min="11007" max="11007" width="65.85546875" style="20" bestFit="1" customWidth="1"/>
    <col min="11008" max="11008" width="36.7109375" style="20" bestFit="1" customWidth="1"/>
    <col min="11009" max="11009" width="8.85546875" style="20" bestFit="1" customWidth="1"/>
    <col min="11010" max="11010" width="9.7109375" style="20" bestFit="1" customWidth="1"/>
    <col min="11011" max="11011" width="13.85546875" style="20" bestFit="1" customWidth="1"/>
    <col min="11012" max="11259" width="8.85546875" style="20"/>
    <col min="11260" max="11260" width="10.140625" style="20" bestFit="1" customWidth="1"/>
    <col min="11261" max="11261" width="7.7109375" style="20" bestFit="1" customWidth="1"/>
    <col min="11262" max="11262" width="14.140625" style="20" bestFit="1" customWidth="1"/>
    <col min="11263" max="11263" width="65.85546875" style="20" bestFit="1" customWidth="1"/>
    <col min="11264" max="11264" width="36.7109375" style="20" bestFit="1" customWidth="1"/>
    <col min="11265" max="11265" width="8.85546875" style="20" bestFit="1" customWidth="1"/>
    <col min="11266" max="11266" width="9.7109375" style="20" bestFit="1" customWidth="1"/>
    <col min="11267" max="11267" width="13.85546875" style="20" bestFit="1" customWidth="1"/>
    <col min="11268" max="11515" width="8.85546875" style="20"/>
    <col min="11516" max="11516" width="10.140625" style="20" bestFit="1" customWidth="1"/>
    <col min="11517" max="11517" width="7.7109375" style="20" bestFit="1" customWidth="1"/>
    <col min="11518" max="11518" width="14.140625" style="20" bestFit="1" customWidth="1"/>
    <col min="11519" max="11519" width="65.85546875" style="20" bestFit="1" customWidth="1"/>
    <col min="11520" max="11520" width="36.7109375" style="20" bestFit="1" customWidth="1"/>
    <col min="11521" max="11521" width="8.85546875" style="20" bestFit="1" customWidth="1"/>
    <col min="11522" max="11522" width="9.7109375" style="20" bestFit="1" customWidth="1"/>
    <col min="11523" max="11523" width="13.85546875" style="20" bestFit="1" customWidth="1"/>
    <col min="11524" max="11771" width="8.85546875" style="20"/>
    <col min="11772" max="11772" width="10.140625" style="20" bestFit="1" customWidth="1"/>
    <col min="11773" max="11773" width="7.7109375" style="20" bestFit="1" customWidth="1"/>
    <col min="11774" max="11774" width="14.140625" style="20" bestFit="1" customWidth="1"/>
    <col min="11775" max="11775" width="65.85546875" style="20" bestFit="1" customWidth="1"/>
    <col min="11776" max="11776" width="36.7109375" style="20" bestFit="1" customWidth="1"/>
    <col min="11777" max="11777" width="8.85546875" style="20" bestFit="1" customWidth="1"/>
    <col min="11778" max="11778" width="9.7109375" style="20" bestFit="1" customWidth="1"/>
    <col min="11779" max="11779" width="13.85546875" style="20" bestFit="1" customWidth="1"/>
    <col min="11780" max="12027" width="8.85546875" style="20"/>
    <col min="12028" max="12028" width="10.140625" style="20" bestFit="1" customWidth="1"/>
    <col min="12029" max="12029" width="7.7109375" style="20" bestFit="1" customWidth="1"/>
    <col min="12030" max="12030" width="14.140625" style="20" bestFit="1" customWidth="1"/>
    <col min="12031" max="12031" width="65.85546875" style="20" bestFit="1" customWidth="1"/>
    <col min="12032" max="12032" width="36.7109375" style="20" bestFit="1" customWidth="1"/>
    <col min="12033" max="12033" width="8.85546875" style="20" bestFit="1" customWidth="1"/>
    <col min="12034" max="12034" width="9.7109375" style="20" bestFit="1" customWidth="1"/>
    <col min="12035" max="12035" width="13.85546875" style="20" bestFit="1" customWidth="1"/>
    <col min="12036" max="12283" width="8.85546875" style="20"/>
    <col min="12284" max="12284" width="10.140625" style="20" bestFit="1" customWidth="1"/>
    <col min="12285" max="12285" width="7.7109375" style="20" bestFit="1" customWidth="1"/>
    <col min="12286" max="12286" width="14.140625" style="20" bestFit="1" customWidth="1"/>
    <col min="12287" max="12287" width="65.85546875" style="20" bestFit="1" customWidth="1"/>
    <col min="12288" max="12288" width="36.7109375" style="20" bestFit="1" customWidth="1"/>
    <col min="12289" max="12289" width="8.85546875" style="20" bestFit="1" customWidth="1"/>
    <col min="12290" max="12290" width="9.7109375" style="20" bestFit="1" customWidth="1"/>
    <col min="12291" max="12291" width="13.85546875" style="20" bestFit="1" customWidth="1"/>
    <col min="12292" max="12539" width="8.85546875" style="20"/>
    <col min="12540" max="12540" width="10.140625" style="20" bestFit="1" customWidth="1"/>
    <col min="12541" max="12541" width="7.7109375" style="20" bestFit="1" customWidth="1"/>
    <col min="12542" max="12542" width="14.140625" style="20" bestFit="1" customWidth="1"/>
    <col min="12543" max="12543" width="65.85546875" style="20" bestFit="1" customWidth="1"/>
    <col min="12544" max="12544" width="36.7109375" style="20" bestFit="1" customWidth="1"/>
    <col min="12545" max="12545" width="8.85546875" style="20" bestFit="1" customWidth="1"/>
    <col min="12546" max="12546" width="9.7109375" style="20" bestFit="1" customWidth="1"/>
    <col min="12547" max="12547" width="13.85546875" style="20" bestFit="1" customWidth="1"/>
    <col min="12548" max="12795" width="8.85546875" style="20"/>
    <col min="12796" max="12796" width="10.140625" style="20" bestFit="1" customWidth="1"/>
    <col min="12797" max="12797" width="7.7109375" style="20" bestFit="1" customWidth="1"/>
    <col min="12798" max="12798" width="14.140625" style="20" bestFit="1" customWidth="1"/>
    <col min="12799" max="12799" width="65.85546875" style="20" bestFit="1" customWidth="1"/>
    <col min="12800" max="12800" width="36.7109375" style="20" bestFit="1" customWidth="1"/>
    <col min="12801" max="12801" width="8.85546875" style="20" bestFit="1" customWidth="1"/>
    <col min="12802" max="12802" width="9.7109375" style="20" bestFit="1" customWidth="1"/>
    <col min="12803" max="12803" width="13.85546875" style="20" bestFit="1" customWidth="1"/>
    <col min="12804" max="13051" width="8.85546875" style="20"/>
    <col min="13052" max="13052" width="10.140625" style="20" bestFit="1" customWidth="1"/>
    <col min="13053" max="13053" width="7.7109375" style="20" bestFit="1" customWidth="1"/>
    <col min="13054" max="13054" width="14.140625" style="20" bestFit="1" customWidth="1"/>
    <col min="13055" max="13055" width="65.85546875" style="20" bestFit="1" customWidth="1"/>
    <col min="13056" max="13056" width="36.7109375" style="20" bestFit="1" customWidth="1"/>
    <col min="13057" max="13057" width="8.85546875" style="20" bestFit="1" customWidth="1"/>
    <col min="13058" max="13058" width="9.7109375" style="20" bestFit="1" customWidth="1"/>
    <col min="13059" max="13059" width="13.85546875" style="20" bestFit="1" customWidth="1"/>
    <col min="13060" max="13307" width="8.85546875" style="20"/>
    <col min="13308" max="13308" width="10.140625" style="20" bestFit="1" customWidth="1"/>
    <col min="13309" max="13309" width="7.7109375" style="20" bestFit="1" customWidth="1"/>
    <col min="13310" max="13310" width="14.140625" style="20" bestFit="1" customWidth="1"/>
    <col min="13311" max="13311" width="65.85546875" style="20" bestFit="1" customWidth="1"/>
    <col min="13312" max="13312" width="36.7109375" style="20" bestFit="1" customWidth="1"/>
    <col min="13313" max="13313" width="8.85546875" style="20" bestFit="1" customWidth="1"/>
    <col min="13314" max="13314" width="9.7109375" style="20" bestFit="1" customWidth="1"/>
    <col min="13315" max="13315" width="13.85546875" style="20" bestFit="1" customWidth="1"/>
    <col min="13316" max="13563" width="8.85546875" style="20"/>
    <col min="13564" max="13564" width="10.140625" style="20" bestFit="1" customWidth="1"/>
    <col min="13565" max="13565" width="7.7109375" style="20" bestFit="1" customWidth="1"/>
    <col min="13566" max="13566" width="14.140625" style="20" bestFit="1" customWidth="1"/>
    <col min="13567" max="13567" width="65.85546875" style="20" bestFit="1" customWidth="1"/>
    <col min="13568" max="13568" width="36.7109375" style="20" bestFit="1" customWidth="1"/>
    <col min="13569" max="13569" width="8.85546875" style="20" bestFit="1" customWidth="1"/>
    <col min="13570" max="13570" width="9.7109375" style="20" bestFit="1" customWidth="1"/>
    <col min="13571" max="13571" width="13.85546875" style="20" bestFit="1" customWidth="1"/>
    <col min="13572" max="13819" width="8.85546875" style="20"/>
    <col min="13820" max="13820" width="10.140625" style="20" bestFit="1" customWidth="1"/>
    <col min="13821" max="13821" width="7.7109375" style="20" bestFit="1" customWidth="1"/>
    <col min="13822" max="13822" width="14.140625" style="20" bestFit="1" customWidth="1"/>
    <col min="13823" max="13823" width="65.85546875" style="20" bestFit="1" customWidth="1"/>
    <col min="13824" max="13824" width="36.7109375" style="20" bestFit="1" customWidth="1"/>
    <col min="13825" max="13825" width="8.85546875" style="20" bestFit="1" customWidth="1"/>
    <col min="13826" max="13826" width="9.7109375" style="20" bestFit="1" customWidth="1"/>
    <col min="13827" max="13827" width="13.85546875" style="20" bestFit="1" customWidth="1"/>
    <col min="13828" max="14075" width="8.85546875" style="20"/>
    <col min="14076" max="14076" width="10.140625" style="20" bestFit="1" customWidth="1"/>
    <col min="14077" max="14077" width="7.7109375" style="20" bestFit="1" customWidth="1"/>
    <col min="14078" max="14078" width="14.140625" style="20" bestFit="1" customWidth="1"/>
    <col min="14079" max="14079" width="65.85546875" style="20" bestFit="1" customWidth="1"/>
    <col min="14080" max="14080" width="36.7109375" style="20" bestFit="1" customWidth="1"/>
    <col min="14081" max="14081" width="8.85546875" style="20" bestFit="1" customWidth="1"/>
    <col min="14082" max="14082" width="9.7109375" style="20" bestFit="1" customWidth="1"/>
    <col min="14083" max="14083" width="13.85546875" style="20" bestFit="1" customWidth="1"/>
    <col min="14084" max="14331" width="8.85546875" style="20"/>
    <col min="14332" max="14332" width="10.140625" style="20" bestFit="1" customWidth="1"/>
    <col min="14333" max="14333" width="7.7109375" style="20" bestFit="1" customWidth="1"/>
    <col min="14334" max="14334" width="14.140625" style="20" bestFit="1" customWidth="1"/>
    <col min="14335" max="14335" width="65.85546875" style="20" bestFit="1" customWidth="1"/>
    <col min="14336" max="14336" width="36.7109375" style="20" bestFit="1" customWidth="1"/>
    <col min="14337" max="14337" width="8.85546875" style="20" bestFit="1" customWidth="1"/>
    <col min="14338" max="14338" width="9.7109375" style="20" bestFit="1" customWidth="1"/>
    <col min="14339" max="14339" width="13.85546875" style="20" bestFit="1" customWidth="1"/>
    <col min="14340" max="14587" width="8.85546875" style="20"/>
    <col min="14588" max="14588" width="10.140625" style="20" bestFit="1" customWidth="1"/>
    <col min="14589" max="14589" width="7.7109375" style="20" bestFit="1" customWidth="1"/>
    <col min="14590" max="14590" width="14.140625" style="20" bestFit="1" customWidth="1"/>
    <col min="14591" max="14591" width="65.85546875" style="20" bestFit="1" customWidth="1"/>
    <col min="14592" max="14592" width="36.7109375" style="20" bestFit="1" customWidth="1"/>
    <col min="14593" max="14593" width="8.85546875" style="20" bestFit="1" customWidth="1"/>
    <col min="14594" max="14594" width="9.7109375" style="20" bestFit="1" customWidth="1"/>
    <col min="14595" max="14595" width="13.85546875" style="20" bestFit="1" customWidth="1"/>
    <col min="14596" max="14843" width="8.85546875" style="20"/>
    <col min="14844" max="14844" width="10.140625" style="20" bestFit="1" customWidth="1"/>
    <col min="14845" max="14845" width="7.7109375" style="20" bestFit="1" customWidth="1"/>
    <col min="14846" max="14846" width="14.140625" style="20" bestFit="1" customWidth="1"/>
    <col min="14847" max="14847" width="65.85546875" style="20" bestFit="1" customWidth="1"/>
    <col min="14848" max="14848" width="36.7109375" style="20" bestFit="1" customWidth="1"/>
    <col min="14849" max="14849" width="8.85546875" style="20" bestFit="1" customWidth="1"/>
    <col min="14850" max="14850" width="9.7109375" style="20" bestFit="1" customWidth="1"/>
    <col min="14851" max="14851" width="13.85546875" style="20" bestFit="1" customWidth="1"/>
    <col min="14852" max="15099" width="8.85546875" style="20"/>
    <col min="15100" max="15100" width="10.140625" style="20" bestFit="1" customWidth="1"/>
    <col min="15101" max="15101" width="7.7109375" style="20" bestFit="1" customWidth="1"/>
    <col min="15102" max="15102" width="14.140625" style="20" bestFit="1" customWidth="1"/>
    <col min="15103" max="15103" width="65.85546875" style="20" bestFit="1" customWidth="1"/>
    <col min="15104" max="15104" width="36.7109375" style="20" bestFit="1" customWidth="1"/>
    <col min="15105" max="15105" width="8.85546875" style="20" bestFit="1" customWidth="1"/>
    <col min="15106" max="15106" width="9.7109375" style="20" bestFit="1" customWidth="1"/>
    <col min="15107" max="15107" width="13.85546875" style="20" bestFit="1" customWidth="1"/>
    <col min="15108" max="15355" width="8.85546875" style="20"/>
    <col min="15356" max="15356" width="10.140625" style="20" bestFit="1" customWidth="1"/>
    <col min="15357" max="15357" width="7.7109375" style="20" bestFit="1" customWidth="1"/>
    <col min="15358" max="15358" width="14.140625" style="20" bestFit="1" customWidth="1"/>
    <col min="15359" max="15359" width="65.85546875" style="20" bestFit="1" customWidth="1"/>
    <col min="15360" max="15360" width="36.7109375" style="20" bestFit="1" customWidth="1"/>
    <col min="15361" max="15361" width="8.85546875" style="20" bestFit="1" customWidth="1"/>
    <col min="15362" max="15362" width="9.7109375" style="20" bestFit="1" customWidth="1"/>
    <col min="15363" max="15363" width="13.85546875" style="20" bestFit="1" customWidth="1"/>
    <col min="15364" max="15611" width="8.85546875" style="20"/>
    <col min="15612" max="15612" width="10.140625" style="20" bestFit="1" customWidth="1"/>
    <col min="15613" max="15613" width="7.7109375" style="20" bestFit="1" customWidth="1"/>
    <col min="15614" max="15614" width="14.140625" style="20" bestFit="1" customWidth="1"/>
    <col min="15615" max="15615" width="65.85546875" style="20" bestFit="1" customWidth="1"/>
    <col min="15616" max="15616" width="36.7109375" style="20" bestFit="1" customWidth="1"/>
    <col min="15617" max="15617" width="8.85546875" style="20" bestFit="1" customWidth="1"/>
    <col min="15618" max="15618" width="9.7109375" style="20" bestFit="1" customWidth="1"/>
    <col min="15619" max="15619" width="13.85546875" style="20" bestFit="1" customWidth="1"/>
    <col min="15620" max="15867" width="8.85546875" style="20"/>
    <col min="15868" max="15868" width="10.140625" style="20" bestFit="1" customWidth="1"/>
    <col min="15869" max="15869" width="7.7109375" style="20" bestFit="1" customWidth="1"/>
    <col min="15870" max="15870" width="14.140625" style="20" bestFit="1" customWidth="1"/>
    <col min="15871" max="15871" width="65.85546875" style="20" bestFit="1" customWidth="1"/>
    <col min="15872" max="15872" width="36.7109375" style="20" bestFit="1" customWidth="1"/>
    <col min="15873" max="15873" width="8.85546875" style="20" bestFit="1" customWidth="1"/>
    <col min="15874" max="15874" width="9.7109375" style="20" bestFit="1" customWidth="1"/>
    <col min="15875" max="15875" width="13.85546875" style="20" bestFit="1" customWidth="1"/>
    <col min="15876" max="16123" width="8.85546875" style="20"/>
    <col min="16124" max="16124" width="10.140625" style="20" bestFit="1" customWidth="1"/>
    <col min="16125" max="16125" width="7.7109375" style="20" bestFit="1" customWidth="1"/>
    <col min="16126" max="16126" width="14.140625" style="20" bestFit="1" customWidth="1"/>
    <col min="16127" max="16127" width="65.85546875" style="20" bestFit="1" customWidth="1"/>
    <col min="16128" max="16128" width="36.7109375" style="20" bestFit="1" customWidth="1"/>
    <col min="16129" max="16129" width="8.85546875" style="20" bestFit="1" customWidth="1"/>
    <col min="16130" max="16130" width="9.7109375" style="20" bestFit="1" customWidth="1"/>
    <col min="16131" max="16131" width="13.85546875" style="20" bestFit="1" customWidth="1"/>
    <col min="16132" max="16384" width="8.85546875" style="20"/>
  </cols>
  <sheetData>
    <row r="1" spans="1:3" ht="15.6">
      <c r="A1" s="24" t="s">
        <v>602</v>
      </c>
      <c r="B1" s="24"/>
      <c r="C1" s="24"/>
    </row>
    <row r="2" spans="1:3">
      <c r="A2" s="20" t="s">
        <v>5</v>
      </c>
      <c r="B2" s="20" t="s">
        <v>8</v>
      </c>
      <c r="C2" s="20" t="s">
        <v>4</v>
      </c>
    </row>
    <row r="3" spans="1:3">
      <c r="A3" s="20" t="s">
        <v>603</v>
      </c>
      <c r="B3" s="20" t="s">
        <v>604</v>
      </c>
    </row>
    <row r="4" spans="1:3">
      <c r="A4" s="20" t="s">
        <v>605</v>
      </c>
      <c r="B4" s="20" t="s">
        <v>606</v>
      </c>
      <c r="C4" s="20" t="s">
        <v>607</v>
      </c>
    </row>
    <row r="5" spans="1:3">
      <c r="B5" s="20" t="s">
        <v>11</v>
      </c>
    </row>
    <row r="6" spans="1:3">
      <c r="A6" s="20" t="s">
        <v>608</v>
      </c>
      <c r="B6" s="20" t="s">
        <v>609</v>
      </c>
      <c r="C6" s="20" t="s">
        <v>610</v>
      </c>
    </row>
    <row r="7" spans="1:3">
      <c r="A7" s="20" t="s">
        <v>611</v>
      </c>
      <c r="B7" s="20" t="s">
        <v>612</v>
      </c>
      <c r="C7" s="20" t="s">
        <v>613</v>
      </c>
    </row>
    <row r="8" spans="1:3">
      <c r="A8" s="20" t="s">
        <v>614</v>
      </c>
      <c r="B8" s="20" t="s">
        <v>615</v>
      </c>
      <c r="C8" s="20" t="s">
        <v>462</v>
      </c>
    </row>
    <row r="9" spans="1:3">
      <c r="A9" s="20" t="s">
        <v>616</v>
      </c>
      <c r="B9" s="20" t="s">
        <v>617</v>
      </c>
      <c r="C9" s="20" t="s">
        <v>618</v>
      </c>
    </row>
    <row r="10" spans="1:3">
      <c r="A10" s="20" t="s">
        <v>619</v>
      </c>
      <c r="B10" s="20" t="s">
        <v>620</v>
      </c>
      <c r="C10" s="20" t="s">
        <v>333</v>
      </c>
    </row>
    <row r="11" spans="1:3">
      <c r="A11" s="20" t="s">
        <v>621</v>
      </c>
      <c r="B11" s="20" t="s">
        <v>622</v>
      </c>
      <c r="C11" s="20" t="s">
        <v>623</v>
      </c>
    </row>
    <row r="12" spans="1:3">
      <c r="A12" s="20" t="s">
        <v>624</v>
      </c>
      <c r="B12" s="20" t="s">
        <v>625</v>
      </c>
      <c r="C12" s="20" t="s">
        <v>626</v>
      </c>
    </row>
    <row r="13" spans="1:3">
      <c r="A13" s="20" t="s">
        <v>627</v>
      </c>
      <c r="B13" s="20" t="s">
        <v>628</v>
      </c>
      <c r="C13" s="20" t="s">
        <v>629</v>
      </c>
    </row>
    <row r="14" spans="1:3">
      <c r="A14" s="20" t="s">
        <v>630</v>
      </c>
      <c r="B14" s="20" t="s">
        <v>631</v>
      </c>
      <c r="C14" s="20" t="s">
        <v>632</v>
      </c>
    </row>
    <row r="15" spans="1:3">
      <c r="A15" s="20" t="s">
        <v>633</v>
      </c>
      <c r="B15" s="20" t="s">
        <v>634</v>
      </c>
      <c r="C15" s="20" t="s">
        <v>635</v>
      </c>
    </row>
    <row r="16" spans="1:3">
      <c r="B16" s="20" t="s">
        <v>42</v>
      </c>
    </row>
    <row r="17" spans="1:3">
      <c r="A17" s="20" t="s">
        <v>636</v>
      </c>
      <c r="B17" s="20" t="s">
        <v>637</v>
      </c>
      <c r="C17" s="20" t="s">
        <v>638</v>
      </c>
    </row>
    <row r="18" spans="1:3">
      <c r="A18" s="20" t="s">
        <v>639</v>
      </c>
      <c r="B18" s="20" t="s">
        <v>640</v>
      </c>
      <c r="C18" s="20" t="s">
        <v>641</v>
      </c>
    </row>
    <row r="19" spans="1:3">
      <c r="A19" s="20" t="s">
        <v>642</v>
      </c>
      <c r="B19" s="20" t="s">
        <v>643</v>
      </c>
      <c r="C19" s="20" t="s">
        <v>644</v>
      </c>
    </row>
    <row r="20" spans="1:3">
      <c r="A20" s="20" t="s">
        <v>645</v>
      </c>
      <c r="B20" s="20" t="s">
        <v>646</v>
      </c>
      <c r="C20" s="20" t="s">
        <v>607</v>
      </c>
    </row>
    <row r="21" spans="1:3">
      <c r="A21" s="20" t="s">
        <v>647</v>
      </c>
      <c r="B21" s="20" t="s">
        <v>648</v>
      </c>
      <c r="C21" s="20" t="s">
        <v>649</v>
      </c>
    </row>
    <row r="22" spans="1:3">
      <c r="A22" s="20" t="s">
        <v>650</v>
      </c>
      <c r="B22" s="20" t="s">
        <v>651</v>
      </c>
      <c r="C22" s="20" t="s">
        <v>652</v>
      </c>
    </row>
    <row r="23" spans="1:3">
      <c r="A23" s="20" t="s">
        <v>653</v>
      </c>
      <c r="B23" s="20" t="s">
        <v>654</v>
      </c>
      <c r="C23" s="20" t="s">
        <v>655</v>
      </c>
    </row>
    <row r="24" spans="1:3">
      <c r="A24" s="20" t="s">
        <v>656</v>
      </c>
      <c r="B24" s="20" t="s">
        <v>657</v>
      </c>
      <c r="C24" s="20" t="s">
        <v>658</v>
      </c>
    </row>
    <row r="25" spans="1:3">
      <c r="B25" s="20" t="s">
        <v>73</v>
      </c>
    </row>
    <row r="26" spans="1:3">
      <c r="A26" s="20" t="s">
        <v>659</v>
      </c>
      <c r="B26" s="20" t="s">
        <v>660</v>
      </c>
      <c r="C26" s="20" t="s">
        <v>661</v>
      </c>
    </row>
    <row r="27" spans="1:3">
      <c r="A27" s="20" t="s">
        <v>662</v>
      </c>
      <c r="B27" s="20" t="s">
        <v>663</v>
      </c>
      <c r="C27" s="20" t="s">
        <v>664</v>
      </c>
    </row>
    <row r="28" spans="1:3">
      <c r="A28" s="20" t="s">
        <v>665</v>
      </c>
      <c r="B28" s="20" t="s">
        <v>666</v>
      </c>
      <c r="C28" s="20" t="s">
        <v>667</v>
      </c>
    </row>
    <row r="29" spans="1:3">
      <c r="A29" s="20" t="s">
        <v>668</v>
      </c>
      <c r="B29" s="20" t="s">
        <v>669</v>
      </c>
      <c r="C29" s="20" t="s">
        <v>670</v>
      </c>
    </row>
    <row r="30" spans="1:3">
      <c r="A30" s="20" t="s">
        <v>671</v>
      </c>
      <c r="B30" s="20" t="s">
        <v>672</v>
      </c>
      <c r="C30" s="20" t="s">
        <v>673</v>
      </c>
    </row>
    <row r="31" spans="1:3">
      <c r="A31" s="20" t="s">
        <v>674</v>
      </c>
      <c r="B31" s="20" t="s">
        <v>675</v>
      </c>
      <c r="C31" s="20" t="s">
        <v>676</v>
      </c>
    </row>
    <row r="32" spans="1:3">
      <c r="A32" s="20" t="s">
        <v>677</v>
      </c>
      <c r="B32" s="20" t="s">
        <v>678</v>
      </c>
      <c r="C32" s="20" t="s">
        <v>679</v>
      </c>
    </row>
    <row r="33" spans="1:3">
      <c r="A33" s="20" t="s">
        <v>680</v>
      </c>
      <c r="B33" s="20" t="s">
        <v>681</v>
      </c>
      <c r="C33" s="20" t="s">
        <v>682</v>
      </c>
    </row>
    <row r="34" spans="1:3">
      <c r="A34" s="20" t="s">
        <v>683</v>
      </c>
      <c r="B34" s="20" t="s">
        <v>684</v>
      </c>
      <c r="C34" s="20" t="s">
        <v>685</v>
      </c>
    </row>
    <row r="35" spans="1:3">
      <c r="A35" s="20" t="s">
        <v>686</v>
      </c>
      <c r="B35" s="20" t="s">
        <v>687</v>
      </c>
      <c r="C35" s="20" t="s">
        <v>688</v>
      </c>
    </row>
    <row r="36" spans="1:3">
      <c r="B36" s="20" t="s">
        <v>103</v>
      </c>
    </row>
    <row r="37" spans="1:3">
      <c r="A37" s="20" t="s">
        <v>689</v>
      </c>
      <c r="B37" s="20" t="s">
        <v>690</v>
      </c>
      <c r="C37" s="20" t="s">
        <v>691</v>
      </c>
    </row>
    <row r="38" spans="1:3">
      <c r="A38" s="20" t="s">
        <v>692</v>
      </c>
      <c r="B38" s="20" t="s">
        <v>693</v>
      </c>
      <c r="C38" s="20" t="s">
        <v>694</v>
      </c>
    </row>
    <row r="39" spans="1:3">
      <c r="A39" s="20" t="s">
        <v>695</v>
      </c>
      <c r="B39" s="20" t="s">
        <v>696</v>
      </c>
      <c r="C39" s="20" t="s">
        <v>538</v>
      </c>
    </row>
    <row r="40" spans="1:3">
      <c r="A40" s="20" t="s">
        <v>697</v>
      </c>
      <c r="B40" s="20" t="s">
        <v>698</v>
      </c>
      <c r="C40" s="20" t="s">
        <v>699</v>
      </c>
    </row>
    <row r="41" spans="1:3">
      <c r="A41" s="20" t="s">
        <v>700</v>
      </c>
      <c r="B41" s="20" t="s">
        <v>701</v>
      </c>
      <c r="C41" s="20" t="s">
        <v>702</v>
      </c>
    </row>
    <row r="42" spans="1:3">
      <c r="A42" s="20" t="s">
        <v>703</v>
      </c>
      <c r="B42" s="20" t="s">
        <v>704</v>
      </c>
      <c r="C42" s="20" t="s">
        <v>121</v>
      </c>
    </row>
    <row r="43" spans="1:3">
      <c r="A43" s="20" t="s">
        <v>705</v>
      </c>
      <c r="B43" s="20" t="s">
        <v>706</v>
      </c>
      <c r="C43" s="20" t="s">
        <v>702</v>
      </c>
    </row>
    <row r="44" spans="1:3">
      <c r="A44" s="20" t="s">
        <v>707</v>
      </c>
      <c r="B44" s="20" t="s">
        <v>708</v>
      </c>
      <c r="C44" s="20" t="s">
        <v>709</v>
      </c>
    </row>
    <row r="45" spans="1:3">
      <c r="A45" s="20" t="s">
        <v>710</v>
      </c>
      <c r="B45" s="20" t="s">
        <v>711</v>
      </c>
      <c r="C45" s="20" t="s">
        <v>641</v>
      </c>
    </row>
    <row r="46" spans="1:3">
      <c r="A46" s="20" t="s">
        <v>712</v>
      </c>
      <c r="B46" s="20" t="s">
        <v>713</v>
      </c>
      <c r="C46" s="20" t="s">
        <v>714</v>
      </c>
    </row>
    <row r="47" spans="1:3">
      <c r="B47" s="20" t="s">
        <v>134</v>
      </c>
    </row>
    <row r="48" spans="1:3">
      <c r="A48" s="20" t="s">
        <v>715</v>
      </c>
      <c r="B48" s="20" t="s">
        <v>716</v>
      </c>
      <c r="C48" s="20" t="s">
        <v>717</v>
      </c>
    </row>
    <row r="49" spans="1:3">
      <c r="A49" s="20" t="s">
        <v>718</v>
      </c>
      <c r="B49" s="20" t="s">
        <v>719</v>
      </c>
      <c r="C49" s="20" t="s">
        <v>720</v>
      </c>
    </row>
    <row r="50" spans="1:3">
      <c r="A50" s="20" t="s">
        <v>721</v>
      </c>
      <c r="B50" s="20" t="s">
        <v>722</v>
      </c>
      <c r="C50" s="20" t="s">
        <v>723</v>
      </c>
    </row>
    <row r="51" spans="1:3">
      <c r="A51" s="20" t="s">
        <v>724</v>
      </c>
      <c r="B51" s="20" t="s">
        <v>725</v>
      </c>
      <c r="C51" s="20" t="s">
        <v>146</v>
      </c>
    </row>
    <row r="52" spans="1:3">
      <c r="A52" s="20" t="s">
        <v>726</v>
      </c>
      <c r="B52" s="20" t="s">
        <v>727</v>
      </c>
      <c r="C52" s="20" t="s">
        <v>137</v>
      </c>
    </row>
    <row r="53" spans="1:3">
      <c r="A53" s="20" t="s">
        <v>728</v>
      </c>
      <c r="B53" s="20" t="s">
        <v>729</v>
      </c>
      <c r="C53" s="20" t="s">
        <v>730</v>
      </c>
    </row>
    <row r="54" spans="1:3">
      <c r="A54" s="20" t="s">
        <v>731</v>
      </c>
      <c r="B54" s="20" t="s">
        <v>732</v>
      </c>
      <c r="C54" s="20" t="s">
        <v>733</v>
      </c>
    </row>
    <row r="55" spans="1:3">
      <c r="A55" s="20" t="s">
        <v>734</v>
      </c>
      <c r="B55" s="20" t="s">
        <v>735</v>
      </c>
      <c r="C55" s="20" t="s">
        <v>158</v>
      </c>
    </row>
    <row r="56" spans="1:3">
      <c r="A56" s="20" t="s">
        <v>736</v>
      </c>
      <c r="B56" s="20" t="s">
        <v>737</v>
      </c>
      <c r="C56" s="20" t="s">
        <v>158</v>
      </c>
    </row>
    <row r="57" spans="1:3">
      <c r="A57" s="20" t="s">
        <v>738</v>
      </c>
      <c r="B57" s="20" t="s">
        <v>739</v>
      </c>
      <c r="C57" s="20" t="s">
        <v>730</v>
      </c>
    </row>
    <row r="58" spans="1:3">
      <c r="B58" s="20" t="s">
        <v>164</v>
      </c>
    </row>
    <row r="59" spans="1:3">
      <c r="A59" s="20" t="s">
        <v>740</v>
      </c>
      <c r="B59" s="20" t="s">
        <v>741</v>
      </c>
      <c r="C59" s="20" t="s">
        <v>742</v>
      </c>
    </row>
    <row r="60" spans="1:3">
      <c r="A60" s="20" t="s">
        <v>743</v>
      </c>
      <c r="B60" s="20" t="s">
        <v>744</v>
      </c>
      <c r="C60" s="20" t="s">
        <v>745</v>
      </c>
    </row>
    <row r="61" spans="1:3">
      <c r="A61" s="20" t="s">
        <v>746</v>
      </c>
      <c r="B61" s="20" t="s">
        <v>747</v>
      </c>
      <c r="C61" s="20" t="s">
        <v>748</v>
      </c>
    </row>
    <row r="62" spans="1:3">
      <c r="A62" s="20" t="s">
        <v>749</v>
      </c>
      <c r="B62" s="20" t="s">
        <v>750</v>
      </c>
      <c r="C62" s="20" t="s">
        <v>751</v>
      </c>
    </row>
    <row r="63" spans="1:3">
      <c r="A63" s="20" t="s">
        <v>752</v>
      </c>
      <c r="B63" s="20" t="s">
        <v>753</v>
      </c>
      <c r="C63" s="20" t="s">
        <v>754</v>
      </c>
    </row>
    <row r="64" spans="1:3">
      <c r="A64" s="20" t="s">
        <v>755</v>
      </c>
      <c r="B64" s="20" t="s">
        <v>756</v>
      </c>
      <c r="C64" s="20" t="s">
        <v>757</v>
      </c>
    </row>
    <row r="65" spans="1:3">
      <c r="A65" s="20" t="s">
        <v>758</v>
      </c>
      <c r="B65" s="20" t="s">
        <v>759</v>
      </c>
      <c r="C65" s="20" t="s">
        <v>760</v>
      </c>
    </row>
    <row r="66" spans="1:3">
      <c r="A66" s="20" t="s">
        <v>761</v>
      </c>
      <c r="B66" s="20" t="s">
        <v>762</v>
      </c>
      <c r="C66" s="20" t="s">
        <v>763</v>
      </c>
    </row>
    <row r="67" spans="1:3">
      <c r="A67" s="20" t="s">
        <v>764</v>
      </c>
      <c r="B67" s="20" t="s">
        <v>765</v>
      </c>
      <c r="C67" s="20" t="s">
        <v>766</v>
      </c>
    </row>
    <row r="68" spans="1:3">
      <c r="A68" s="20" t="s">
        <v>767</v>
      </c>
      <c r="B68" s="20" t="s">
        <v>768</v>
      </c>
      <c r="C68" s="20" t="s">
        <v>769</v>
      </c>
    </row>
    <row r="69" spans="1:3">
      <c r="B69" s="20" t="s">
        <v>193</v>
      </c>
    </row>
    <row r="70" spans="1:3">
      <c r="A70" s="20" t="s">
        <v>770</v>
      </c>
      <c r="B70" s="20" t="s">
        <v>771</v>
      </c>
      <c r="C70" s="20" t="s">
        <v>772</v>
      </c>
    </row>
    <row r="71" spans="1:3">
      <c r="A71" s="20" t="s">
        <v>773</v>
      </c>
      <c r="B71" s="20" t="s">
        <v>774</v>
      </c>
      <c r="C71" s="20" t="s">
        <v>775</v>
      </c>
    </row>
    <row r="72" spans="1:3">
      <c r="A72" s="20" t="s">
        <v>776</v>
      </c>
      <c r="B72" s="20" t="s">
        <v>777</v>
      </c>
      <c r="C72" s="20" t="s">
        <v>778</v>
      </c>
    </row>
    <row r="73" spans="1:3">
      <c r="A73" s="20" t="s">
        <v>779</v>
      </c>
      <c r="B73" s="20" t="s">
        <v>780</v>
      </c>
      <c r="C73" s="20" t="s">
        <v>781</v>
      </c>
    </row>
    <row r="74" spans="1:3">
      <c r="A74" s="20" t="s">
        <v>782</v>
      </c>
      <c r="B74" s="20" t="s">
        <v>783</v>
      </c>
      <c r="C74" s="20" t="s">
        <v>784</v>
      </c>
    </row>
    <row r="75" spans="1:3">
      <c r="A75" s="20" t="s">
        <v>785</v>
      </c>
      <c r="B75" s="20" t="s">
        <v>786</v>
      </c>
      <c r="C75" s="20" t="s">
        <v>787</v>
      </c>
    </row>
    <row r="76" spans="1:3">
      <c r="A76" s="20" t="s">
        <v>788</v>
      </c>
      <c r="B76" s="20" t="s">
        <v>789</v>
      </c>
      <c r="C76" s="20" t="s">
        <v>790</v>
      </c>
    </row>
    <row r="77" spans="1:3">
      <c r="A77" s="20" t="s">
        <v>791</v>
      </c>
      <c r="B77" s="20" t="s">
        <v>792</v>
      </c>
      <c r="C77" s="20" t="s">
        <v>793</v>
      </c>
    </row>
    <row r="78" spans="1:3">
      <c r="A78" s="20" t="s">
        <v>794</v>
      </c>
      <c r="B78" s="20" t="s">
        <v>795</v>
      </c>
      <c r="C78" s="20" t="s">
        <v>796</v>
      </c>
    </row>
    <row r="79" spans="1:3">
      <c r="A79" s="20" t="s">
        <v>797</v>
      </c>
      <c r="B79" s="20" t="s">
        <v>798</v>
      </c>
      <c r="C79" s="20" t="s">
        <v>799</v>
      </c>
    </row>
    <row r="80" spans="1:3">
      <c r="B80" s="20" t="s">
        <v>222</v>
      </c>
    </row>
    <row r="81" spans="1:3">
      <c r="A81" s="20" t="s">
        <v>800</v>
      </c>
      <c r="B81" s="20" t="s">
        <v>801</v>
      </c>
      <c r="C81" s="20" t="s">
        <v>802</v>
      </c>
    </row>
    <row r="82" spans="1:3">
      <c r="A82" s="20" t="s">
        <v>803</v>
      </c>
      <c r="B82" s="20" t="s">
        <v>804</v>
      </c>
      <c r="C82" s="20" t="s">
        <v>805</v>
      </c>
    </row>
    <row r="83" spans="1:3">
      <c r="A83" s="20" t="s">
        <v>806</v>
      </c>
      <c r="B83" s="20" t="s">
        <v>807</v>
      </c>
      <c r="C83" s="20" t="s">
        <v>808</v>
      </c>
    </row>
    <row r="84" spans="1:3">
      <c r="A84" s="20" t="s">
        <v>809</v>
      </c>
      <c r="B84" s="20" t="s">
        <v>810</v>
      </c>
      <c r="C84" s="20" t="s">
        <v>811</v>
      </c>
    </row>
    <row r="85" spans="1:3">
      <c r="A85" s="20" t="s">
        <v>812</v>
      </c>
      <c r="B85" s="20" t="s">
        <v>813</v>
      </c>
      <c r="C85" s="20" t="s">
        <v>814</v>
      </c>
    </row>
    <row r="86" spans="1:3">
      <c r="A86" s="20" t="s">
        <v>815</v>
      </c>
      <c r="B86" s="20" t="s">
        <v>816</v>
      </c>
      <c r="C86" s="20" t="s">
        <v>817</v>
      </c>
    </row>
    <row r="87" spans="1:3">
      <c r="A87" s="20" t="s">
        <v>818</v>
      </c>
      <c r="B87" s="20" t="s">
        <v>819</v>
      </c>
      <c r="C87" s="20" t="s">
        <v>820</v>
      </c>
    </row>
    <row r="88" spans="1:3">
      <c r="A88" s="20" t="s">
        <v>821</v>
      </c>
      <c r="B88" s="20" t="s">
        <v>822</v>
      </c>
      <c r="C88" s="20" t="s">
        <v>823</v>
      </c>
    </row>
    <row r="89" spans="1:3">
      <c r="A89" s="20" t="s">
        <v>824</v>
      </c>
      <c r="B89" s="20" t="s">
        <v>825</v>
      </c>
      <c r="C89" s="20" t="s">
        <v>826</v>
      </c>
    </row>
    <row r="90" spans="1:3">
      <c r="A90" s="20" t="s">
        <v>827</v>
      </c>
      <c r="B90" s="20" t="s">
        <v>828</v>
      </c>
      <c r="C90" s="20" t="s">
        <v>829</v>
      </c>
    </row>
    <row r="91" spans="1:3">
      <c r="B91" s="20" t="s">
        <v>252</v>
      </c>
    </row>
    <row r="92" spans="1:3">
      <c r="A92" s="20" t="s">
        <v>830</v>
      </c>
      <c r="B92" s="20" t="s">
        <v>831</v>
      </c>
      <c r="C92" s="20" t="s">
        <v>832</v>
      </c>
    </row>
    <row r="93" spans="1:3">
      <c r="A93" s="20" t="s">
        <v>833</v>
      </c>
      <c r="B93" s="20" t="s">
        <v>834</v>
      </c>
      <c r="C93" s="20" t="s">
        <v>835</v>
      </c>
    </row>
    <row r="94" spans="1:3">
      <c r="A94" s="20" t="s">
        <v>836</v>
      </c>
      <c r="B94" s="20" t="s">
        <v>837</v>
      </c>
      <c r="C94" s="20" t="s">
        <v>14</v>
      </c>
    </row>
    <row r="95" spans="1:3">
      <c r="A95" s="20" t="s">
        <v>838</v>
      </c>
      <c r="B95" s="20" t="s">
        <v>839</v>
      </c>
      <c r="C95" s="20" t="s">
        <v>840</v>
      </c>
    </row>
    <row r="96" spans="1:3">
      <c r="A96" s="20" t="s">
        <v>841</v>
      </c>
      <c r="B96" s="20" t="s">
        <v>842</v>
      </c>
      <c r="C96" s="20" t="s">
        <v>843</v>
      </c>
    </row>
    <row r="97" spans="1:3">
      <c r="A97" s="20" t="s">
        <v>844</v>
      </c>
      <c r="B97" s="20" t="s">
        <v>845</v>
      </c>
      <c r="C97" s="20" t="s">
        <v>846</v>
      </c>
    </row>
    <row r="98" spans="1:3">
      <c r="A98" s="20" t="s">
        <v>847</v>
      </c>
      <c r="B98" s="20" t="s">
        <v>848</v>
      </c>
      <c r="C98" s="20" t="s">
        <v>38</v>
      </c>
    </row>
    <row r="99" spans="1:3">
      <c r="A99" s="20" t="s">
        <v>849</v>
      </c>
      <c r="B99" s="20" t="s">
        <v>850</v>
      </c>
      <c r="C99" s="20" t="s">
        <v>851</v>
      </c>
    </row>
    <row r="100" spans="1:3">
      <c r="A100" s="20" t="s">
        <v>852</v>
      </c>
      <c r="B100" s="20" t="s">
        <v>853</v>
      </c>
      <c r="C100" s="20" t="s">
        <v>854</v>
      </c>
    </row>
    <row r="101" spans="1:3">
      <c r="A101" s="20" t="s">
        <v>855</v>
      </c>
      <c r="B101" s="20" t="s">
        <v>856</v>
      </c>
      <c r="C101" s="20" t="s">
        <v>857</v>
      </c>
    </row>
    <row r="102" spans="1:3">
      <c r="B102" s="20" t="s">
        <v>283</v>
      </c>
    </row>
    <row r="103" spans="1:3">
      <c r="A103" s="20" t="s">
        <v>858</v>
      </c>
      <c r="B103" s="20" t="s">
        <v>859</v>
      </c>
      <c r="C103" s="20" t="s">
        <v>860</v>
      </c>
    </row>
    <row r="104" spans="1:3">
      <c r="A104" s="20" t="s">
        <v>861</v>
      </c>
      <c r="B104" s="20" t="s">
        <v>862</v>
      </c>
      <c r="C104" s="20" t="s">
        <v>863</v>
      </c>
    </row>
    <row r="105" spans="1:3">
      <c r="A105" s="20" t="s">
        <v>864</v>
      </c>
      <c r="B105" s="20" t="s">
        <v>865</v>
      </c>
      <c r="C105" s="20" t="s">
        <v>866</v>
      </c>
    </row>
    <row r="106" spans="1:3">
      <c r="A106" s="20" t="s">
        <v>867</v>
      </c>
      <c r="B106" s="20" t="s">
        <v>868</v>
      </c>
      <c r="C106" s="20" t="s">
        <v>869</v>
      </c>
    </row>
    <row r="107" spans="1:3">
      <c r="A107" s="20" t="s">
        <v>870</v>
      </c>
      <c r="B107" s="20" t="s">
        <v>871</v>
      </c>
      <c r="C107" s="20" t="s">
        <v>872</v>
      </c>
    </row>
    <row r="108" spans="1:3">
      <c r="A108" s="20" t="s">
        <v>873</v>
      </c>
      <c r="B108" s="20" t="s">
        <v>874</v>
      </c>
      <c r="C108" s="20" t="s">
        <v>298</v>
      </c>
    </row>
    <row r="109" spans="1:3">
      <c r="A109" s="20" t="s">
        <v>875</v>
      </c>
      <c r="B109" s="20" t="s">
        <v>876</v>
      </c>
      <c r="C109" s="20" t="s">
        <v>877</v>
      </c>
    </row>
    <row r="110" spans="1:3">
      <c r="A110" s="20" t="s">
        <v>878</v>
      </c>
      <c r="B110" s="20" t="s">
        <v>879</v>
      </c>
      <c r="C110" s="20" t="s">
        <v>880</v>
      </c>
    </row>
    <row r="111" spans="1:3">
      <c r="A111" s="20" t="s">
        <v>881</v>
      </c>
      <c r="B111" s="20" t="s">
        <v>882</v>
      </c>
      <c r="C111" s="20" t="s">
        <v>883</v>
      </c>
    </row>
    <row r="112" spans="1:3">
      <c r="A112" s="20" t="s">
        <v>884</v>
      </c>
      <c r="B112" s="20" t="s">
        <v>885</v>
      </c>
      <c r="C112" s="20" t="s">
        <v>886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4D21-647A-4BBA-A560-108F62B2DBB1}">
  <sheetPr>
    <tabColor rgb="FFFF0000"/>
  </sheetPr>
  <dimension ref="A1:C112"/>
  <sheetViews>
    <sheetView workbookViewId="0">
      <selection activeCell="A7" sqref="A7"/>
    </sheetView>
  </sheetViews>
  <sheetFormatPr defaultRowHeight="13.15"/>
  <cols>
    <col min="1" max="1" width="14.140625" style="20" bestFit="1" customWidth="1"/>
    <col min="2" max="2" width="65.28515625" style="20" bestFit="1" customWidth="1"/>
    <col min="3" max="3" width="45.85546875" style="20" bestFit="1" customWidth="1"/>
    <col min="4" max="251" width="8.85546875" style="20"/>
    <col min="252" max="252" width="10.140625" style="20" bestFit="1" customWidth="1"/>
    <col min="253" max="253" width="7.7109375" style="20" bestFit="1" customWidth="1"/>
    <col min="254" max="254" width="14.140625" style="20" bestFit="1" customWidth="1"/>
    <col min="255" max="255" width="65.28515625" style="20" bestFit="1" customWidth="1"/>
    <col min="256" max="256" width="45.85546875" style="20" bestFit="1" customWidth="1"/>
    <col min="257" max="257" width="8.85546875" style="20" bestFit="1" customWidth="1"/>
    <col min="258" max="258" width="9.7109375" style="20" bestFit="1" customWidth="1"/>
    <col min="259" max="259" width="13.85546875" style="20" bestFit="1" customWidth="1"/>
    <col min="260" max="507" width="8.85546875" style="20"/>
    <col min="508" max="508" width="10.140625" style="20" bestFit="1" customWidth="1"/>
    <col min="509" max="509" width="7.7109375" style="20" bestFit="1" customWidth="1"/>
    <col min="510" max="510" width="14.140625" style="20" bestFit="1" customWidth="1"/>
    <col min="511" max="511" width="65.28515625" style="20" bestFit="1" customWidth="1"/>
    <col min="512" max="512" width="45.85546875" style="20" bestFit="1" customWidth="1"/>
    <col min="513" max="513" width="8.85546875" style="20" bestFit="1" customWidth="1"/>
    <col min="514" max="514" width="9.7109375" style="20" bestFit="1" customWidth="1"/>
    <col min="515" max="515" width="13.85546875" style="20" bestFit="1" customWidth="1"/>
    <col min="516" max="763" width="8.85546875" style="20"/>
    <col min="764" max="764" width="10.140625" style="20" bestFit="1" customWidth="1"/>
    <col min="765" max="765" width="7.7109375" style="20" bestFit="1" customWidth="1"/>
    <col min="766" max="766" width="14.140625" style="20" bestFit="1" customWidth="1"/>
    <col min="767" max="767" width="65.28515625" style="20" bestFit="1" customWidth="1"/>
    <col min="768" max="768" width="45.85546875" style="20" bestFit="1" customWidth="1"/>
    <col min="769" max="769" width="8.85546875" style="20" bestFit="1" customWidth="1"/>
    <col min="770" max="770" width="9.7109375" style="20" bestFit="1" customWidth="1"/>
    <col min="771" max="771" width="13.85546875" style="20" bestFit="1" customWidth="1"/>
    <col min="772" max="1019" width="8.85546875" style="20"/>
    <col min="1020" max="1020" width="10.140625" style="20" bestFit="1" customWidth="1"/>
    <col min="1021" max="1021" width="7.7109375" style="20" bestFit="1" customWidth="1"/>
    <col min="1022" max="1022" width="14.140625" style="20" bestFit="1" customWidth="1"/>
    <col min="1023" max="1023" width="65.28515625" style="20" bestFit="1" customWidth="1"/>
    <col min="1024" max="1024" width="45.85546875" style="20" bestFit="1" customWidth="1"/>
    <col min="1025" max="1025" width="8.85546875" style="20" bestFit="1" customWidth="1"/>
    <col min="1026" max="1026" width="9.7109375" style="20" bestFit="1" customWidth="1"/>
    <col min="1027" max="1027" width="13.85546875" style="20" bestFit="1" customWidth="1"/>
    <col min="1028" max="1275" width="8.85546875" style="20"/>
    <col min="1276" max="1276" width="10.140625" style="20" bestFit="1" customWidth="1"/>
    <col min="1277" max="1277" width="7.7109375" style="20" bestFit="1" customWidth="1"/>
    <col min="1278" max="1278" width="14.140625" style="20" bestFit="1" customWidth="1"/>
    <col min="1279" max="1279" width="65.28515625" style="20" bestFit="1" customWidth="1"/>
    <col min="1280" max="1280" width="45.85546875" style="20" bestFit="1" customWidth="1"/>
    <col min="1281" max="1281" width="8.85546875" style="20" bestFit="1" customWidth="1"/>
    <col min="1282" max="1282" width="9.7109375" style="20" bestFit="1" customWidth="1"/>
    <col min="1283" max="1283" width="13.85546875" style="20" bestFit="1" customWidth="1"/>
    <col min="1284" max="1531" width="8.85546875" style="20"/>
    <col min="1532" max="1532" width="10.140625" style="20" bestFit="1" customWidth="1"/>
    <col min="1533" max="1533" width="7.7109375" style="20" bestFit="1" customWidth="1"/>
    <col min="1534" max="1534" width="14.140625" style="20" bestFit="1" customWidth="1"/>
    <col min="1535" max="1535" width="65.28515625" style="20" bestFit="1" customWidth="1"/>
    <col min="1536" max="1536" width="45.85546875" style="20" bestFit="1" customWidth="1"/>
    <col min="1537" max="1537" width="8.85546875" style="20" bestFit="1" customWidth="1"/>
    <col min="1538" max="1538" width="9.7109375" style="20" bestFit="1" customWidth="1"/>
    <col min="1539" max="1539" width="13.85546875" style="20" bestFit="1" customWidth="1"/>
    <col min="1540" max="1787" width="8.85546875" style="20"/>
    <col min="1788" max="1788" width="10.140625" style="20" bestFit="1" customWidth="1"/>
    <col min="1789" max="1789" width="7.7109375" style="20" bestFit="1" customWidth="1"/>
    <col min="1790" max="1790" width="14.140625" style="20" bestFit="1" customWidth="1"/>
    <col min="1791" max="1791" width="65.28515625" style="20" bestFit="1" customWidth="1"/>
    <col min="1792" max="1792" width="45.85546875" style="20" bestFit="1" customWidth="1"/>
    <col min="1793" max="1793" width="8.85546875" style="20" bestFit="1" customWidth="1"/>
    <col min="1794" max="1794" width="9.7109375" style="20" bestFit="1" customWidth="1"/>
    <col min="1795" max="1795" width="13.85546875" style="20" bestFit="1" customWidth="1"/>
    <col min="1796" max="2043" width="8.85546875" style="20"/>
    <col min="2044" max="2044" width="10.140625" style="20" bestFit="1" customWidth="1"/>
    <col min="2045" max="2045" width="7.7109375" style="20" bestFit="1" customWidth="1"/>
    <col min="2046" max="2046" width="14.140625" style="20" bestFit="1" customWidth="1"/>
    <col min="2047" max="2047" width="65.28515625" style="20" bestFit="1" customWidth="1"/>
    <col min="2048" max="2048" width="45.85546875" style="20" bestFit="1" customWidth="1"/>
    <col min="2049" max="2049" width="8.85546875" style="20" bestFit="1" customWidth="1"/>
    <col min="2050" max="2050" width="9.7109375" style="20" bestFit="1" customWidth="1"/>
    <col min="2051" max="2051" width="13.85546875" style="20" bestFit="1" customWidth="1"/>
    <col min="2052" max="2299" width="8.85546875" style="20"/>
    <col min="2300" max="2300" width="10.140625" style="20" bestFit="1" customWidth="1"/>
    <col min="2301" max="2301" width="7.7109375" style="20" bestFit="1" customWidth="1"/>
    <col min="2302" max="2302" width="14.140625" style="20" bestFit="1" customWidth="1"/>
    <col min="2303" max="2303" width="65.28515625" style="20" bestFit="1" customWidth="1"/>
    <col min="2304" max="2304" width="45.85546875" style="20" bestFit="1" customWidth="1"/>
    <col min="2305" max="2305" width="8.85546875" style="20" bestFit="1" customWidth="1"/>
    <col min="2306" max="2306" width="9.7109375" style="20" bestFit="1" customWidth="1"/>
    <col min="2307" max="2307" width="13.85546875" style="20" bestFit="1" customWidth="1"/>
    <col min="2308" max="2555" width="8.85546875" style="20"/>
    <col min="2556" max="2556" width="10.140625" style="20" bestFit="1" customWidth="1"/>
    <col min="2557" max="2557" width="7.7109375" style="20" bestFit="1" customWidth="1"/>
    <col min="2558" max="2558" width="14.140625" style="20" bestFit="1" customWidth="1"/>
    <col min="2559" max="2559" width="65.28515625" style="20" bestFit="1" customWidth="1"/>
    <col min="2560" max="2560" width="45.85546875" style="20" bestFit="1" customWidth="1"/>
    <col min="2561" max="2561" width="8.85546875" style="20" bestFit="1" customWidth="1"/>
    <col min="2562" max="2562" width="9.7109375" style="20" bestFit="1" customWidth="1"/>
    <col min="2563" max="2563" width="13.85546875" style="20" bestFit="1" customWidth="1"/>
    <col min="2564" max="2811" width="8.85546875" style="20"/>
    <col min="2812" max="2812" width="10.140625" style="20" bestFit="1" customWidth="1"/>
    <col min="2813" max="2813" width="7.7109375" style="20" bestFit="1" customWidth="1"/>
    <col min="2814" max="2814" width="14.140625" style="20" bestFit="1" customWidth="1"/>
    <col min="2815" max="2815" width="65.28515625" style="20" bestFit="1" customWidth="1"/>
    <col min="2816" max="2816" width="45.85546875" style="20" bestFit="1" customWidth="1"/>
    <col min="2817" max="2817" width="8.85546875" style="20" bestFit="1" customWidth="1"/>
    <col min="2818" max="2818" width="9.7109375" style="20" bestFit="1" customWidth="1"/>
    <col min="2819" max="2819" width="13.85546875" style="20" bestFit="1" customWidth="1"/>
    <col min="2820" max="3067" width="8.85546875" style="20"/>
    <col min="3068" max="3068" width="10.140625" style="20" bestFit="1" customWidth="1"/>
    <col min="3069" max="3069" width="7.7109375" style="20" bestFit="1" customWidth="1"/>
    <col min="3070" max="3070" width="14.140625" style="20" bestFit="1" customWidth="1"/>
    <col min="3071" max="3071" width="65.28515625" style="20" bestFit="1" customWidth="1"/>
    <col min="3072" max="3072" width="45.85546875" style="20" bestFit="1" customWidth="1"/>
    <col min="3073" max="3073" width="8.85546875" style="20" bestFit="1" customWidth="1"/>
    <col min="3074" max="3074" width="9.7109375" style="20" bestFit="1" customWidth="1"/>
    <col min="3075" max="3075" width="13.85546875" style="20" bestFit="1" customWidth="1"/>
    <col min="3076" max="3323" width="8.85546875" style="20"/>
    <col min="3324" max="3324" width="10.140625" style="20" bestFit="1" customWidth="1"/>
    <col min="3325" max="3325" width="7.7109375" style="20" bestFit="1" customWidth="1"/>
    <col min="3326" max="3326" width="14.140625" style="20" bestFit="1" customWidth="1"/>
    <col min="3327" max="3327" width="65.28515625" style="20" bestFit="1" customWidth="1"/>
    <col min="3328" max="3328" width="45.85546875" style="20" bestFit="1" customWidth="1"/>
    <col min="3329" max="3329" width="8.85546875" style="20" bestFit="1" customWidth="1"/>
    <col min="3330" max="3330" width="9.7109375" style="20" bestFit="1" customWidth="1"/>
    <col min="3331" max="3331" width="13.85546875" style="20" bestFit="1" customWidth="1"/>
    <col min="3332" max="3579" width="8.85546875" style="20"/>
    <col min="3580" max="3580" width="10.140625" style="20" bestFit="1" customWidth="1"/>
    <col min="3581" max="3581" width="7.7109375" style="20" bestFit="1" customWidth="1"/>
    <col min="3582" max="3582" width="14.140625" style="20" bestFit="1" customWidth="1"/>
    <col min="3583" max="3583" width="65.28515625" style="20" bestFit="1" customWidth="1"/>
    <col min="3584" max="3584" width="45.85546875" style="20" bestFit="1" customWidth="1"/>
    <col min="3585" max="3585" width="8.85546875" style="20" bestFit="1" customWidth="1"/>
    <col min="3586" max="3586" width="9.7109375" style="20" bestFit="1" customWidth="1"/>
    <col min="3587" max="3587" width="13.85546875" style="20" bestFit="1" customWidth="1"/>
    <col min="3588" max="3835" width="8.85546875" style="20"/>
    <col min="3836" max="3836" width="10.140625" style="20" bestFit="1" customWidth="1"/>
    <col min="3837" max="3837" width="7.7109375" style="20" bestFit="1" customWidth="1"/>
    <col min="3838" max="3838" width="14.140625" style="20" bestFit="1" customWidth="1"/>
    <col min="3839" max="3839" width="65.28515625" style="20" bestFit="1" customWidth="1"/>
    <col min="3840" max="3840" width="45.85546875" style="20" bestFit="1" customWidth="1"/>
    <col min="3841" max="3841" width="8.85546875" style="20" bestFit="1" customWidth="1"/>
    <col min="3842" max="3842" width="9.7109375" style="20" bestFit="1" customWidth="1"/>
    <col min="3843" max="3843" width="13.85546875" style="20" bestFit="1" customWidth="1"/>
    <col min="3844" max="4091" width="8.85546875" style="20"/>
    <col min="4092" max="4092" width="10.140625" style="20" bestFit="1" customWidth="1"/>
    <col min="4093" max="4093" width="7.7109375" style="20" bestFit="1" customWidth="1"/>
    <col min="4094" max="4094" width="14.140625" style="20" bestFit="1" customWidth="1"/>
    <col min="4095" max="4095" width="65.28515625" style="20" bestFit="1" customWidth="1"/>
    <col min="4096" max="4096" width="45.85546875" style="20" bestFit="1" customWidth="1"/>
    <col min="4097" max="4097" width="8.85546875" style="20" bestFit="1" customWidth="1"/>
    <col min="4098" max="4098" width="9.7109375" style="20" bestFit="1" customWidth="1"/>
    <col min="4099" max="4099" width="13.85546875" style="20" bestFit="1" customWidth="1"/>
    <col min="4100" max="4347" width="8.85546875" style="20"/>
    <col min="4348" max="4348" width="10.140625" style="20" bestFit="1" customWidth="1"/>
    <col min="4349" max="4349" width="7.7109375" style="20" bestFit="1" customWidth="1"/>
    <col min="4350" max="4350" width="14.140625" style="20" bestFit="1" customWidth="1"/>
    <col min="4351" max="4351" width="65.28515625" style="20" bestFit="1" customWidth="1"/>
    <col min="4352" max="4352" width="45.85546875" style="20" bestFit="1" customWidth="1"/>
    <col min="4353" max="4353" width="8.85546875" style="20" bestFit="1" customWidth="1"/>
    <col min="4354" max="4354" width="9.7109375" style="20" bestFit="1" customWidth="1"/>
    <col min="4355" max="4355" width="13.85546875" style="20" bestFit="1" customWidth="1"/>
    <col min="4356" max="4603" width="8.85546875" style="20"/>
    <col min="4604" max="4604" width="10.140625" style="20" bestFit="1" customWidth="1"/>
    <col min="4605" max="4605" width="7.7109375" style="20" bestFit="1" customWidth="1"/>
    <col min="4606" max="4606" width="14.140625" style="20" bestFit="1" customWidth="1"/>
    <col min="4607" max="4607" width="65.28515625" style="20" bestFit="1" customWidth="1"/>
    <col min="4608" max="4608" width="45.85546875" style="20" bestFit="1" customWidth="1"/>
    <col min="4609" max="4609" width="8.85546875" style="20" bestFit="1" customWidth="1"/>
    <col min="4610" max="4610" width="9.7109375" style="20" bestFit="1" customWidth="1"/>
    <col min="4611" max="4611" width="13.85546875" style="20" bestFit="1" customWidth="1"/>
    <col min="4612" max="4859" width="8.85546875" style="20"/>
    <col min="4860" max="4860" width="10.140625" style="20" bestFit="1" customWidth="1"/>
    <col min="4861" max="4861" width="7.7109375" style="20" bestFit="1" customWidth="1"/>
    <col min="4862" max="4862" width="14.140625" style="20" bestFit="1" customWidth="1"/>
    <col min="4863" max="4863" width="65.28515625" style="20" bestFit="1" customWidth="1"/>
    <col min="4864" max="4864" width="45.85546875" style="20" bestFit="1" customWidth="1"/>
    <col min="4865" max="4865" width="8.85546875" style="20" bestFit="1" customWidth="1"/>
    <col min="4866" max="4866" width="9.7109375" style="20" bestFit="1" customWidth="1"/>
    <col min="4867" max="4867" width="13.85546875" style="20" bestFit="1" customWidth="1"/>
    <col min="4868" max="5115" width="8.85546875" style="20"/>
    <col min="5116" max="5116" width="10.140625" style="20" bestFit="1" customWidth="1"/>
    <col min="5117" max="5117" width="7.7109375" style="20" bestFit="1" customWidth="1"/>
    <col min="5118" max="5118" width="14.140625" style="20" bestFit="1" customWidth="1"/>
    <col min="5119" max="5119" width="65.28515625" style="20" bestFit="1" customWidth="1"/>
    <col min="5120" max="5120" width="45.85546875" style="20" bestFit="1" customWidth="1"/>
    <col min="5121" max="5121" width="8.85546875" style="20" bestFit="1" customWidth="1"/>
    <col min="5122" max="5122" width="9.7109375" style="20" bestFit="1" customWidth="1"/>
    <col min="5123" max="5123" width="13.85546875" style="20" bestFit="1" customWidth="1"/>
    <col min="5124" max="5371" width="8.85546875" style="20"/>
    <col min="5372" max="5372" width="10.140625" style="20" bestFit="1" customWidth="1"/>
    <col min="5373" max="5373" width="7.7109375" style="20" bestFit="1" customWidth="1"/>
    <col min="5374" max="5374" width="14.140625" style="20" bestFit="1" customWidth="1"/>
    <col min="5375" max="5375" width="65.28515625" style="20" bestFit="1" customWidth="1"/>
    <col min="5376" max="5376" width="45.85546875" style="20" bestFit="1" customWidth="1"/>
    <col min="5377" max="5377" width="8.85546875" style="20" bestFit="1" customWidth="1"/>
    <col min="5378" max="5378" width="9.7109375" style="20" bestFit="1" customWidth="1"/>
    <col min="5379" max="5379" width="13.85546875" style="20" bestFit="1" customWidth="1"/>
    <col min="5380" max="5627" width="8.85546875" style="20"/>
    <col min="5628" max="5628" width="10.140625" style="20" bestFit="1" customWidth="1"/>
    <col min="5629" max="5629" width="7.7109375" style="20" bestFit="1" customWidth="1"/>
    <col min="5630" max="5630" width="14.140625" style="20" bestFit="1" customWidth="1"/>
    <col min="5631" max="5631" width="65.28515625" style="20" bestFit="1" customWidth="1"/>
    <col min="5632" max="5632" width="45.85546875" style="20" bestFit="1" customWidth="1"/>
    <col min="5633" max="5633" width="8.85546875" style="20" bestFit="1" customWidth="1"/>
    <col min="5634" max="5634" width="9.7109375" style="20" bestFit="1" customWidth="1"/>
    <col min="5635" max="5635" width="13.85546875" style="20" bestFit="1" customWidth="1"/>
    <col min="5636" max="5883" width="8.85546875" style="20"/>
    <col min="5884" max="5884" width="10.140625" style="20" bestFit="1" customWidth="1"/>
    <col min="5885" max="5885" width="7.7109375" style="20" bestFit="1" customWidth="1"/>
    <col min="5886" max="5886" width="14.140625" style="20" bestFit="1" customWidth="1"/>
    <col min="5887" max="5887" width="65.28515625" style="20" bestFit="1" customWidth="1"/>
    <col min="5888" max="5888" width="45.85546875" style="20" bestFit="1" customWidth="1"/>
    <col min="5889" max="5889" width="8.85546875" style="20" bestFit="1" customWidth="1"/>
    <col min="5890" max="5890" width="9.7109375" style="20" bestFit="1" customWidth="1"/>
    <col min="5891" max="5891" width="13.85546875" style="20" bestFit="1" customWidth="1"/>
    <col min="5892" max="6139" width="8.85546875" style="20"/>
    <col min="6140" max="6140" width="10.140625" style="20" bestFit="1" customWidth="1"/>
    <col min="6141" max="6141" width="7.7109375" style="20" bestFit="1" customWidth="1"/>
    <col min="6142" max="6142" width="14.140625" style="20" bestFit="1" customWidth="1"/>
    <col min="6143" max="6143" width="65.28515625" style="20" bestFit="1" customWidth="1"/>
    <col min="6144" max="6144" width="45.85546875" style="20" bestFit="1" customWidth="1"/>
    <col min="6145" max="6145" width="8.85546875" style="20" bestFit="1" customWidth="1"/>
    <col min="6146" max="6146" width="9.7109375" style="20" bestFit="1" customWidth="1"/>
    <col min="6147" max="6147" width="13.85546875" style="20" bestFit="1" customWidth="1"/>
    <col min="6148" max="6395" width="8.85546875" style="20"/>
    <col min="6396" max="6396" width="10.140625" style="20" bestFit="1" customWidth="1"/>
    <col min="6397" max="6397" width="7.7109375" style="20" bestFit="1" customWidth="1"/>
    <col min="6398" max="6398" width="14.140625" style="20" bestFit="1" customWidth="1"/>
    <col min="6399" max="6399" width="65.28515625" style="20" bestFit="1" customWidth="1"/>
    <col min="6400" max="6400" width="45.85546875" style="20" bestFit="1" customWidth="1"/>
    <col min="6401" max="6401" width="8.85546875" style="20" bestFit="1" customWidth="1"/>
    <col min="6402" max="6402" width="9.7109375" style="20" bestFit="1" customWidth="1"/>
    <col min="6403" max="6403" width="13.85546875" style="20" bestFit="1" customWidth="1"/>
    <col min="6404" max="6651" width="8.85546875" style="20"/>
    <col min="6652" max="6652" width="10.140625" style="20" bestFit="1" customWidth="1"/>
    <col min="6653" max="6653" width="7.7109375" style="20" bestFit="1" customWidth="1"/>
    <col min="6654" max="6654" width="14.140625" style="20" bestFit="1" customWidth="1"/>
    <col min="6655" max="6655" width="65.28515625" style="20" bestFit="1" customWidth="1"/>
    <col min="6656" max="6656" width="45.85546875" style="20" bestFit="1" customWidth="1"/>
    <col min="6657" max="6657" width="8.85546875" style="20" bestFit="1" customWidth="1"/>
    <col min="6658" max="6658" width="9.7109375" style="20" bestFit="1" customWidth="1"/>
    <col min="6659" max="6659" width="13.85546875" style="20" bestFit="1" customWidth="1"/>
    <col min="6660" max="6907" width="8.85546875" style="20"/>
    <col min="6908" max="6908" width="10.140625" style="20" bestFit="1" customWidth="1"/>
    <col min="6909" max="6909" width="7.7109375" style="20" bestFit="1" customWidth="1"/>
    <col min="6910" max="6910" width="14.140625" style="20" bestFit="1" customWidth="1"/>
    <col min="6911" max="6911" width="65.28515625" style="20" bestFit="1" customWidth="1"/>
    <col min="6912" max="6912" width="45.85546875" style="20" bestFit="1" customWidth="1"/>
    <col min="6913" max="6913" width="8.85546875" style="20" bestFit="1" customWidth="1"/>
    <col min="6914" max="6914" width="9.7109375" style="20" bestFit="1" customWidth="1"/>
    <col min="6915" max="6915" width="13.85546875" style="20" bestFit="1" customWidth="1"/>
    <col min="6916" max="7163" width="8.85546875" style="20"/>
    <col min="7164" max="7164" width="10.140625" style="20" bestFit="1" customWidth="1"/>
    <col min="7165" max="7165" width="7.7109375" style="20" bestFit="1" customWidth="1"/>
    <col min="7166" max="7166" width="14.140625" style="20" bestFit="1" customWidth="1"/>
    <col min="7167" max="7167" width="65.28515625" style="20" bestFit="1" customWidth="1"/>
    <col min="7168" max="7168" width="45.85546875" style="20" bestFit="1" customWidth="1"/>
    <col min="7169" max="7169" width="8.85546875" style="20" bestFit="1" customWidth="1"/>
    <col min="7170" max="7170" width="9.7109375" style="20" bestFit="1" customWidth="1"/>
    <col min="7171" max="7171" width="13.85546875" style="20" bestFit="1" customWidth="1"/>
    <col min="7172" max="7419" width="8.85546875" style="20"/>
    <col min="7420" max="7420" width="10.140625" style="20" bestFit="1" customWidth="1"/>
    <col min="7421" max="7421" width="7.7109375" style="20" bestFit="1" customWidth="1"/>
    <col min="7422" max="7422" width="14.140625" style="20" bestFit="1" customWidth="1"/>
    <col min="7423" max="7423" width="65.28515625" style="20" bestFit="1" customWidth="1"/>
    <col min="7424" max="7424" width="45.85546875" style="20" bestFit="1" customWidth="1"/>
    <col min="7425" max="7425" width="8.85546875" style="20" bestFit="1" customWidth="1"/>
    <col min="7426" max="7426" width="9.7109375" style="20" bestFit="1" customWidth="1"/>
    <col min="7427" max="7427" width="13.85546875" style="20" bestFit="1" customWidth="1"/>
    <col min="7428" max="7675" width="8.85546875" style="20"/>
    <col min="7676" max="7676" width="10.140625" style="20" bestFit="1" customWidth="1"/>
    <col min="7677" max="7677" width="7.7109375" style="20" bestFit="1" customWidth="1"/>
    <col min="7678" max="7678" width="14.140625" style="20" bestFit="1" customWidth="1"/>
    <col min="7679" max="7679" width="65.28515625" style="20" bestFit="1" customWidth="1"/>
    <col min="7680" max="7680" width="45.85546875" style="20" bestFit="1" customWidth="1"/>
    <col min="7681" max="7681" width="8.85546875" style="20" bestFit="1" customWidth="1"/>
    <col min="7682" max="7682" width="9.7109375" style="20" bestFit="1" customWidth="1"/>
    <col min="7683" max="7683" width="13.85546875" style="20" bestFit="1" customWidth="1"/>
    <col min="7684" max="7931" width="8.85546875" style="20"/>
    <col min="7932" max="7932" width="10.140625" style="20" bestFit="1" customWidth="1"/>
    <col min="7933" max="7933" width="7.7109375" style="20" bestFit="1" customWidth="1"/>
    <col min="7934" max="7934" width="14.140625" style="20" bestFit="1" customWidth="1"/>
    <col min="7935" max="7935" width="65.28515625" style="20" bestFit="1" customWidth="1"/>
    <col min="7936" max="7936" width="45.85546875" style="20" bestFit="1" customWidth="1"/>
    <col min="7937" max="7937" width="8.85546875" style="20" bestFit="1" customWidth="1"/>
    <col min="7938" max="7938" width="9.7109375" style="20" bestFit="1" customWidth="1"/>
    <col min="7939" max="7939" width="13.85546875" style="20" bestFit="1" customWidth="1"/>
    <col min="7940" max="8187" width="8.85546875" style="20"/>
    <col min="8188" max="8188" width="10.140625" style="20" bestFit="1" customWidth="1"/>
    <col min="8189" max="8189" width="7.7109375" style="20" bestFit="1" customWidth="1"/>
    <col min="8190" max="8190" width="14.140625" style="20" bestFit="1" customWidth="1"/>
    <col min="8191" max="8191" width="65.28515625" style="20" bestFit="1" customWidth="1"/>
    <col min="8192" max="8192" width="45.85546875" style="20" bestFit="1" customWidth="1"/>
    <col min="8193" max="8193" width="8.85546875" style="20" bestFit="1" customWidth="1"/>
    <col min="8194" max="8194" width="9.7109375" style="20" bestFit="1" customWidth="1"/>
    <col min="8195" max="8195" width="13.85546875" style="20" bestFit="1" customWidth="1"/>
    <col min="8196" max="8443" width="8.85546875" style="20"/>
    <col min="8444" max="8444" width="10.140625" style="20" bestFit="1" customWidth="1"/>
    <col min="8445" max="8445" width="7.7109375" style="20" bestFit="1" customWidth="1"/>
    <col min="8446" max="8446" width="14.140625" style="20" bestFit="1" customWidth="1"/>
    <col min="8447" max="8447" width="65.28515625" style="20" bestFit="1" customWidth="1"/>
    <col min="8448" max="8448" width="45.85546875" style="20" bestFit="1" customWidth="1"/>
    <col min="8449" max="8449" width="8.85546875" style="20" bestFit="1" customWidth="1"/>
    <col min="8450" max="8450" width="9.7109375" style="20" bestFit="1" customWidth="1"/>
    <col min="8451" max="8451" width="13.85546875" style="20" bestFit="1" customWidth="1"/>
    <col min="8452" max="8699" width="8.85546875" style="20"/>
    <col min="8700" max="8700" width="10.140625" style="20" bestFit="1" customWidth="1"/>
    <col min="8701" max="8701" width="7.7109375" style="20" bestFit="1" customWidth="1"/>
    <col min="8702" max="8702" width="14.140625" style="20" bestFit="1" customWidth="1"/>
    <col min="8703" max="8703" width="65.28515625" style="20" bestFit="1" customWidth="1"/>
    <col min="8704" max="8704" width="45.85546875" style="20" bestFit="1" customWidth="1"/>
    <col min="8705" max="8705" width="8.85546875" style="20" bestFit="1" customWidth="1"/>
    <col min="8706" max="8706" width="9.7109375" style="20" bestFit="1" customWidth="1"/>
    <col min="8707" max="8707" width="13.85546875" style="20" bestFit="1" customWidth="1"/>
    <col min="8708" max="8955" width="8.85546875" style="20"/>
    <col min="8956" max="8956" width="10.140625" style="20" bestFit="1" customWidth="1"/>
    <col min="8957" max="8957" width="7.7109375" style="20" bestFit="1" customWidth="1"/>
    <col min="8958" max="8958" width="14.140625" style="20" bestFit="1" customWidth="1"/>
    <col min="8959" max="8959" width="65.28515625" style="20" bestFit="1" customWidth="1"/>
    <col min="8960" max="8960" width="45.85546875" style="20" bestFit="1" customWidth="1"/>
    <col min="8961" max="8961" width="8.85546875" style="20" bestFit="1" customWidth="1"/>
    <col min="8962" max="8962" width="9.7109375" style="20" bestFit="1" customWidth="1"/>
    <col min="8963" max="8963" width="13.85546875" style="20" bestFit="1" customWidth="1"/>
    <col min="8964" max="9211" width="8.85546875" style="20"/>
    <col min="9212" max="9212" width="10.140625" style="20" bestFit="1" customWidth="1"/>
    <col min="9213" max="9213" width="7.7109375" style="20" bestFit="1" customWidth="1"/>
    <col min="9214" max="9214" width="14.140625" style="20" bestFit="1" customWidth="1"/>
    <col min="9215" max="9215" width="65.28515625" style="20" bestFit="1" customWidth="1"/>
    <col min="9216" max="9216" width="45.85546875" style="20" bestFit="1" customWidth="1"/>
    <col min="9217" max="9217" width="8.85546875" style="20" bestFit="1" customWidth="1"/>
    <col min="9218" max="9218" width="9.7109375" style="20" bestFit="1" customWidth="1"/>
    <col min="9219" max="9219" width="13.85546875" style="20" bestFit="1" customWidth="1"/>
    <col min="9220" max="9467" width="8.85546875" style="20"/>
    <col min="9468" max="9468" width="10.140625" style="20" bestFit="1" customWidth="1"/>
    <col min="9469" max="9469" width="7.7109375" style="20" bestFit="1" customWidth="1"/>
    <col min="9470" max="9470" width="14.140625" style="20" bestFit="1" customWidth="1"/>
    <col min="9471" max="9471" width="65.28515625" style="20" bestFit="1" customWidth="1"/>
    <col min="9472" max="9472" width="45.85546875" style="20" bestFit="1" customWidth="1"/>
    <col min="9473" max="9473" width="8.85546875" style="20" bestFit="1" customWidth="1"/>
    <col min="9474" max="9474" width="9.7109375" style="20" bestFit="1" customWidth="1"/>
    <col min="9475" max="9475" width="13.85546875" style="20" bestFit="1" customWidth="1"/>
    <col min="9476" max="9723" width="8.85546875" style="20"/>
    <col min="9724" max="9724" width="10.140625" style="20" bestFit="1" customWidth="1"/>
    <col min="9725" max="9725" width="7.7109375" style="20" bestFit="1" customWidth="1"/>
    <col min="9726" max="9726" width="14.140625" style="20" bestFit="1" customWidth="1"/>
    <col min="9727" max="9727" width="65.28515625" style="20" bestFit="1" customWidth="1"/>
    <col min="9728" max="9728" width="45.85546875" style="20" bestFit="1" customWidth="1"/>
    <col min="9729" max="9729" width="8.85546875" style="20" bestFit="1" customWidth="1"/>
    <col min="9730" max="9730" width="9.7109375" style="20" bestFit="1" customWidth="1"/>
    <col min="9731" max="9731" width="13.85546875" style="20" bestFit="1" customWidth="1"/>
    <col min="9732" max="9979" width="8.85546875" style="20"/>
    <col min="9980" max="9980" width="10.140625" style="20" bestFit="1" customWidth="1"/>
    <col min="9981" max="9981" width="7.7109375" style="20" bestFit="1" customWidth="1"/>
    <col min="9982" max="9982" width="14.140625" style="20" bestFit="1" customWidth="1"/>
    <col min="9983" max="9983" width="65.28515625" style="20" bestFit="1" customWidth="1"/>
    <col min="9984" max="9984" width="45.85546875" style="20" bestFit="1" customWidth="1"/>
    <col min="9985" max="9985" width="8.85546875" style="20" bestFit="1" customWidth="1"/>
    <col min="9986" max="9986" width="9.7109375" style="20" bestFit="1" customWidth="1"/>
    <col min="9987" max="9987" width="13.85546875" style="20" bestFit="1" customWidth="1"/>
    <col min="9988" max="10235" width="8.85546875" style="20"/>
    <col min="10236" max="10236" width="10.140625" style="20" bestFit="1" customWidth="1"/>
    <col min="10237" max="10237" width="7.7109375" style="20" bestFit="1" customWidth="1"/>
    <col min="10238" max="10238" width="14.140625" style="20" bestFit="1" customWidth="1"/>
    <col min="10239" max="10239" width="65.28515625" style="20" bestFit="1" customWidth="1"/>
    <col min="10240" max="10240" width="45.85546875" style="20" bestFit="1" customWidth="1"/>
    <col min="10241" max="10241" width="8.85546875" style="20" bestFit="1" customWidth="1"/>
    <col min="10242" max="10242" width="9.7109375" style="20" bestFit="1" customWidth="1"/>
    <col min="10243" max="10243" width="13.85546875" style="20" bestFit="1" customWidth="1"/>
    <col min="10244" max="10491" width="8.85546875" style="20"/>
    <col min="10492" max="10492" width="10.140625" style="20" bestFit="1" customWidth="1"/>
    <col min="10493" max="10493" width="7.7109375" style="20" bestFit="1" customWidth="1"/>
    <col min="10494" max="10494" width="14.140625" style="20" bestFit="1" customWidth="1"/>
    <col min="10495" max="10495" width="65.28515625" style="20" bestFit="1" customWidth="1"/>
    <col min="10496" max="10496" width="45.85546875" style="20" bestFit="1" customWidth="1"/>
    <col min="10497" max="10497" width="8.85546875" style="20" bestFit="1" customWidth="1"/>
    <col min="10498" max="10498" width="9.7109375" style="20" bestFit="1" customWidth="1"/>
    <col min="10499" max="10499" width="13.85546875" style="20" bestFit="1" customWidth="1"/>
    <col min="10500" max="10747" width="8.85546875" style="20"/>
    <col min="10748" max="10748" width="10.140625" style="20" bestFit="1" customWidth="1"/>
    <col min="10749" max="10749" width="7.7109375" style="20" bestFit="1" customWidth="1"/>
    <col min="10750" max="10750" width="14.140625" style="20" bestFit="1" customWidth="1"/>
    <col min="10751" max="10751" width="65.28515625" style="20" bestFit="1" customWidth="1"/>
    <col min="10752" max="10752" width="45.85546875" style="20" bestFit="1" customWidth="1"/>
    <col min="10753" max="10753" width="8.85546875" style="20" bestFit="1" customWidth="1"/>
    <col min="10754" max="10754" width="9.7109375" style="20" bestFit="1" customWidth="1"/>
    <col min="10755" max="10755" width="13.85546875" style="20" bestFit="1" customWidth="1"/>
    <col min="10756" max="11003" width="8.85546875" style="20"/>
    <col min="11004" max="11004" width="10.140625" style="20" bestFit="1" customWidth="1"/>
    <col min="11005" max="11005" width="7.7109375" style="20" bestFit="1" customWidth="1"/>
    <col min="11006" max="11006" width="14.140625" style="20" bestFit="1" customWidth="1"/>
    <col min="11007" max="11007" width="65.28515625" style="20" bestFit="1" customWidth="1"/>
    <col min="11008" max="11008" width="45.85546875" style="20" bestFit="1" customWidth="1"/>
    <col min="11009" max="11009" width="8.85546875" style="20" bestFit="1" customWidth="1"/>
    <col min="11010" max="11010" width="9.7109375" style="20" bestFit="1" customWidth="1"/>
    <col min="11011" max="11011" width="13.85546875" style="20" bestFit="1" customWidth="1"/>
    <col min="11012" max="11259" width="8.85546875" style="20"/>
    <col min="11260" max="11260" width="10.140625" style="20" bestFit="1" customWidth="1"/>
    <col min="11261" max="11261" width="7.7109375" style="20" bestFit="1" customWidth="1"/>
    <col min="11262" max="11262" width="14.140625" style="20" bestFit="1" customWidth="1"/>
    <col min="11263" max="11263" width="65.28515625" style="20" bestFit="1" customWidth="1"/>
    <col min="11264" max="11264" width="45.85546875" style="20" bestFit="1" customWidth="1"/>
    <col min="11265" max="11265" width="8.85546875" style="20" bestFit="1" customWidth="1"/>
    <col min="11266" max="11266" width="9.7109375" style="20" bestFit="1" customWidth="1"/>
    <col min="11267" max="11267" width="13.85546875" style="20" bestFit="1" customWidth="1"/>
    <col min="11268" max="11515" width="8.85546875" style="20"/>
    <col min="11516" max="11516" width="10.140625" style="20" bestFit="1" customWidth="1"/>
    <col min="11517" max="11517" width="7.7109375" style="20" bestFit="1" customWidth="1"/>
    <col min="11518" max="11518" width="14.140625" style="20" bestFit="1" customWidth="1"/>
    <col min="11519" max="11519" width="65.28515625" style="20" bestFit="1" customWidth="1"/>
    <col min="11520" max="11520" width="45.85546875" style="20" bestFit="1" customWidth="1"/>
    <col min="11521" max="11521" width="8.85546875" style="20" bestFit="1" customWidth="1"/>
    <col min="11522" max="11522" width="9.7109375" style="20" bestFit="1" customWidth="1"/>
    <col min="11523" max="11523" width="13.85546875" style="20" bestFit="1" customWidth="1"/>
    <col min="11524" max="11771" width="8.85546875" style="20"/>
    <col min="11772" max="11772" width="10.140625" style="20" bestFit="1" customWidth="1"/>
    <col min="11773" max="11773" width="7.7109375" style="20" bestFit="1" customWidth="1"/>
    <col min="11774" max="11774" width="14.140625" style="20" bestFit="1" customWidth="1"/>
    <col min="11775" max="11775" width="65.28515625" style="20" bestFit="1" customWidth="1"/>
    <col min="11776" max="11776" width="45.85546875" style="20" bestFit="1" customWidth="1"/>
    <col min="11777" max="11777" width="8.85546875" style="20" bestFit="1" customWidth="1"/>
    <col min="11778" max="11778" width="9.7109375" style="20" bestFit="1" customWidth="1"/>
    <col min="11779" max="11779" width="13.85546875" style="20" bestFit="1" customWidth="1"/>
    <col min="11780" max="12027" width="8.85546875" style="20"/>
    <col min="12028" max="12028" width="10.140625" style="20" bestFit="1" customWidth="1"/>
    <col min="12029" max="12029" width="7.7109375" style="20" bestFit="1" customWidth="1"/>
    <col min="12030" max="12030" width="14.140625" style="20" bestFit="1" customWidth="1"/>
    <col min="12031" max="12031" width="65.28515625" style="20" bestFit="1" customWidth="1"/>
    <col min="12032" max="12032" width="45.85546875" style="20" bestFit="1" customWidth="1"/>
    <col min="12033" max="12033" width="8.85546875" style="20" bestFit="1" customWidth="1"/>
    <col min="12034" max="12034" width="9.7109375" style="20" bestFit="1" customWidth="1"/>
    <col min="12035" max="12035" width="13.85546875" style="20" bestFit="1" customWidth="1"/>
    <col min="12036" max="12283" width="8.85546875" style="20"/>
    <col min="12284" max="12284" width="10.140625" style="20" bestFit="1" customWidth="1"/>
    <col min="12285" max="12285" width="7.7109375" style="20" bestFit="1" customWidth="1"/>
    <col min="12286" max="12286" width="14.140625" style="20" bestFit="1" customWidth="1"/>
    <col min="12287" max="12287" width="65.28515625" style="20" bestFit="1" customWidth="1"/>
    <col min="12288" max="12288" width="45.85546875" style="20" bestFit="1" customWidth="1"/>
    <col min="12289" max="12289" width="8.85546875" style="20" bestFit="1" customWidth="1"/>
    <col min="12290" max="12290" width="9.7109375" style="20" bestFit="1" customWidth="1"/>
    <col min="12291" max="12291" width="13.85546875" style="20" bestFit="1" customWidth="1"/>
    <col min="12292" max="12539" width="8.85546875" style="20"/>
    <col min="12540" max="12540" width="10.140625" style="20" bestFit="1" customWidth="1"/>
    <col min="12541" max="12541" width="7.7109375" style="20" bestFit="1" customWidth="1"/>
    <col min="12542" max="12542" width="14.140625" style="20" bestFit="1" customWidth="1"/>
    <col min="12543" max="12543" width="65.28515625" style="20" bestFit="1" customWidth="1"/>
    <col min="12544" max="12544" width="45.85546875" style="20" bestFit="1" customWidth="1"/>
    <col min="12545" max="12545" width="8.85546875" style="20" bestFit="1" customWidth="1"/>
    <col min="12546" max="12546" width="9.7109375" style="20" bestFit="1" customWidth="1"/>
    <col min="12547" max="12547" width="13.85546875" style="20" bestFit="1" customWidth="1"/>
    <col min="12548" max="12795" width="8.85546875" style="20"/>
    <col min="12796" max="12796" width="10.140625" style="20" bestFit="1" customWidth="1"/>
    <col min="12797" max="12797" width="7.7109375" style="20" bestFit="1" customWidth="1"/>
    <col min="12798" max="12798" width="14.140625" style="20" bestFit="1" customWidth="1"/>
    <col min="12799" max="12799" width="65.28515625" style="20" bestFit="1" customWidth="1"/>
    <col min="12800" max="12800" width="45.85546875" style="20" bestFit="1" customWidth="1"/>
    <col min="12801" max="12801" width="8.85546875" style="20" bestFit="1" customWidth="1"/>
    <col min="12802" max="12802" width="9.7109375" style="20" bestFit="1" customWidth="1"/>
    <col min="12803" max="12803" width="13.85546875" style="20" bestFit="1" customWidth="1"/>
    <col min="12804" max="13051" width="8.85546875" style="20"/>
    <col min="13052" max="13052" width="10.140625" style="20" bestFit="1" customWidth="1"/>
    <col min="13053" max="13053" width="7.7109375" style="20" bestFit="1" customWidth="1"/>
    <col min="13054" max="13054" width="14.140625" style="20" bestFit="1" customWidth="1"/>
    <col min="13055" max="13055" width="65.28515625" style="20" bestFit="1" customWidth="1"/>
    <col min="13056" max="13056" width="45.85546875" style="20" bestFit="1" customWidth="1"/>
    <col min="13057" max="13057" width="8.85546875" style="20" bestFit="1" customWidth="1"/>
    <col min="13058" max="13058" width="9.7109375" style="20" bestFit="1" customWidth="1"/>
    <col min="13059" max="13059" width="13.85546875" style="20" bestFit="1" customWidth="1"/>
    <col min="13060" max="13307" width="8.85546875" style="20"/>
    <col min="13308" max="13308" width="10.140625" style="20" bestFit="1" customWidth="1"/>
    <col min="13309" max="13309" width="7.7109375" style="20" bestFit="1" customWidth="1"/>
    <col min="13310" max="13310" width="14.140625" style="20" bestFit="1" customWidth="1"/>
    <col min="13311" max="13311" width="65.28515625" style="20" bestFit="1" customWidth="1"/>
    <col min="13312" max="13312" width="45.85546875" style="20" bestFit="1" customWidth="1"/>
    <col min="13313" max="13313" width="8.85546875" style="20" bestFit="1" customWidth="1"/>
    <col min="13314" max="13314" width="9.7109375" style="20" bestFit="1" customWidth="1"/>
    <col min="13315" max="13315" width="13.85546875" style="20" bestFit="1" customWidth="1"/>
    <col min="13316" max="13563" width="8.85546875" style="20"/>
    <col min="13564" max="13564" width="10.140625" style="20" bestFit="1" customWidth="1"/>
    <col min="13565" max="13565" width="7.7109375" style="20" bestFit="1" customWidth="1"/>
    <col min="13566" max="13566" width="14.140625" style="20" bestFit="1" customWidth="1"/>
    <col min="13567" max="13567" width="65.28515625" style="20" bestFit="1" customWidth="1"/>
    <col min="13568" max="13568" width="45.85546875" style="20" bestFit="1" customWidth="1"/>
    <col min="13569" max="13569" width="8.85546875" style="20" bestFit="1" customWidth="1"/>
    <col min="13570" max="13570" width="9.7109375" style="20" bestFit="1" customWidth="1"/>
    <col min="13571" max="13571" width="13.85546875" style="20" bestFit="1" customWidth="1"/>
    <col min="13572" max="13819" width="8.85546875" style="20"/>
    <col min="13820" max="13820" width="10.140625" style="20" bestFit="1" customWidth="1"/>
    <col min="13821" max="13821" width="7.7109375" style="20" bestFit="1" customWidth="1"/>
    <col min="13822" max="13822" width="14.140625" style="20" bestFit="1" customWidth="1"/>
    <col min="13823" max="13823" width="65.28515625" style="20" bestFit="1" customWidth="1"/>
    <col min="13824" max="13824" width="45.85546875" style="20" bestFit="1" customWidth="1"/>
    <col min="13825" max="13825" width="8.85546875" style="20" bestFit="1" customWidth="1"/>
    <col min="13826" max="13826" width="9.7109375" style="20" bestFit="1" customWidth="1"/>
    <col min="13827" max="13827" width="13.85546875" style="20" bestFit="1" customWidth="1"/>
    <col min="13828" max="14075" width="8.85546875" style="20"/>
    <col min="14076" max="14076" width="10.140625" style="20" bestFit="1" customWidth="1"/>
    <col min="14077" max="14077" width="7.7109375" style="20" bestFit="1" customWidth="1"/>
    <col min="14078" max="14078" width="14.140625" style="20" bestFit="1" customWidth="1"/>
    <col min="14079" max="14079" width="65.28515625" style="20" bestFit="1" customWidth="1"/>
    <col min="14080" max="14080" width="45.85546875" style="20" bestFit="1" customWidth="1"/>
    <col min="14081" max="14081" width="8.85546875" style="20" bestFit="1" customWidth="1"/>
    <col min="14082" max="14082" width="9.7109375" style="20" bestFit="1" customWidth="1"/>
    <col min="14083" max="14083" width="13.85546875" style="20" bestFit="1" customWidth="1"/>
    <col min="14084" max="14331" width="8.85546875" style="20"/>
    <col min="14332" max="14332" width="10.140625" style="20" bestFit="1" customWidth="1"/>
    <col min="14333" max="14333" width="7.7109375" style="20" bestFit="1" customWidth="1"/>
    <col min="14334" max="14334" width="14.140625" style="20" bestFit="1" customWidth="1"/>
    <col min="14335" max="14335" width="65.28515625" style="20" bestFit="1" customWidth="1"/>
    <col min="14336" max="14336" width="45.85546875" style="20" bestFit="1" customWidth="1"/>
    <col min="14337" max="14337" width="8.85546875" style="20" bestFit="1" customWidth="1"/>
    <col min="14338" max="14338" width="9.7109375" style="20" bestFit="1" customWidth="1"/>
    <col min="14339" max="14339" width="13.85546875" style="20" bestFit="1" customWidth="1"/>
    <col min="14340" max="14587" width="8.85546875" style="20"/>
    <col min="14588" max="14588" width="10.140625" style="20" bestFit="1" customWidth="1"/>
    <col min="14589" max="14589" width="7.7109375" style="20" bestFit="1" customWidth="1"/>
    <col min="14590" max="14590" width="14.140625" style="20" bestFit="1" customWidth="1"/>
    <col min="14591" max="14591" width="65.28515625" style="20" bestFit="1" customWidth="1"/>
    <col min="14592" max="14592" width="45.85546875" style="20" bestFit="1" customWidth="1"/>
    <col min="14593" max="14593" width="8.85546875" style="20" bestFit="1" customWidth="1"/>
    <col min="14594" max="14594" width="9.7109375" style="20" bestFit="1" customWidth="1"/>
    <col min="14595" max="14595" width="13.85546875" style="20" bestFit="1" customWidth="1"/>
    <col min="14596" max="14843" width="8.85546875" style="20"/>
    <col min="14844" max="14844" width="10.140625" style="20" bestFit="1" customWidth="1"/>
    <col min="14845" max="14845" width="7.7109375" style="20" bestFit="1" customWidth="1"/>
    <col min="14846" max="14846" width="14.140625" style="20" bestFit="1" customWidth="1"/>
    <col min="14847" max="14847" width="65.28515625" style="20" bestFit="1" customWidth="1"/>
    <col min="14848" max="14848" width="45.85546875" style="20" bestFit="1" customWidth="1"/>
    <col min="14849" max="14849" width="8.85546875" style="20" bestFit="1" customWidth="1"/>
    <col min="14850" max="14850" width="9.7109375" style="20" bestFit="1" customWidth="1"/>
    <col min="14851" max="14851" width="13.85546875" style="20" bestFit="1" customWidth="1"/>
    <col min="14852" max="15099" width="8.85546875" style="20"/>
    <col min="15100" max="15100" width="10.140625" style="20" bestFit="1" customWidth="1"/>
    <col min="15101" max="15101" width="7.7109375" style="20" bestFit="1" customWidth="1"/>
    <col min="15102" max="15102" width="14.140625" style="20" bestFit="1" customWidth="1"/>
    <col min="15103" max="15103" width="65.28515625" style="20" bestFit="1" customWidth="1"/>
    <col min="15104" max="15104" width="45.85546875" style="20" bestFit="1" customWidth="1"/>
    <col min="15105" max="15105" width="8.85546875" style="20" bestFit="1" customWidth="1"/>
    <col min="15106" max="15106" width="9.7109375" style="20" bestFit="1" customWidth="1"/>
    <col min="15107" max="15107" width="13.85546875" style="20" bestFit="1" customWidth="1"/>
    <col min="15108" max="15355" width="8.85546875" style="20"/>
    <col min="15356" max="15356" width="10.140625" style="20" bestFit="1" customWidth="1"/>
    <col min="15357" max="15357" width="7.7109375" style="20" bestFit="1" customWidth="1"/>
    <col min="15358" max="15358" width="14.140625" style="20" bestFit="1" customWidth="1"/>
    <col min="15359" max="15359" width="65.28515625" style="20" bestFit="1" customWidth="1"/>
    <col min="15360" max="15360" width="45.85546875" style="20" bestFit="1" customWidth="1"/>
    <col min="15361" max="15361" width="8.85546875" style="20" bestFit="1" customWidth="1"/>
    <col min="15362" max="15362" width="9.7109375" style="20" bestFit="1" customWidth="1"/>
    <col min="15363" max="15363" width="13.85546875" style="20" bestFit="1" customWidth="1"/>
    <col min="15364" max="15611" width="8.85546875" style="20"/>
    <col min="15612" max="15612" width="10.140625" style="20" bestFit="1" customWidth="1"/>
    <col min="15613" max="15613" width="7.7109375" style="20" bestFit="1" customWidth="1"/>
    <col min="15614" max="15614" width="14.140625" style="20" bestFit="1" customWidth="1"/>
    <col min="15615" max="15615" width="65.28515625" style="20" bestFit="1" customWidth="1"/>
    <col min="15616" max="15616" width="45.85546875" style="20" bestFit="1" customWidth="1"/>
    <col min="15617" max="15617" width="8.85546875" style="20" bestFit="1" customWidth="1"/>
    <col min="15618" max="15618" width="9.7109375" style="20" bestFit="1" customWidth="1"/>
    <col min="15619" max="15619" width="13.85546875" style="20" bestFit="1" customWidth="1"/>
    <col min="15620" max="15867" width="8.85546875" style="20"/>
    <col min="15868" max="15868" width="10.140625" style="20" bestFit="1" customWidth="1"/>
    <col min="15869" max="15869" width="7.7109375" style="20" bestFit="1" customWidth="1"/>
    <col min="15870" max="15870" width="14.140625" style="20" bestFit="1" customWidth="1"/>
    <col min="15871" max="15871" width="65.28515625" style="20" bestFit="1" customWidth="1"/>
    <col min="15872" max="15872" width="45.85546875" style="20" bestFit="1" customWidth="1"/>
    <col min="15873" max="15873" width="8.85546875" style="20" bestFit="1" customWidth="1"/>
    <col min="15874" max="15874" width="9.7109375" style="20" bestFit="1" customWidth="1"/>
    <col min="15875" max="15875" width="13.85546875" style="20" bestFit="1" customWidth="1"/>
    <col min="15876" max="16123" width="8.85546875" style="20"/>
    <col min="16124" max="16124" width="10.140625" style="20" bestFit="1" customWidth="1"/>
    <col min="16125" max="16125" width="7.7109375" style="20" bestFit="1" customWidth="1"/>
    <col min="16126" max="16126" width="14.140625" style="20" bestFit="1" customWidth="1"/>
    <col min="16127" max="16127" width="65.28515625" style="20" bestFit="1" customWidth="1"/>
    <col min="16128" max="16128" width="45.85546875" style="20" bestFit="1" customWidth="1"/>
    <col min="16129" max="16129" width="8.85546875" style="20" bestFit="1" customWidth="1"/>
    <col min="16130" max="16130" width="9.7109375" style="20" bestFit="1" customWidth="1"/>
    <col min="16131" max="16131" width="13.85546875" style="20" bestFit="1" customWidth="1"/>
    <col min="16132" max="16384" width="8.85546875" style="20"/>
  </cols>
  <sheetData>
    <row r="1" spans="1:3">
      <c r="A1" s="25" t="s">
        <v>887</v>
      </c>
      <c r="B1" s="25"/>
    </row>
    <row r="2" spans="1:3">
      <c r="A2" s="20" t="s">
        <v>5</v>
      </c>
      <c r="B2" s="20" t="s">
        <v>8</v>
      </c>
      <c r="C2" s="20" t="s">
        <v>4</v>
      </c>
    </row>
    <row r="3" spans="1:3">
      <c r="A3" s="20" t="s">
        <v>888</v>
      </c>
      <c r="B3" s="20" t="s">
        <v>889</v>
      </c>
    </row>
    <row r="4" spans="1:3">
      <c r="B4" s="20" t="s">
        <v>11</v>
      </c>
    </row>
    <row r="5" spans="1:3">
      <c r="A5" s="20" t="s">
        <v>890</v>
      </c>
      <c r="B5" s="20" t="s">
        <v>891</v>
      </c>
      <c r="C5" s="20" t="s">
        <v>152</v>
      </c>
    </row>
    <row r="6" spans="1:3">
      <c r="A6" s="20" t="s">
        <v>892</v>
      </c>
      <c r="B6" s="20" t="s">
        <v>893</v>
      </c>
      <c r="C6" s="20" t="s">
        <v>894</v>
      </c>
    </row>
    <row r="7" spans="1:3">
      <c r="A7" s="20" t="s">
        <v>895</v>
      </c>
      <c r="B7" s="20" t="s">
        <v>896</v>
      </c>
      <c r="C7" s="20" t="s">
        <v>626</v>
      </c>
    </row>
    <row r="8" spans="1:3">
      <c r="A8" s="20" t="s">
        <v>325</v>
      </c>
      <c r="B8" s="20" t="s">
        <v>326</v>
      </c>
      <c r="C8" s="20" t="s">
        <v>327</v>
      </c>
    </row>
    <row r="9" spans="1:3">
      <c r="A9" s="20" t="s">
        <v>897</v>
      </c>
      <c r="B9" s="20" t="s">
        <v>898</v>
      </c>
      <c r="C9" s="20" t="s">
        <v>899</v>
      </c>
    </row>
    <row r="10" spans="1:3">
      <c r="A10" s="20" t="s">
        <v>340</v>
      </c>
      <c r="B10" s="20" t="s">
        <v>341</v>
      </c>
      <c r="C10" s="20" t="s">
        <v>342</v>
      </c>
    </row>
    <row r="11" spans="1:3">
      <c r="A11" s="20" t="s">
        <v>900</v>
      </c>
      <c r="B11" s="20" t="s">
        <v>901</v>
      </c>
      <c r="C11" s="20" t="s">
        <v>902</v>
      </c>
    </row>
    <row r="12" spans="1:3">
      <c r="A12" s="20" t="s">
        <v>903</v>
      </c>
      <c r="B12" s="20" t="s">
        <v>904</v>
      </c>
      <c r="C12" s="20" t="s">
        <v>905</v>
      </c>
    </row>
    <row r="13" spans="1:3">
      <c r="A13" s="20" t="s">
        <v>906</v>
      </c>
      <c r="B13" s="20" t="s">
        <v>907</v>
      </c>
      <c r="C13" s="20" t="s">
        <v>908</v>
      </c>
    </row>
    <row r="14" spans="1:3">
      <c r="B14" s="20" t="s">
        <v>42</v>
      </c>
    </row>
    <row r="15" spans="1:3">
      <c r="A15" s="20" t="s">
        <v>909</v>
      </c>
      <c r="B15" s="20" t="s">
        <v>910</v>
      </c>
      <c r="C15" s="20" t="s">
        <v>911</v>
      </c>
    </row>
    <row r="16" spans="1:3">
      <c r="A16" s="20" t="s">
        <v>912</v>
      </c>
      <c r="B16" s="20" t="s">
        <v>913</v>
      </c>
      <c r="C16" s="20" t="s">
        <v>914</v>
      </c>
    </row>
    <row r="17" spans="1:3">
      <c r="A17" s="20" t="s">
        <v>915</v>
      </c>
      <c r="B17" s="20" t="s">
        <v>916</v>
      </c>
      <c r="C17" s="20" t="s">
        <v>917</v>
      </c>
    </row>
    <row r="18" spans="1:3">
      <c r="A18" s="20" t="s">
        <v>918</v>
      </c>
      <c r="B18" s="20" t="s">
        <v>919</v>
      </c>
      <c r="C18" s="20" t="s">
        <v>920</v>
      </c>
    </row>
    <row r="19" spans="1:3">
      <c r="A19" s="20" t="s">
        <v>921</v>
      </c>
      <c r="B19" s="20" t="s">
        <v>922</v>
      </c>
      <c r="C19" s="20" t="s">
        <v>589</v>
      </c>
    </row>
    <row r="20" spans="1:3">
      <c r="A20" s="20" t="s">
        <v>923</v>
      </c>
      <c r="B20" s="20" t="s">
        <v>924</v>
      </c>
      <c r="C20" s="20" t="s">
        <v>925</v>
      </c>
    </row>
    <row r="21" spans="1:3">
      <c r="A21" s="20" t="s">
        <v>55</v>
      </c>
      <c r="B21" s="20" t="s">
        <v>56</v>
      </c>
      <c r="C21" s="20" t="s">
        <v>57</v>
      </c>
    </row>
    <row r="22" spans="1:3">
      <c r="A22" s="20" t="s">
        <v>926</v>
      </c>
      <c r="B22" s="20" t="s">
        <v>927</v>
      </c>
      <c r="C22" s="20" t="s">
        <v>928</v>
      </c>
    </row>
    <row r="23" spans="1:3">
      <c r="A23" s="20" t="s">
        <v>67</v>
      </c>
      <c r="B23" s="20" t="s">
        <v>68</v>
      </c>
      <c r="C23" s="20" t="s">
        <v>69</v>
      </c>
    </row>
    <row r="24" spans="1:3">
      <c r="A24" s="20" t="s">
        <v>929</v>
      </c>
      <c r="B24" s="20" t="s">
        <v>930</v>
      </c>
      <c r="C24" s="20" t="s">
        <v>931</v>
      </c>
    </row>
    <row r="25" spans="1:3">
      <c r="B25" s="20" t="s">
        <v>73</v>
      </c>
    </row>
    <row r="26" spans="1:3">
      <c r="A26" s="20" t="s">
        <v>74</v>
      </c>
      <c r="B26" s="20" t="s">
        <v>75</v>
      </c>
      <c r="C26" s="20" t="s">
        <v>76</v>
      </c>
    </row>
    <row r="27" spans="1:3">
      <c r="A27" s="20" t="s">
        <v>932</v>
      </c>
      <c r="B27" s="20" t="s">
        <v>933</v>
      </c>
      <c r="C27" s="20" t="s">
        <v>934</v>
      </c>
    </row>
    <row r="28" spans="1:3">
      <c r="A28" s="20" t="s">
        <v>935</v>
      </c>
      <c r="B28" s="20" t="s">
        <v>936</v>
      </c>
      <c r="C28" s="20" t="s">
        <v>82</v>
      </c>
    </row>
    <row r="29" spans="1:3">
      <c r="A29" s="20" t="s">
        <v>937</v>
      </c>
      <c r="B29" s="20" t="s">
        <v>938</v>
      </c>
      <c r="C29" s="20" t="s">
        <v>939</v>
      </c>
    </row>
    <row r="30" spans="1:3">
      <c r="A30" s="20" t="s">
        <v>940</v>
      </c>
      <c r="B30" s="20" t="s">
        <v>941</v>
      </c>
      <c r="C30" s="20" t="s">
        <v>942</v>
      </c>
    </row>
    <row r="31" spans="1:3">
      <c r="A31" s="20" t="s">
        <v>86</v>
      </c>
      <c r="B31" s="20" t="s">
        <v>87</v>
      </c>
      <c r="C31" s="20" t="s">
        <v>88</v>
      </c>
    </row>
    <row r="32" spans="1:3">
      <c r="A32" s="20" t="s">
        <v>943</v>
      </c>
      <c r="B32" s="20" t="s">
        <v>944</v>
      </c>
      <c r="C32" s="20" t="s">
        <v>945</v>
      </c>
    </row>
    <row r="33" spans="1:3">
      <c r="A33" s="20" t="s">
        <v>946</v>
      </c>
      <c r="B33" s="20" t="s">
        <v>947</v>
      </c>
      <c r="C33" s="20" t="s">
        <v>489</v>
      </c>
    </row>
    <row r="34" spans="1:3">
      <c r="A34" s="20" t="s">
        <v>948</v>
      </c>
      <c r="B34" s="20" t="s">
        <v>949</v>
      </c>
      <c r="C34" s="20" t="s">
        <v>950</v>
      </c>
    </row>
    <row r="35" spans="1:3">
      <c r="A35" s="20" t="s">
        <v>951</v>
      </c>
      <c r="B35" s="20" t="s">
        <v>952</v>
      </c>
      <c r="C35" s="20" t="s">
        <v>79</v>
      </c>
    </row>
    <row r="36" spans="1:3">
      <c r="B36" s="20" t="s">
        <v>103</v>
      </c>
    </row>
    <row r="37" spans="1:3">
      <c r="A37" s="20" t="s">
        <v>104</v>
      </c>
      <c r="B37" s="20" t="s">
        <v>105</v>
      </c>
      <c r="C37" s="20" t="s">
        <v>106</v>
      </c>
    </row>
    <row r="38" spans="1:3">
      <c r="A38" s="20" t="s">
        <v>953</v>
      </c>
      <c r="B38" s="20" t="s">
        <v>954</v>
      </c>
      <c r="C38" s="20" t="s">
        <v>955</v>
      </c>
    </row>
    <row r="39" spans="1:3">
      <c r="A39" s="20" t="s">
        <v>406</v>
      </c>
      <c r="B39" s="20" t="s">
        <v>407</v>
      </c>
      <c r="C39" s="20" t="s">
        <v>408</v>
      </c>
    </row>
    <row r="40" spans="1:3">
      <c r="A40" s="20" t="s">
        <v>956</v>
      </c>
      <c r="B40" s="20" t="s">
        <v>957</v>
      </c>
      <c r="C40" s="20" t="s">
        <v>820</v>
      </c>
    </row>
    <row r="41" spans="1:3">
      <c r="A41" s="20" t="s">
        <v>958</v>
      </c>
      <c r="B41" s="20" t="s">
        <v>959</v>
      </c>
      <c r="C41" s="20" t="s">
        <v>960</v>
      </c>
    </row>
    <row r="42" spans="1:3">
      <c r="A42" s="20" t="s">
        <v>119</v>
      </c>
      <c r="B42" s="20" t="s">
        <v>120</v>
      </c>
      <c r="C42" s="20" t="s">
        <v>121</v>
      </c>
    </row>
    <row r="43" spans="1:3">
      <c r="A43" s="20" t="s">
        <v>961</v>
      </c>
      <c r="B43" s="20" t="s">
        <v>962</v>
      </c>
      <c r="C43" s="20" t="s">
        <v>963</v>
      </c>
    </row>
    <row r="44" spans="1:3">
      <c r="A44" s="20" t="s">
        <v>964</v>
      </c>
      <c r="B44" s="20" t="s">
        <v>965</v>
      </c>
      <c r="C44" s="20" t="s">
        <v>429</v>
      </c>
    </row>
    <row r="45" spans="1:3">
      <c r="A45" s="20" t="s">
        <v>128</v>
      </c>
      <c r="B45" s="20" t="s">
        <v>129</v>
      </c>
      <c r="C45" s="20" t="s">
        <v>130</v>
      </c>
    </row>
    <row r="46" spans="1:3">
      <c r="A46" s="20" t="s">
        <v>427</v>
      </c>
      <c r="B46" s="20" t="s">
        <v>428</v>
      </c>
      <c r="C46" s="20" t="s">
        <v>429</v>
      </c>
    </row>
    <row r="47" spans="1:3">
      <c r="B47" s="20" t="s">
        <v>134</v>
      </c>
    </row>
    <row r="48" spans="1:3">
      <c r="A48" s="20" t="s">
        <v>966</v>
      </c>
      <c r="B48" s="20" t="s">
        <v>967</v>
      </c>
      <c r="C48" s="20" t="s">
        <v>140</v>
      </c>
    </row>
    <row r="49" spans="1:3">
      <c r="A49" s="20" t="s">
        <v>141</v>
      </c>
      <c r="B49" s="20" t="s">
        <v>142</v>
      </c>
      <c r="C49" s="20" t="s">
        <v>143</v>
      </c>
    </row>
    <row r="50" spans="1:3">
      <c r="A50" s="20" t="s">
        <v>968</v>
      </c>
      <c r="B50" s="20" t="s">
        <v>969</v>
      </c>
      <c r="C50" s="20" t="s">
        <v>357</v>
      </c>
    </row>
    <row r="51" spans="1:3">
      <c r="A51" s="20" t="s">
        <v>970</v>
      </c>
      <c r="B51" s="20" t="s">
        <v>971</v>
      </c>
      <c r="C51" s="20" t="s">
        <v>146</v>
      </c>
    </row>
    <row r="52" spans="1:3">
      <c r="A52" s="20" t="s">
        <v>972</v>
      </c>
      <c r="B52" s="20" t="s">
        <v>973</v>
      </c>
      <c r="C52" s="20" t="s">
        <v>152</v>
      </c>
    </row>
    <row r="53" spans="1:3">
      <c r="A53" s="20" t="s">
        <v>156</v>
      </c>
      <c r="B53" s="20" t="s">
        <v>157</v>
      </c>
      <c r="C53" s="20" t="s">
        <v>158</v>
      </c>
    </row>
    <row r="54" spans="1:3">
      <c r="A54" s="20" t="s">
        <v>974</v>
      </c>
      <c r="B54" s="20" t="s">
        <v>975</v>
      </c>
      <c r="C54" s="20" t="s">
        <v>976</v>
      </c>
    </row>
    <row r="55" spans="1:3">
      <c r="A55" s="20" t="s">
        <v>162</v>
      </c>
      <c r="B55" s="20" t="s">
        <v>163</v>
      </c>
      <c r="C55" s="20" t="s">
        <v>152</v>
      </c>
    </row>
    <row r="56" spans="1:3">
      <c r="A56" s="20" t="s">
        <v>454</v>
      </c>
      <c r="B56" s="20" t="s">
        <v>455</v>
      </c>
      <c r="C56" s="20" t="s">
        <v>456</v>
      </c>
    </row>
    <row r="57" spans="1:3">
      <c r="A57" s="20" t="s">
        <v>977</v>
      </c>
      <c r="B57" s="20" t="s">
        <v>978</v>
      </c>
      <c r="C57" s="20" t="s">
        <v>979</v>
      </c>
    </row>
    <row r="58" spans="1:3">
      <c r="B58" s="20" t="s">
        <v>164</v>
      </c>
    </row>
    <row r="59" spans="1:3">
      <c r="A59" s="20" t="s">
        <v>168</v>
      </c>
      <c r="B59" s="20" t="s">
        <v>169</v>
      </c>
      <c r="C59" s="20" t="s">
        <v>170</v>
      </c>
    </row>
    <row r="60" spans="1:3">
      <c r="A60" s="20" t="s">
        <v>980</v>
      </c>
      <c r="B60" s="20" t="s">
        <v>981</v>
      </c>
      <c r="C60" s="20" t="s">
        <v>982</v>
      </c>
    </row>
    <row r="61" spans="1:3">
      <c r="A61" s="20" t="s">
        <v>228</v>
      </c>
      <c r="B61" s="20" t="s">
        <v>229</v>
      </c>
      <c r="C61" s="20" t="s">
        <v>230</v>
      </c>
    </row>
    <row r="62" spans="1:3">
      <c r="A62" s="20" t="s">
        <v>983</v>
      </c>
      <c r="B62" s="20" t="s">
        <v>984</v>
      </c>
      <c r="C62" s="20" t="s">
        <v>170</v>
      </c>
    </row>
    <row r="63" spans="1:3">
      <c r="A63" s="20" t="s">
        <v>985</v>
      </c>
      <c r="B63" s="20" t="s">
        <v>986</v>
      </c>
      <c r="C63" s="20" t="s">
        <v>742</v>
      </c>
    </row>
    <row r="64" spans="1:3">
      <c r="A64" s="20" t="s">
        <v>473</v>
      </c>
      <c r="B64" s="20" t="s">
        <v>474</v>
      </c>
      <c r="C64" s="20" t="s">
        <v>475</v>
      </c>
    </row>
    <row r="65" spans="1:3">
      <c r="A65" s="20" t="s">
        <v>476</v>
      </c>
      <c r="B65" s="20" t="s">
        <v>477</v>
      </c>
      <c r="C65" s="20" t="s">
        <v>478</v>
      </c>
    </row>
    <row r="66" spans="1:3">
      <c r="A66" s="20" t="s">
        <v>987</v>
      </c>
      <c r="B66" s="20" t="s">
        <v>988</v>
      </c>
      <c r="C66" s="20" t="s">
        <v>184</v>
      </c>
    </row>
    <row r="67" spans="1:3">
      <c r="A67" s="20" t="s">
        <v>989</v>
      </c>
      <c r="B67" s="20" t="s">
        <v>990</v>
      </c>
      <c r="C67" s="20" t="s">
        <v>991</v>
      </c>
    </row>
    <row r="68" spans="1:3">
      <c r="A68" s="20" t="s">
        <v>992</v>
      </c>
      <c r="B68" s="20" t="s">
        <v>993</v>
      </c>
      <c r="C68" s="20" t="s">
        <v>994</v>
      </c>
    </row>
    <row r="69" spans="1:3">
      <c r="B69" s="20" t="s">
        <v>193</v>
      </c>
    </row>
    <row r="70" spans="1:3">
      <c r="A70" s="20" t="s">
        <v>995</v>
      </c>
      <c r="B70" s="20" t="s">
        <v>996</v>
      </c>
      <c r="C70" s="20" t="s">
        <v>997</v>
      </c>
    </row>
    <row r="71" spans="1:3">
      <c r="A71" s="20" t="s">
        <v>998</v>
      </c>
      <c r="B71" s="20" t="s">
        <v>999</v>
      </c>
      <c r="C71" s="20" t="s">
        <v>202</v>
      </c>
    </row>
    <row r="72" spans="1:3">
      <c r="A72" s="20" t="s">
        <v>194</v>
      </c>
      <c r="B72" s="20" t="s">
        <v>195</v>
      </c>
      <c r="C72" s="20" t="s">
        <v>196</v>
      </c>
    </row>
    <row r="73" spans="1:3">
      <c r="A73" s="20" t="s">
        <v>1000</v>
      </c>
      <c r="B73" s="20" t="s">
        <v>1001</v>
      </c>
      <c r="C73" s="20" t="s">
        <v>196</v>
      </c>
    </row>
    <row r="74" spans="1:3">
      <c r="A74" s="20" t="s">
        <v>1002</v>
      </c>
      <c r="B74" s="20" t="s">
        <v>1003</v>
      </c>
      <c r="C74" s="20" t="s">
        <v>1004</v>
      </c>
    </row>
    <row r="75" spans="1:3">
      <c r="A75" s="20" t="s">
        <v>1005</v>
      </c>
      <c r="B75" s="20" t="s">
        <v>1006</v>
      </c>
      <c r="C75" s="20" t="s">
        <v>1007</v>
      </c>
    </row>
    <row r="76" spans="1:3">
      <c r="A76" s="20" t="s">
        <v>203</v>
      </c>
      <c r="B76" s="20" t="s">
        <v>204</v>
      </c>
      <c r="C76" s="20" t="s">
        <v>202</v>
      </c>
    </row>
    <row r="77" spans="1:3">
      <c r="A77" s="20" t="s">
        <v>503</v>
      </c>
      <c r="B77" s="20" t="s">
        <v>504</v>
      </c>
      <c r="C77" s="20" t="s">
        <v>505</v>
      </c>
    </row>
    <row r="78" spans="1:3">
      <c r="A78" s="20" t="s">
        <v>213</v>
      </c>
      <c r="B78" s="20" t="s">
        <v>214</v>
      </c>
      <c r="C78" s="20" t="s">
        <v>215</v>
      </c>
    </row>
    <row r="79" spans="1:3">
      <c r="A79" s="20" t="s">
        <v>512</v>
      </c>
      <c r="B79" s="20" t="s">
        <v>513</v>
      </c>
      <c r="C79" s="20" t="s">
        <v>514</v>
      </c>
    </row>
    <row r="80" spans="1:3">
      <c r="B80" s="20" t="s">
        <v>222</v>
      </c>
    </row>
    <row r="81" spans="1:3">
      <c r="A81" s="20" t="s">
        <v>1008</v>
      </c>
      <c r="B81" s="20" t="s">
        <v>1009</v>
      </c>
      <c r="C81" s="20" t="s">
        <v>1010</v>
      </c>
    </row>
    <row r="82" spans="1:3">
      <c r="A82" s="20" t="s">
        <v>1011</v>
      </c>
      <c r="B82" s="20" t="s">
        <v>1012</v>
      </c>
      <c r="C82" s="20" t="s">
        <v>1013</v>
      </c>
    </row>
    <row r="83" spans="1:3">
      <c r="A83" s="20" t="s">
        <v>1014</v>
      </c>
      <c r="B83" s="20" t="s">
        <v>1015</v>
      </c>
      <c r="C83" s="20" t="s">
        <v>1016</v>
      </c>
    </row>
    <row r="84" spans="1:3">
      <c r="A84" s="20" t="s">
        <v>523</v>
      </c>
      <c r="B84" s="20" t="s">
        <v>524</v>
      </c>
      <c r="C84" s="20" t="s">
        <v>525</v>
      </c>
    </row>
    <row r="85" spans="1:3">
      <c r="A85" s="20" t="s">
        <v>1017</v>
      </c>
      <c r="B85" s="20" t="s">
        <v>1018</v>
      </c>
      <c r="C85" s="20" t="s">
        <v>475</v>
      </c>
    </row>
    <row r="86" spans="1:3">
      <c r="A86" s="20" t="s">
        <v>1019</v>
      </c>
      <c r="B86" s="20" t="s">
        <v>1020</v>
      </c>
      <c r="C86" s="20" t="s">
        <v>814</v>
      </c>
    </row>
    <row r="87" spans="1:3">
      <c r="A87" s="20" t="s">
        <v>1021</v>
      </c>
      <c r="B87" s="20" t="s">
        <v>1022</v>
      </c>
      <c r="C87" s="20" t="s">
        <v>1023</v>
      </c>
    </row>
    <row r="88" spans="1:3">
      <c r="A88" s="20" t="s">
        <v>240</v>
      </c>
      <c r="B88" s="20" t="s">
        <v>241</v>
      </c>
      <c r="C88" s="20" t="s">
        <v>242</v>
      </c>
    </row>
    <row r="89" spans="1:3">
      <c r="A89" s="20" t="s">
        <v>1024</v>
      </c>
      <c r="B89" s="20" t="s">
        <v>1025</v>
      </c>
      <c r="C89" s="20" t="s">
        <v>1013</v>
      </c>
    </row>
    <row r="90" spans="1:3">
      <c r="A90" s="20" t="s">
        <v>249</v>
      </c>
      <c r="B90" s="20" t="s">
        <v>250</v>
      </c>
      <c r="C90" s="20" t="s">
        <v>251</v>
      </c>
    </row>
    <row r="91" spans="1:3">
      <c r="B91" s="20" t="s">
        <v>252</v>
      </c>
    </row>
    <row r="92" spans="1:3">
      <c r="A92" s="20" t="s">
        <v>1026</v>
      </c>
      <c r="B92" s="20" t="s">
        <v>1027</v>
      </c>
      <c r="C92" s="20" t="s">
        <v>1028</v>
      </c>
    </row>
    <row r="93" spans="1:3">
      <c r="A93" s="20" t="s">
        <v>1029</v>
      </c>
      <c r="B93" s="20" t="s">
        <v>1030</v>
      </c>
      <c r="C93" s="20" t="s">
        <v>1031</v>
      </c>
    </row>
    <row r="94" spans="1:3">
      <c r="A94" s="20" t="s">
        <v>1032</v>
      </c>
      <c r="B94" s="20" t="s">
        <v>1033</v>
      </c>
      <c r="C94" s="20" t="s">
        <v>1034</v>
      </c>
    </row>
    <row r="95" spans="1:3">
      <c r="A95" s="20" t="s">
        <v>1035</v>
      </c>
      <c r="B95" s="20" t="s">
        <v>1036</v>
      </c>
      <c r="C95" s="20" t="s">
        <v>1037</v>
      </c>
    </row>
    <row r="96" spans="1:3">
      <c r="A96" s="20" t="s">
        <v>1038</v>
      </c>
      <c r="B96" s="20" t="s">
        <v>1039</v>
      </c>
      <c r="C96" s="20" t="s">
        <v>1040</v>
      </c>
    </row>
    <row r="97" spans="1:3">
      <c r="A97" s="20" t="s">
        <v>1041</v>
      </c>
      <c r="B97" s="20" t="s">
        <v>1042</v>
      </c>
      <c r="C97" s="20" t="s">
        <v>1043</v>
      </c>
    </row>
    <row r="98" spans="1:3">
      <c r="A98" s="20" t="s">
        <v>1044</v>
      </c>
      <c r="B98" s="20" t="s">
        <v>1045</v>
      </c>
      <c r="C98" s="20" t="s">
        <v>1046</v>
      </c>
    </row>
    <row r="99" spans="1:3">
      <c r="A99" s="20" t="s">
        <v>1047</v>
      </c>
      <c r="B99" s="20" t="s">
        <v>1048</v>
      </c>
      <c r="C99" s="20" t="s">
        <v>1049</v>
      </c>
    </row>
    <row r="100" spans="1:3">
      <c r="A100" s="20" t="s">
        <v>1050</v>
      </c>
      <c r="B100" s="20" t="s">
        <v>1051</v>
      </c>
      <c r="C100" s="20" t="s">
        <v>1052</v>
      </c>
    </row>
    <row r="101" spans="1:3">
      <c r="A101" s="20" t="s">
        <v>1053</v>
      </c>
      <c r="B101" s="20" t="s">
        <v>1054</v>
      </c>
      <c r="C101" s="20" t="s">
        <v>1055</v>
      </c>
    </row>
    <row r="102" spans="1:3">
      <c r="B102" s="20" t="s">
        <v>283</v>
      </c>
    </row>
    <row r="103" spans="1:3">
      <c r="A103" s="20" t="s">
        <v>1056</v>
      </c>
      <c r="B103" s="20" t="s">
        <v>1057</v>
      </c>
      <c r="C103" s="20" t="s">
        <v>1058</v>
      </c>
    </row>
    <row r="104" spans="1:3">
      <c r="A104" s="20" t="s">
        <v>572</v>
      </c>
      <c r="B104" s="20" t="s">
        <v>573</v>
      </c>
      <c r="C104" s="20" t="s">
        <v>574</v>
      </c>
    </row>
    <row r="105" spans="1:3">
      <c r="A105" s="20" t="s">
        <v>578</v>
      </c>
      <c r="B105" s="20" t="s">
        <v>579</v>
      </c>
      <c r="C105" s="20" t="s">
        <v>580</v>
      </c>
    </row>
    <row r="106" spans="1:3">
      <c r="A106" s="20" t="s">
        <v>1059</v>
      </c>
      <c r="B106" s="20" t="s">
        <v>1060</v>
      </c>
      <c r="C106" s="20" t="s">
        <v>1061</v>
      </c>
    </row>
    <row r="107" spans="1:3">
      <c r="A107" s="20" t="s">
        <v>1062</v>
      </c>
      <c r="B107" s="20" t="s">
        <v>1063</v>
      </c>
      <c r="C107" s="20" t="s">
        <v>1064</v>
      </c>
    </row>
    <row r="108" spans="1:3">
      <c r="A108" s="20" t="s">
        <v>1065</v>
      </c>
      <c r="B108" s="20" t="s">
        <v>1066</v>
      </c>
      <c r="C108" s="20" t="s">
        <v>1067</v>
      </c>
    </row>
    <row r="109" spans="1:3">
      <c r="A109" s="20" t="s">
        <v>1068</v>
      </c>
      <c r="B109" s="20" t="s">
        <v>1069</v>
      </c>
      <c r="C109" s="20" t="s">
        <v>1070</v>
      </c>
    </row>
    <row r="110" spans="1:3">
      <c r="A110" s="20" t="s">
        <v>1071</v>
      </c>
      <c r="B110" s="20" t="s">
        <v>1072</v>
      </c>
      <c r="C110" s="20" t="s">
        <v>1073</v>
      </c>
    </row>
    <row r="111" spans="1:3">
      <c r="A111" s="20" t="s">
        <v>1074</v>
      </c>
      <c r="B111" s="20" t="s">
        <v>1075</v>
      </c>
      <c r="C111" s="20" t="s">
        <v>1076</v>
      </c>
    </row>
    <row r="112" spans="1:3">
      <c r="A112" s="20" t="s">
        <v>1077</v>
      </c>
      <c r="B112" s="20" t="s">
        <v>1078</v>
      </c>
      <c r="C112" s="20" t="s">
        <v>1079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AE108-5EEB-4E5F-B8D7-696F36832856}">
  <sheetPr>
    <tabColor rgb="FFFF0000"/>
    <outlinePr summaryBelow="0" summaryRight="0"/>
  </sheetPr>
  <dimension ref="A1:G199"/>
  <sheetViews>
    <sheetView workbookViewId="0">
      <pane ySplit="2" topLeftCell="D3" activePane="bottomLeft" state="frozen"/>
      <selection pane="bottomLeft" activeCell="D199" sqref="D199"/>
      <selection activeCell="A151" sqref="A151:E295"/>
    </sheetView>
  </sheetViews>
  <sheetFormatPr defaultColWidth="14.42578125" defaultRowHeight="15.75" customHeight="1"/>
  <cols>
    <col min="1" max="1" width="9.140625" style="11" customWidth="1"/>
    <col min="2" max="2" width="48.42578125" style="11" customWidth="1"/>
    <col min="3" max="3" width="9.42578125" style="11" customWidth="1"/>
    <col min="4" max="4" width="25.7109375" style="11" customWidth="1"/>
    <col min="5" max="5" width="18.42578125" style="11" customWidth="1"/>
    <col min="6" max="16384" width="14.42578125" style="11"/>
  </cols>
  <sheetData>
    <row r="1" spans="1:7" ht="15.75" customHeight="1">
      <c r="A1" s="22" t="s">
        <v>1080</v>
      </c>
      <c r="B1" s="22"/>
      <c r="C1" s="22"/>
      <c r="D1" s="22"/>
      <c r="E1" s="22"/>
      <c r="F1" s="22"/>
      <c r="G1" s="22"/>
    </row>
    <row r="2" spans="1:7" ht="15.75" customHeight="1">
      <c r="A2" s="12" t="s">
        <v>1</v>
      </c>
      <c r="B2" s="13" t="s">
        <v>2</v>
      </c>
      <c r="C2" s="14" t="s">
        <v>3</v>
      </c>
      <c r="D2" s="13" t="s">
        <v>4</v>
      </c>
      <c r="E2" s="14" t="s">
        <v>5</v>
      </c>
      <c r="F2" s="15"/>
      <c r="G2" s="15"/>
    </row>
    <row r="3" spans="1:7" ht="13.15">
      <c r="A3" s="16" t="str">
        <f ca="1">IFERROR(__xludf.DUMMYFUNCTION("""COMPUTED_VALUE"""),"5")</f>
        <v>5</v>
      </c>
      <c r="B3" s="17" t="str">
        <f ca="1">IFERROR(__xludf.DUMMYFUNCTION("""COMPUTED_VALUE"""),"11 Birthdays")</f>
        <v>11 Birthdays</v>
      </c>
      <c r="C3" s="16" t="str">
        <f ca="1">IFERROR(__xludf.DUMMYFUNCTION("""COMPUTED_VALUE"""),"F")</f>
        <v>F</v>
      </c>
      <c r="D3" s="17" t="str">
        <f ca="1">IFERROR(__xludf.DUMMYFUNCTION("""COMPUTED_VALUE"""),"Mass, Wendy")</f>
        <v>Mass, Wendy</v>
      </c>
      <c r="E3" s="18">
        <f ca="1">IFERROR(__xludf.DUMMYFUNCTION("""COMPUTED_VALUE"""),9780545052405)</f>
        <v>9780545052405</v>
      </c>
      <c r="F3" s="19"/>
      <c r="G3" s="19"/>
    </row>
    <row r="4" spans="1:7" ht="13.15">
      <c r="A4" s="16" t="str">
        <f ca="1">IFERROR(__xludf.DUMMYFUNCTION("""COMPUTED_VALUE"""),"5")</f>
        <v>5</v>
      </c>
      <c r="B4" s="17" t="str">
        <f ca="1">IFERROR(__xludf.DUMMYFUNCTION("""COMPUTED_VALUE"""),"42 Is Not Just a Number")</f>
        <v>42 Is Not Just a Number</v>
      </c>
      <c r="C4" s="16" t="str">
        <f ca="1">IFERROR(__xludf.DUMMYFUNCTION("""COMPUTED_VALUE"""),"N")</f>
        <v>N</v>
      </c>
      <c r="D4" s="17" t="str">
        <f ca="1">IFERROR(__xludf.DUMMYFUNCTION("""COMPUTED_VALUE"""),"Rappaport, Doreen")</f>
        <v>Rappaport, Doreen</v>
      </c>
      <c r="E4" s="18">
        <f ca="1">IFERROR(__xludf.DUMMYFUNCTION("""COMPUTED_VALUE"""),9781536206326)</f>
        <v>9781536206326</v>
      </c>
      <c r="F4" s="19"/>
      <c r="G4" s="19"/>
    </row>
    <row r="5" spans="1:7" ht="13.15">
      <c r="A5" s="16" t="str">
        <f ca="1">IFERROR(__xludf.DUMMYFUNCTION("""COMPUTED_VALUE"""),"5")</f>
        <v>5</v>
      </c>
      <c r="B5" s="17" t="str">
        <f ca="1">IFERROR(__xludf.DUMMYFUNCTION("""COMPUTED_VALUE"""),"Abe Lincoln Goes to Washington (1837–1865)")</f>
        <v>Abe Lincoln Goes to Washington (1837–1865)</v>
      </c>
      <c r="C5" s="16" t="str">
        <f ca="1">IFERROR(__xludf.DUMMYFUNCTION("""COMPUTED_VALUE"""),"N")</f>
        <v>N</v>
      </c>
      <c r="D5" s="17" t="str">
        <f ca="1">IFERROR(__xludf.DUMMYFUNCTION("""COMPUTED_VALUE"""),"Harness, Cheryl")</f>
        <v>Harness, Cheryl</v>
      </c>
      <c r="E5" s="18">
        <f ca="1">IFERROR(__xludf.DUMMYFUNCTION("""COMPUTED_VALUE"""),9781426304361)</f>
        <v>9781426304361</v>
      </c>
      <c r="F5" s="19"/>
      <c r="G5" s="19"/>
    </row>
    <row r="6" spans="1:7" ht="13.15">
      <c r="A6" s="16" t="str">
        <f ca="1">IFERROR(__xludf.DUMMYFUNCTION("""COMPUTED_VALUE"""),"5")</f>
        <v>5</v>
      </c>
      <c r="B6" s="17" t="str">
        <f ca="1">IFERROR(__xludf.DUMMYFUNCTION("""COMPUTED_VALUE"""),"Ada Lovelace: First Computer Programmer")</f>
        <v>Ada Lovelace: First Computer Programmer</v>
      </c>
      <c r="C6" s="16" t="str">
        <f ca="1">IFERROR(__xludf.DUMMYFUNCTION("""COMPUTED_VALUE"""),"N")</f>
        <v>N</v>
      </c>
      <c r="D6" s="17" t="str">
        <f ca="1">IFERROR(__xludf.DUMMYFUNCTION("""COMPUTED_VALUE"""),"Hayes, Amy")</f>
        <v>Hayes, Amy</v>
      </c>
      <c r="E6" s="18">
        <f ca="1">IFERROR(__xludf.DUMMYFUNCTION("""COMPUTED_VALUE"""),9781508148302)</f>
        <v>9781508148302</v>
      </c>
      <c r="F6" s="19"/>
      <c r="G6" s="19"/>
    </row>
    <row r="7" spans="1:7" ht="13.15">
      <c r="A7" s="16" t="str">
        <f ca="1">IFERROR(__xludf.DUMMYFUNCTION("""COMPUTED_VALUE"""),"5")</f>
        <v>5</v>
      </c>
      <c r="B7" s="17" t="str">
        <f ca="1">IFERROR(__xludf.DUMMYFUNCTION("""COMPUTED_VALUE"""),"Adolf Hitler vs. Winston Churchill: Foes of World War II")</f>
        <v>Adolf Hitler vs. Winston Churchill: Foes of World War II</v>
      </c>
      <c r="C7" s="16" t="str">
        <f ca="1">IFERROR(__xludf.DUMMYFUNCTION("""COMPUTED_VALUE"""),"N")</f>
        <v>N</v>
      </c>
      <c r="D7" s="17" t="str">
        <f ca="1">IFERROR(__xludf.DUMMYFUNCTION("""COMPUTED_VALUE"""),"Roxburgh, Ellis")</f>
        <v>Roxburgh, Ellis</v>
      </c>
      <c r="E7" s="18">
        <f ca="1">IFERROR(__xludf.DUMMYFUNCTION("""COMPUTED_VALUE"""),9781482422061)</f>
        <v>9781482422061</v>
      </c>
      <c r="F7" s="19"/>
      <c r="G7" s="19"/>
    </row>
    <row r="8" spans="1:7" ht="13.15">
      <c r="A8" s="16" t="str">
        <f ca="1">IFERROR(__xludf.DUMMYFUNCTION("""COMPUTED_VALUE"""),"5")</f>
        <v>5</v>
      </c>
      <c r="B8" s="17" t="str">
        <f ca="1">IFERROR(__xludf.DUMMYFUNCTION("""COMPUTED_VALUE"""),"Adventures with Waffles")</f>
        <v>Adventures with Waffles</v>
      </c>
      <c r="C8" s="16" t="str">
        <f ca="1">IFERROR(__xludf.DUMMYFUNCTION("""COMPUTED_VALUE"""),"F")</f>
        <v>F</v>
      </c>
      <c r="D8" s="17" t="str">
        <f ca="1">IFERROR(__xludf.DUMMYFUNCTION("""COMPUTED_VALUE"""),"Parr, Maria")</f>
        <v>Parr, Maria</v>
      </c>
      <c r="E8" s="18">
        <f ca="1">IFERROR(__xludf.DUMMYFUNCTION("""COMPUTED_VALUE"""),9781536203660)</f>
        <v>9781536203660</v>
      </c>
      <c r="F8" s="19"/>
      <c r="G8" s="19"/>
    </row>
    <row r="9" spans="1:7" ht="13.15">
      <c r="A9" s="16" t="str">
        <f ca="1">IFERROR(__xludf.DUMMYFUNCTION("""COMPUTED_VALUE"""),"5")</f>
        <v>5</v>
      </c>
      <c r="B9" s="17" t="str">
        <f ca="1">IFERROR(__xludf.DUMMYFUNCTION("""COMPUTED_VALUE"""),"Africa Is My Home: A Child of the Amistad")</f>
        <v>Africa Is My Home: A Child of the Amistad</v>
      </c>
      <c r="C9" s="16" t="str">
        <f ca="1">IFERROR(__xludf.DUMMYFUNCTION("""COMPUTED_VALUE"""),"F")</f>
        <v>F</v>
      </c>
      <c r="D9" s="17" t="str">
        <f ca="1">IFERROR(__xludf.DUMMYFUNCTION("""COMPUTED_VALUE"""),"Edinger, Monica")</f>
        <v>Edinger, Monica</v>
      </c>
      <c r="E9" s="18">
        <f ca="1">IFERROR(__xludf.DUMMYFUNCTION("""COMPUTED_VALUE"""),9780763676476)</f>
        <v>9780763676476</v>
      </c>
      <c r="F9" s="19"/>
      <c r="G9" s="19"/>
    </row>
    <row r="10" spans="1:7" ht="13.15">
      <c r="A10" s="16" t="str">
        <f ca="1">IFERROR(__xludf.DUMMYFUNCTION("""COMPUTED_VALUE"""),"5")</f>
        <v>5</v>
      </c>
      <c r="B10" s="17" t="str">
        <f ca="1">IFERROR(__xludf.DUMMYFUNCTION("""COMPUTED_VALUE"""),"After Eli")</f>
        <v>After Eli</v>
      </c>
      <c r="C10" s="16" t="str">
        <f ca="1">IFERROR(__xludf.DUMMYFUNCTION("""COMPUTED_VALUE"""),"F")</f>
        <v>F</v>
      </c>
      <c r="D10" s="17" t="str">
        <f ca="1">IFERROR(__xludf.DUMMYFUNCTION("""COMPUTED_VALUE"""),"Rupp, Rebecca")</f>
        <v>Rupp, Rebecca</v>
      </c>
      <c r="E10" s="18">
        <f ca="1">IFERROR(__xludf.DUMMYFUNCTION("""COMPUTED_VALUE"""),9780763676742)</f>
        <v>9780763676742</v>
      </c>
      <c r="F10" s="19"/>
      <c r="G10" s="19"/>
    </row>
    <row r="11" spans="1:7" ht="13.15">
      <c r="A11" s="16" t="str">
        <f ca="1">IFERROR(__xludf.DUMMYFUNCTION("""COMPUTED_VALUE"""),"5")</f>
        <v>5</v>
      </c>
      <c r="B11" s="17" t="str">
        <f ca="1">IFERROR(__xludf.DUMMYFUNCTION("""COMPUTED_VALUE"""),"Airborne: A Photobiography of Wilbur and Orville Wright")</f>
        <v>Airborne: A Photobiography of Wilbur and Orville Wright</v>
      </c>
      <c r="C11" s="16" t="str">
        <f ca="1">IFERROR(__xludf.DUMMYFUNCTION("""COMPUTED_VALUE"""),"N")</f>
        <v>N</v>
      </c>
      <c r="D11" s="17" t="str">
        <f ca="1">IFERROR(__xludf.DUMMYFUNCTION("""COMPUTED_VALUE"""),"Collins, Mary")</f>
        <v>Collins, Mary</v>
      </c>
      <c r="E11" s="18">
        <f ca="1">IFERROR(__xludf.DUMMYFUNCTION("""COMPUTED_VALUE"""),9781426322211)</f>
        <v>9781426322211</v>
      </c>
      <c r="F11" s="19"/>
      <c r="G11" s="19"/>
    </row>
    <row r="12" spans="1:7" ht="13.15">
      <c r="A12" s="16" t="str">
        <f ca="1">IFERROR(__xludf.DUMMYFUNCTION("""COMPUTED_VALUE"""),"5")</f>
        <v>5</v>
      </c>
      <c r="B12" s="17" t="str">
        <f ca="1">IFERROR(__xludf.DUMMYFUNCTION("""COMPUTED_VALUE"""),"Alchemy and Meggy Swann")</f>
        <v>Alchemy and Meggy Swann</v>
      </c>
      <c r="C12" s="16" t="str">
        <f ca="1">IFERROR(__xludf.DUMMYFUNCTION("""COMPUTED_VALUE"""),"F")</f>
        <v>F</v>
      </c>
      <c r="D12" s="17" t="str">
        <f ca="1">IFERROR(__xludf.DUMMYFUNCTION("""COMPUTED_VALUE"""),"Cushman, Karen")</f>
        <v>Cushman, Karen</v>
      </c>
      <c r="E12" s="18">
        <f ca="1">IFERROR(__xludf.DUMMYFUNCTION("""COMPUTED_VALUE"""),9780547577128)</f>
        <v>9780547577128</v>
      </c>
      <c r="F12" s="19"/>
      <c r="G12" s="19"/>
    </row>
    <row r="13" spans="1:7" ht="26.45">
      <c r="A13" s="16" t="str">
        <f ca="1">IFERROR(__xludf.DUMMYFUNCTION("""COMPUTED_VALUE"""),"5")</f>
        <v>5</v>
      </c>
      <c r="B13" s="17" t="str">
        <f ca="1">IFERROR(__xludf.DUMMYFUNCTION("""COMPUTED_VALUE"""),"Alien Deep: Revealing the Mysterious Living World at the Bottom of the Ocean")</f>
        <v>Alien Deep: Revealing the Mysterious Living World at the Bottom of the Ocean</v>
      </c>
      <c r="C13" s="16" t="str">
        <f ca="1">IFERROR(__xludf.DUMMYFUNCTION("""COMPUTED_VALUE"""),"N")</f>
        <v>N</v>
      </c>
      <c r="D13" s="17" t="str">
        <f ca="1">IFERROR(__xludf.DUMMYFUNCTION("""COMPUTED_VALUE"""),"Hague, Bradley")</f>
        <v>Hague, Bradley</v>
      </c>
      <c r="E13" s="18">
        <f ca="1">IFERROR(__xludf.DUMMYFUNCTION("""COMPUTED_VALUE"""),9781426323935)</f>
        <v>9781426323935</v>
      </c>
      <c r="F13" s="19"/>
      <c r="G13" s="19"/>
    </row>
    <row r="14" spans="1:7" ht="13.15">
      <c r="A14" s="16" t="str">
        <f ca="1">IFERROR(__xludf.DUMMYFUNCTION("""COMPUTED_VALUE"""),"5")</f>
        <v>5</v>
      </c>
      <c r="B14" s="17" t="str">
        <f ca="1">IFERROR(__xludf.DUMMYFUNCTION("""COMPUTED_VALUE"""),"All the Answers")</f>
        <v>All the Answers</v>
      </c>
      <c r="C14" s="16" t="str">
        <f ca="1">IFERROR(__xludf.DUMMYFUNCTION("""COMPUTED_VALUE"""),"F")</f>
        <v>F</v>
      </c>
      <c r="D14" s="17" t="str">
        <f ca="1">IFERROR(__xludf.DUMMYFUNCTION("""COMPUTED_VALUE"""),"Messner, Kate")</f>
        <v>Messner, Kate</v>
      </c>
      <c r="E14" s="18">
        <f ca="1">IFERROR(__xludf.DUMMYFUNCTION("""COMPUTED_VALUE"""),9781681190204)</f>
        <v>9781681190204</v>
      </c>
      <c r="F14" s="19"/>
      <c r="G14" s="19"/>
    </row>
    <row r="15" spans="1:7" ht="13.15">
      <c r="A15" s="16" t="str">
        <f ca="1">IFERROR(__xludf.DUMMYFUNCTION("""COMPUTED_VALUE"""),"5")</f>
        <v>5</v>
      </c>
      <c r="B15" s="17" t="str">
        <f ca="1">IFERROR(__xludf.DUMMYFUNCTION("""COMPUTED_VALUE"""),"All the Dirt: A History of Getting Clean")</f>
        <v>All the Dirt: A History of Getting Clean</v>
      </c>
      <c r="C15" s="16" t="str">
        <f ca="1">IFERROR(__xludf.DUMMYFUNCTION("""COMPUTED_VALUE"""),"N")</f>
        <v>N</v>
      </c>
      <c r="D15" s="17" t="str">
        <f ca="1">IFERROR(__xludf.DUMMYFUNCTION("""COMPUTED_VALUE"""),"Ashenburg, Katherine")</f>
        <v>Ashenburg, Katherine</v>
      </c>
      <c r="E15" s="18">
        <f ca="1">IFERROR(__xludf.DUMMYFUNCTION("""COMPUTED_VALUE"""),9781554517893)</f>
        <v>9781554517893</v>
      </c>
      <c r="F15" s="19"/>
      <c r="G15" s="19"/>
    </row>
    <row r="16" spans="1:7" ht="13.15">
      <c r="A16" s="16" t="str">
        <f ca="1">IFERROR(__xludf.DUMMYFUNCTION("""COMPUTED_VALUE"""),"5")</f>
        <v>5</v>
      </c>
      <c r="B16" s="17" t="str">
        <f ca="1">IFERROR(__xludf.DUMMYFUNCTION("""COMPUTED_VALUE"""),"Anastasia Again!")</f>
        <v>Anastasia Again!</v>
      </c>
      <c r="C16" s="16" t="str">
        <f ca="1">IFERROR(__xludf.DUMMYFUNCTION("""COMPUTED_VALUE"""),"F")</f>
        <v>F</v>
      </c>
      <c r="D16" s="17" t="str">
        <f ca="1">IFERROR(__xludf.DUMMYFUNCTION("""COMPUTED_VALUE"""),"Lowry, Lois")</f>
        <v>Lowry, Lois</v>
      </c>
      <c r="E16" s="18">
        <f ca="1">IFERROR(__xludf.DUMMYFUNCTION("""COMPUTED_VALUE"""),9780544336674)</f>
        <v>9780544336674</v>
      </c>
      <c r="F16" s="19"/>
      <c r="G16" s="19"/>
    </row>
    <row r="17" spans="1:7" ht="13.15">
      <c r="A17" s="16" t="str">
        <f ca="1">IFERROR(__xludf.DUMMYFUNCTION("""COMPUTED_VALUE"""),"5")</f>
        <v>5</v>
      </c>
      <c r="B17" s="17" t="str">
        <f ca="1">IFERROR(__xludf.DUMMYFUNCTION("""COMPUTED_VALUE"""),"Anastasia at Your Service")</f>
        <v>Anastasia at Your Service</v>
      </c>
      <c r="C17" s="16" t="str">
        <f ca="1">IFERROR(__xludf.DUMMYFUNCTION("""COMPUTED_VALUE"""),"F")</f>
        <v>F</v>
      </c>
      <c r="D17" s="17" t="str">
        <f ca="1">IFERROR(__xludf.DUMMYFUNCTION("""COMPUTED_VALUE"""),"Lowry, Lois")</f>
        <v>Lowry, Lois</v>
      </c>
      <c r="E17" s="18">
        <f ca="1">IFERROR(__xludf.DUMMYFUNCTION("""COMPUTED_VALUE"""),9780544439160)</f>
        <v>9780544439160</v>
      </c>
      <c r="F17" s="19"/>
      <c r="G17" s="19"/>
    </row>
    <row r="18" spans="1:7" ht="13.15">
      <c r="A18" s="16" t="str">
        <f ca="1">IFERROR(__xludf.DUMMYFUNCTION("""COMPUTED_VALUE"""),"5")</f>
        <v>5</v>
      </c>
      <c r="B18" s="17" t="str">
        <f ca="1">IFERROR(__xludf.DUMMYFUNCTION("""COMPUTED_VALUE"""),"Anastasia Krupnik")</f>
        <v>Anastasia Krupnik</v>
      </c>
      <c r="C18" s="16" t="str">
        <f ca="1">IFERROR(__xludf.DUMMYFUNCTION("""COMPUTED_VALUE"""),"F")</f>
        <v>F</v>
      </c>
      <c r="D18" s="17" t="str">
        <f ca="1">IFERROR(__xludf.DUMMYFUNCTION("""COMPUTED_VALUE"""),"Lowry, Lois")</f>
        <v>Lowry, Lois</v>
      </c>
      <c r="E18" s="18">
        <f ca="1">IFERROR(__xludf.DUMMYFUNCTION("""COMPUTED_VALUE"""),9780544336681)</f>
        <v>9780544336681</v>
      </c>
      <c r="F18" s="19"/>
      <c r="G18" s="19"/>
    </row>
    <row r="19" spans="1:7" ht="13.15">
      <c r="A19" s="16" t="str">
        <f ca="1">IFERROR(__xludf.DUMMYFUNCTION("""COMPUTED_VALUE"""),"5")</f>
        <v>5</v>
      </c>
      <c r="B19" s="17" t="str">
        <f ca="1">IFERROR(__xludf.DUMMYFUNCTION("""COMPUTED_VALUE"""),"As Ever, Gordy")</f>
        <v>As Ever, Gordy</v>
      </c>
      <c r="C19" s="16" t="str">
        <f ca="1">IFERROR(__xludf.DUMMYFUNCTION("""COMPUTED_VALUE"""),"F")</f>
        <v>F</v>
      </c>
      <c r="D19" s="17" t="str">
        <f ca="1">IFERROR(__xludf.DUMMYFUNCTION("""COMPUTED_VALUE"""),"Hahn, Mary Downing")</f>
        <v>Hahn, Mary Downing</v>
      </c>
      <c r="E19" s="18">
        <f ca="1">IFERROR(__xludf.DUMMYFUNCTION("""COMPUTED_VALUE"""),9780547549552)</f>
        <v>9780547549552</v>
      </c>
      <c r="F19" s="19"/>
      <c r="G19" s="19"/>
    </row>
    <row r="20" spans="1:7" ht="13.15">
      <c r="A20" s="16" t="str">
        <f ca="1">IFERROR(__xludf.DUMMYFUNCTION("""COMPUTED_VALUE"""),"5")</f>
        <v>5</v>
      </c>
      <c r="B20" s="17" t="str">
        <f ca="1">IFERROR(__xludf.DUMMYFUNCTION("""COMPUTED_VALUE"""),"The Biography of Chocolate")</f>
        <v>The Biography of Chocolate</v>
      </c>
      <c r="C20" s="16" t="str">
        <f ca="1">IFERROR(__xludf.DUMMYFUNCTION("""COMPUTED_VALUE"""),"N")</f>
        <v>N</v>
      </c>
      <c r="D20" s="17" t="str">
        <f ca="1">IFERROR(__xludf.DUMMYFUNCTION("""COMPUTED_VALUE"""),"Morganelli, Adrianna")</f>
        <v>Morganelli, Adrianna</v>
      </c>
      <c r="E20" s="18">
        <f ca="1">IFERROR(__xludf.DUMMYFUNCTION("""COMPUTED_VALUE"""),9780778725176)</f>
        <v>9780778725176</v>
      </c>
      <c r="F20" s="19"/>
      <c r="G20" s="19"/>
    </row>
    <row r="21" spans="1:7" ht="13.15">
      <c r="A21" s="16" t="str">
        <f ca="1">IFERROR(__xludf.DUMMYFUNCTION("""COMPUTED_VALUE"""),"5")</f>
        <v>5</v>
      </c>
      <c r="B21" s="17" t="str">
        <f ca="1">IFERROR(__xludf.DUMMYFUNCTION("""COMPUTED_VALUE"""),"Bird")</f>
        <v>Bird</v>
      </c>
      <c r="C21" s="16" t="str">
        <f ca="1">IFERROR(__xludf.DUMMYFUNCTION("""COMPUTED_VALUE"""),"F")</f>
        <v>F</v>
      </c>
      <c r="D21" s="17" t="str">
        <f ca="1">IFERROR(__xludf.DUMMYFUNCTION("""COMPUTED_VALUE"""),"Chan, Crystal")</f>
        <v>Chan, Crystal</v>
      </c>
      <c r="E21" s="18">
        <f ca="1">IFERROR(__xludf.DUMMYFUNCTION("""COMPUTED_VALUE"""),9781442450912)</f>
        <v>9781442450912</v>
      </c>
      <c r="F21" s="19"/>
      <c r="G21" s="19"/>
    </row>
    <row r="22" spans="1:7" ht="26.45">
      <c r="A22" s="16" t="str">
        <f ca="1">IFERROR(__xludf.DUMMYFUNCTION("""COMPUTED_VALUE"""),"5")</f>
        <v>5</v>
      </c>
      <c r="B22" s="17" t="str">
        <f ca="1">IFERROR(__xludf.DUMMYFUNCTION("""COMPUTED_VALUE"""),"Black Frontiers: A History of African American Heroes of the Old West")</f>
        <v>Black Frontiers: A History of African American Heroes of the Old West</v>
      </c>
      <c r="C22" s="16" t="str">
        <f ca="1">IFERROR(__xludf.DUMMYFUNCTION("""COMPUTED_VALUE"""),"N")</f>
        <v>N</v>
      </c>
      <c r="D22" s="17" t="str">
        <f ca="1">IFERROR(__xludf.DUMMYFUNCTION("""COMPUTED_VALUE"""),"Schlissel, Lillian")</f>
        <v>Schlissel, Lillian</v>
      </c>
      <c r="E22" s="18">
        <f ca="1">IFERROR(__xludf.DUMMYFUNCTION("""COMPUTED_VALUE"""),9780689833151)</f>
        <v>9780689833151</v>
      </c>
      <c r="F22" s="19"/>
      <c r="G22" s="19"/>
    </row>
    <row r="23" spans="1:7" ht="13.15">
      <c r="A23" s="16" t="str">
        <f ca="1">IFERROR(__xludf.DUMMYFUNCTION("""COMPUTED_VALUE"""),"5")</f>
        <v>5</v>
      </c>
      <c r="B23" s="17" t="str">
        <f ca="1">IFERROR(__xludf.DUMMYFUNCTION("""COMPUTED_VALUE"""),"The Blossoming Universe of Violet Diamond")</f>
        <v>The Blossoming Universe of Violet Diamond</v>
      </c>
      <c r="C23" s="16" t="str">
        <f ca="1">IFERROR(__xludf.DUMMYFUNCTION("""COMPUTED_VALUE"""),"F")</f>
        <v>F</v>
      </c>
      <c r="D23" s="17" t="str">
        <f ca="1">IFERROR(__xludf.DUMMYFUNCTION("""COMPUTED_VALUE"""),"Brenda Woods")</f>
        <v>Brenda Woods</v>
      </c>
      <c r="E23" s="18">
        <f ca="1">IFERROR(__xludf.DUMMYFUNCTION("""COMPUTED_VALUE"""),9780147514301)</f>
        <v>9780147514301</v>
      </c>
      <c r="F23" s="19"/>
      <c r="G23" s="19"/>
    </row>
    <row r="24" spans="1:7" ht="13.15">
      <c r="A24" s="16" t="str">
        <f ca="1">IFERROR(__xludf.DUMMYFUNCTION("""COMPUTED_VALUE"""),"5")</f>
        <v>5</v>
      </c>
      <c r="B24" s="17" t="str">
        <f ca="1">IFERROR(__xludf.DUMMYFUNCTION("""COMPUTED_VALUE"""),"Bluffton: My Summers with Buster")</f>
        <v>Bluffton: My Summers with Buster</v>
      </c>
      <c r="C24" s="16" t="str">
        <f ca="1">IFERROR(__xludf.DUMMYFUNCTION("""COMPUTED_VALUE"""),"F")</f>
        <v>F</v>
      </c>
      <c r="D24" s="17" t="str">
        <f ca="1">IFERROR(__xludf.DUMMYFUNCTION("""COMPUTED_VALUE"""),"Phelan, Matt")</f>
        <v>Phelan, Matt</v>
      </c>
      <c r="E24" s="18">
        <f ca="1">IFERROR(__xludf.DUMMYFUNCTION("""COMPUTED_VALUE"""),9780763687069)</f>
        <v>9780763687069</v>
      </c>
      <c r="F24" s="19"/>
      <c r="G24" s="19"/>
    </row>
    <row r="25" spans="1:7" ht="13.15">
      <c r="A25" s="16" t="str">
        <f ca="1">IFERROR(__xludf.DUMMYFUNCTION("""COMPUTED_VALUE"""),"5")</f>
        <v>5</v>
      </c>
      <c r="B25" s="17" t="str">
        <f ca="1">IFERROR(__xludf.DUMMYFUNCTION("""COMPUTED_VALUE"""),"Bodies from the Bog")</f>
        <v>Bodies from the Bog</v>
      </c>
      <c r="C25" s="16" t="str">
        <f ca="1">IFERROR(__xludf.DUMMYFUNCTION("""COMPUTED_VALUE"""),"N")</f>
        <v>N</v>
      </c>
      <c r="D25" s="17" t="str">
        <f ca="1">IFERROR(__xludf.DUMMYFUNCTION("""COMPUTED_VALUE"""),"Deem, James M")</f>
        <v>Deem, James M</v>
      </c>
      <c r="E25" s="18">
        <f ca="1">IFERROR(__xludf.DUMMYFUNCTION("""COMPUTED_VALUE"""),9780618354023)</f>
        <v>9780618354023</v>
      </c>
      <c r="F25" s="19"/>
      <c r="G25" s="19"/>
    </row>
    <row r="26" spans="1:7" ht="13.15">
      <c r="A26" s="16" t="str">
        <f ca="1">IFERROR(__xludf.DUMMYFUNCTION("""COMPUTED_VALUE"""),"5")</f>
        <v>5</v>
      </c>
      <c r="B26" s="17" t="str">
        <f ca="1">IFERROR(__xludf.DUMMYFUNCTION("""COMPUTED_VALUE"""),"Book Scavenger")</f>
        <v>Book Scavenger</v>
      </c>
      <c r="C26" s="16" t="str">
        <f ca="1">IFERROR(__xludf.DUMMYFUNCTION("""COMPUTED_VALUE"""),"F")</f>
        <v>F</v>
      </c>
      <c r="D26" s="17" t="str">
        <f ca="1">IFERROR(__xludf.DUMMYFUNCTION("""COMPUTED_VALUE"""),"Bertman, Jennifer Chambliss")</f>
        <v>Bertman, Jennifer Chambliss</v>
      </c>
      <c r="E26" s="18">
        <f ca="1">IFERROR(__xludf.DUMMYFUNCTION("""COMPUTED_VALUE"""),9781250079800)</f>
        <v>9781250079800</v>
      </c>
      <c r="F26" s="19"/>
      <c r="G26" s="19"/>
    </row>
    <row r="27" spans="1:7" ht="13.15">
      <c r="A27" s="16" t="str">
        <f ca="1">IFERROR(__xludf.DUMMYFUNCTION("""COMPUTED_VALUE"""),"5")</f>
        <v>5</v>
      </c>
      <c r="B27" s="17" t="str">
        <f ca="1">IFERROR(__xludf.DUMMYFUNCTION("""COMPUTED_VALUE"""),"Boys of Steel: The Creators of Superman")</f>
        <v>Boys of Steel: The Creators of Superman</v>
      </c>
      <c r="C27" s="16" t="str">
        <f ca="1">IFERROR(__xludf.DUMMYFUNCTION("""COMPUTED_VALUE"""),"N")</f>
        <v>N</v>
      </c>
      <c r="D27" s="17" t="str">
        <f ca="1">IFERROR(__xludf.DUMMYFUNCTION("""COMPUTED_VALUE"""),"Nobleman, Marc Tyler")</f>
        <v>Nobleman, Marc Tyler</v>
      </c>
      <c r="E27" s="18">
        <f ca="1">IFERROR(__xludf.DUMMYFUNCTION("""COMPUTED_VALUE"""),9780449810637)</f>
        <v>9780449810637</v>
      </c>
      <c r="F27" s="19"/>
      <c r="G27" s="19"/>
    </row>
    <row r="28" spans="1:7" ht="13.15">
      <c r="A28" s="16" t="str">
        <f ca="1">IFERROR(__xludf.DUMMYFUNCTION("""COMPUTED_VALUE"""),"5")</f>
        <v>5</v>
      </c>
      <c r="B28" s="17" t="str">
        <f ca="1">IFERROR(__xludf.DUMMYFUNCTION("""COMPUTED_VALUE"""),"The Bread Winner")</f>
        <v>The Bread Winner</v>
      </c>
      <c r="C28" s="16" t="str">
        <f ca="1">IFERROR(__xludf.DUMMYFUNCTION("""COMPUTED_VALUE"""),"F")</f>
        <v>F</v>
      </c>
      <c r="D28" s="17" t="str">
        <f ca="1">IFERROR(__xludf.DUMMYFUNCTION("""COMPUTED_VALUE"""),"Whitmore, Arvella")</f>
        <v>Whitmore, Arvella</v>
      </c>
      <c r="E28" s="18">
        <f ca="1">IFERROR(__xludf.DUMMYFUNCTION("""COMPUTED_VALUE"""),9780618494798)</f>
        <v>9780618494798</v>
      </c>
      <c r="F28" s="19"/>
      <c r="G28" s="19"/>
    </row>
    <row r="29" spans="1:7" ht="13.15">
      <c r="A29" s="16" t="str">
        <f ca="1">IFERROR(__xludf.DUMMYFUNCTION("""COMPUTED_VALUE"""),"5")</f>
        <v>5</v>
      </c>
      <c r="B29" s="17" t="str">
        <f ca="1">IFERROR(__xludf.DUMMYFUNCTION("""COMPUTED_VALUE"""),"Breadcrumbs")</f>
        <v>Breadcrumbs</v>
      </c>
      <c r="C29" s="16" t="str">
        <f ca="1">IFERROR(__xludf.DUMMYFUNCTION("""COMPUTED_VALUE"""),"F")</f>
        <v>F</v>
      </c>
      <c r="D29" s="17" t="str">
        <f ca="1">IFERROR(__xludf.DUMMYFUNCTION("""COMPUTED_VALUE"""),"Ursu, Anne")</f>
        <v>Ursu, Anne</v>
      </c>
      <c r="E29" s="18">
        <f ca="1">IFERROR(__xludf.DUMMYFUNCTION("""COMPUTED_VALUE"""),9780062015068)</f>
        <v>9780062015068</v>
      </c>
      <c r="F29" s="19"/>
      <c r="G29" s="19"/>
    </row>
    <row r="30" spans="1:7" ht="13.15">
      <c r="A30" s="16" t="str">
        <f ca="1">IFERROR(__xludf.DUMMYFUNCTION("""COMPUTED_VALUE"""),"5")</f>
        <v>5</v>
      </c>
      <c r="B30" s="17" t="str">
        <f ca="1">IFERROR(__xludf.DUMMYFUNCTION("""COMPUTED_VALUE"""),"Brendan Buckley’s Universe and Everything in It")</f>
        <v>Brendan Buckley’s Universe and Everything in It</v>
      </c>
      <c r="C30" s="16" t="str">
        <f ca="1">IFERROR(__xludf.DUMMYFUNCTION("""COMPUTED_VALUE"""),"F")</f>
        <v>F</v>
      </c>
      <c r="D30" s="17" t="str">
        <f ca="1">IFERROR(__xludf.DUMMYFUNCTION("""COMPUTED_VALUE"""),"Frazier, Sundee T.")</f>
        <v>Frazier, Sundee T.</v>
      </c>
      <c r="E30" s="18">
        <f ca="1">IFERROR(__xludf.DUMMYFUNCTION("""COMPUTED_VALUE"""),9780440422068)</f>
        <v>9780440422068</v>
      </c>
      <c r="F30" s="19"/>
      <c r="G30" s="19"/>
    </row>
    <row r="31" spans="1:7" ht="13.15">
      <c r="A31" s="16" t="str">
        <f ca="1">IFERROR(__xludf.DUMMYFUNCTION("""COMPUTED_VALUE"""),"5")</f>
        <v>5</v>
      </c>
      <c r="B31" s="17" t="str">
        <f ca="1">IFERROR(__xludf.DUMMYFUNCTION("""COMPUTED_VALUE"""),"Bridge to Terabithia")</f>
        <v>Bridge to Terabithia</v>
      </c>
      <c r="C31" s="16" t="str">
        <f ca="1">IFERROR(__xludf.DUMMYFUNCTION("""COMPUTED_VALUE"""),"F")</f>
        <v>F</v>
      </c>
      <c r="D31" s="17" t="str">
        <f ca="1">IFERROR(__xludf.DUMMYFUNCTION("""COMPUTED_VALUE"""),"Paterson, Katherine")</f>
        <v>Paterson, Katherine</v>
      </c>
      <c r="E31" s="18">
        <f ca="1">IFERROR(__xludf.DUMMYFUNCTION("""COMPUTED_VALUE"""),9780064401845)</f>
        <v>9780064401845</v>
      </c>
      <c r="F31" s="19"/>
      <c r="G31" s="19"/>
    </row>
    <row r="32" spans="1:7" ht="13.15">
      <c r="A32" s="16" t="str">
        <f ca="1">IFERROR(__xludf.DUMMYFUNCTION("""COMPUTED_VALUE"""),"5")</f>
        <v>5</v>
      </c>
      <c r="B32" s="17" t="str">
        <f ca="1">IFERROR(__xludf.DUMMYFUNCTION("""COMPUTED_VALUE"""),"Brilliant World of Tom Gates, The ")</f>
        <v xml:space="preserve">Brilliant World of Tom Gates, The </v>
      </c>
      <c r="C32" s="16" t="str">
        <f ca="1">IFERROR(__xludf.DUMMYFUNCTION("""COMPUTED_VALUE"""),"F")</f>
        <v>F</v>
      </c>
      <c r="D32" s="17" t="str">
        <f ca="1">IFERROR(__xludf.DUMMYFUNCTION("""COMPUTED_VALUE"""),"Pichon, L.")</f>
        <v>Pichon, L.</v>
      </c>
      <c r="E32" s="18">
        <f ca="1">IFERROR(__xludf.DUMMYFUNCTION("""COMPUTED_VALUE"""),9780763680688)</f>
        <v>9780763680688</v>
      </c>
      <c r="F32" s="19"/>
      <c r="G32" s="19"/>
    </row>
    <row r="33" spans="1:7" ht="13.15">
      <c r="A33" s="16" t="str">
        <f ca="1">IFERROR(__xludf.DUMMYFUNCTION("""COMPUTED_VALUE"""),"5")</f>
        <v>5</v>
      </c>
      <c r="B33" s="17" t="str">
        <f ca="1">IFERROR(__xludf.DUMMYFUNCTION("""COMPUTED_VALUE"""),"Bud, Not Buddy")</f>
        <v>Bud, Not Buddy</v>
      </c>
      <c r="C33" s="16" t="str">
        <f ca="1">IFERROR(__xludf.DUMMYFUNCTION("""COMPUTED_VALUE"""),"F")</f>
        <v>F</v>
      </c>
      <c r="D33" s="17" t="str">
        <f ca="1">IFERROR(__xludf.DUMMYFUNCTION("""COMPUTED_VALUE"""),"Curtis, Christopher Paul")</f>
        <v>Curtis, Christopher Paul</v>
      </c>
      <c r="E33" s="18">
        <f ca="1">IFERROR(__xludf.DUMMYFUNCTION("""COMPUTED_VALUE"""),9780440413288)</f>
        <v>9780440413288</v>
      </c>
      <c r="F33" s="19"/>
      <c r="G33" s="19"/>
    </row>
    <row r="34" spans="1:7" ht="13.15">
      <c r="A34" s="16" t="str">
        <f ca="1">IFERROR(__xludf.DUMMYFUNCTION("""COMPUTED_VALUE"""),"5")</f>
        <v>5</v>
      </c>
      <c r="B34" s="17" t="str">
        <f ca="1">IFERROR(__xludf.DUMMYFUNCTION("""COMPUTED_VALUE"""),"The Candymakers")</f>
        <v>The Candymakers</v>
      </c>
      <c r="C34" s="16" t="str">
        <f ca="1">IFERROR(__xludf.DUMMYFUNCTION("""COMPUTED_VALUE"""),"F")</f>
        <v>F</v>
      </c>
      <c r="D34" s="17" t="str">
        <f ca="1">IFERROR(__xludf.DUMMYFUNCTION("""COMPUTED_VALUE"""),"Mass, Wendy")</f>
        <v>Mass, Wendy</v>
      </c>
      <c r="E34" s="18">
        <f ca="1">IFERROR(__xludf.DUMMYFUNCTION("""COMPUTED_VALUE"""),9780316002592)</f>
        <v>9780316002592</v>
      </c>
      <c r="F34" s="19"/>
      <c r="G34" s="19"/>
    </row>
    <row r="35" spans="1:7" ht="13.15">
      <c r="A35" s="16" t="str">
        <f ca="1">IFERROR(__xludf.DUMMYFUNCTION("""COMPUTED_VALUE"""),"5")</f>
        <v>5</v>
      </c>
      <c r="B35" s="17" t="str">
        <f ca="1">IFERROR(__xludf.DUMMYFUNCTION("""COMPUTED_VALUE"""),"The Case of the Gasping Garbage")</f>
        <v>The Case of the Gasping Garbage</v>
      </c>
      <c r="C35" s="16" t="str">
        <f ca="1">IFERROR(__xludf.DUMMYFUNCTION("""COMPUTED_VALUE"""),"F")</f>
        <v>F</v>
      </c>
      <c r="D35" s="17" t="str">
        <f ca="1">IFERROR(__xludf.DUMMYFUNCTION("""COMPUTED_VALUE"""),"Torrey, Michele")</f>
        <v>Torrey, Michele</v>
      </c>
      <c r="E35" s="18">
        <f ca="1">IFERROR(__xludf.DUMMYFUNCTION("""COMPUTED_VALUE"""),9781402749605)</f>
        <v>9781402749605</v>
      </c>
      <c r="F35" s="19"/>
      <c r="G35" s="19"/>
    </row>
    <row r="36" spans="1:7" ht="13.15">
      <c r="A36" s="16" t="str">
        <f ca="1">IFERROR(__xludf.DUMMYFUNCTION("""COMPUTED_VALUE"""),"5")</f>
        <v>5</v>
      </c>
      <c r="B36" s="17" t="str">
        <f ca="1">IFERROR(__xludf.DUMMYFUNCTION("""COMPUTED_VALUE"""),"Catch That Pass!")</f>
        <v>Catch That Pass!</v>
      </c>
      <c r="C36" s="16" t="str">
        <f ca="1">IFERROR(__xludf.DUMMYFUNCTION("""COMPUTED_VALUE"""),"F")</f>
        <v>F</v>
      </c>
      <c r="D36" s="17" t="str">
        <f ca="1">IFERROR(__xludf.DUMMYFUNCTION("""COMPUTED_VALUE"""),"Christopher, Matt")</f>
        <v>Christopher, Matt</v>
      </c>
      <c r="E36" s="18">
        <f ca="1">IFERROR(__xludf.DUMMYFUNCTION("""COMPUTED_VALUE"""),9780316139243)</f>
        <v>9780316139243</v>
      </c>
      <c r="F36" s="19"/>
      <c r="G36" s="19"/>
    </row>
    <row r="37" spans="1:7" ht="13.15">
      <c r="A37" s="16" t="str">
        <f ca="1">IFERROR(__xludf.DUMMYFUNCTION("""COMPUTED_VALUE"""),"5")</f>
        <v>5</v>
      </c>
      <c r="B37" s="17" t="str">
        <f ca="1">IFERROR(__xludf.DUMMYFUNCTION("""COMPUTED_VALUE"""),"Chancey of the Maury River")</f>
        <v>Chancey of the Maury River</v>
      </c>
      <c r="C37" s="16" t="str">
        <f ca="1">IFERROR(__xludf.DUMMYFUNCTION("""COMPUTED_VALUE"""),"F")</f>
        <v>F</v>
      </c>
      <c r="D37" s="17" t="str">
        <f ca="1">IFERROR(__xludf.DUMMYFUNCTION("""COMPUTED_VALUE"""),"Amateau, Gigi")</f>
        <v>Amateau, Gigi</v>
      </c>
      <c r="E37" s="18">
        <f ca="1">IFERROR(__xludf.DUMMYFUNCTION("""COMPUTED_VALUE"""),9780763645236)</f>
        <v>9780763645236</v>
      </c>
      <c r="F37" s="19"/>
      <c r="G37" s="19"/>
    </row>
    <row r="38" spans="1:7" ht="26.45">
      <c r="A38" s="16" t="str">
        <f ca="1">IFERROR(__xludf.DUMMYFUNCTION("""COMPUTED_VALUE"""),"5")</f>
        <v>5</v>
      </c>
      <c r="B38" s="17" t="str">
        <f ca="1">IFERROR(__xludf.DUMMYFUNCTION("""COMPUTED_VALUE"""),"The Cheshire Cheese Cat: A Dickens of a Tale")</f>
        <v>The Cheshire Cheese Cat: A Dickens of a Tale</v>
      </c>
      <c r="C38" s="16" t="str">
        <f ca="1">IFERROR(__xludf.DUMMYFUNCTION("""COMPUTED_VALUE"""),"F")</f>
        <v>F</v>
      </c>
      <c r="D38" s="17" t="str">
        <f ca="1">IFERROR(__xludf.DUMMYFUNCTION("""COMPUTED_VALUE"""),"Deedy, Carmen Agra &amp; Randall Wright")</f>
        <v>Deedy, Carmen Agra &amp; Randall Wright</v>
      </c>
      <c r="E38" s="18">
        <f ca="1">IFERROR(__xludf.DUMMYFUNCTION("""COMPUTED_VALUE"""),9781561458103)</f>
        <v>9781561458103</v>
      </c>
      <c r="F38" s="19"/>
      <c r="G38" s="19"/>
    </row>
    <row r="39" spans="1:7" ht="13.15">
      <c r="A39" s="16" t="str">
        <f ca="1">IFERROR(__xludf.DUMMYFUNCTION("""COMPUTED_VALUE"""),"5")</f>
        <v>5</v>
      </c>
      <c r="B39" s="17" t="str">
        <f ca="1">IFERROR(__xludf.DUMMYFUNCTION("""COMPUTED_VALUE"""),"Chickadee")</f>
        <v>Chickadee</v>
      </c>
      <c r="C39" s="16" t="str">
        <f ca="1">IFERROR(__xludf.DUMMYFUNCTION("""COMPUTED_VALUE"""),"F")</f>
        <v>F</v>
      </c>
      <c r="D39" s="17" t="str">
        <f ca="1">IFERROR(__xludf.DUMMYFUNCTION("""COMPUTED_VALUE"""),"Erdrich, Louise")</f>
        <v>Erdrich, Louise</v>
      </c>
      <c r="E39" s="18">
        <f ca="1">IFERROR(__xludf.DUMMYFUNCTION("""COMPUTED_VALUE"""),9780060577926)</f>
        <v>9780060577926</v>
      </c>
      <c r="F39" s="19"/>
      <c r="G39" s="19"/>
    </row>
    <row r="40" spans="1:7" ht="13.15">
      <c r="A40" s="16" t="str">
        <f ca="1">IFERROR(__xludf.DUMMYFUNCTION("""COMPUTED_VALUE"""),"5")</f>
        <v>5</v>
      </c>
      <c r="B40" s="17" t="str">
        <f ca="1">IFERROR(__xludf.DUMMYFUNCTION("""COMPUTED_VALUE"""),"The Chunnel")</f>
        <v>The Chunnel</v>
      </c>
      <c r="C40" s="16" t="str">
        <f ca="1">IFERROR(__xludf.DUMMYFUNCTION("""COMPUTED_VALUE"""),"N")</f>
        <v>N</v>
      </c>
      <c r="D40" s="17" t="str">
        <f ca="1">IFERROR(__xludf.DUMMYFUNCTION("""COMPUTED_VALUE"""),"Kallen, Stuart A.")</f>
        <v>Kallen, Stuart A.</v>
      </c>
      <c r="E40" s="18">
        <f ca="1">IFERROR(__xludf.DUMMYFUNCTION("""COMPUTED_VALUE"""),9781603575768)</f>
        <v>9781603575768</v>
      </c>
      <c r="F40" s="19"/>
      <c r="G40" s="19"/>
    </row>
    <row r="41" spans="1:7" ht="13.15">
      <c r="A41" s="16" t="str">
        <f ca="1">IFERROR(__xludf.DUMMYFUNCTION("""COMPUTED_VALUE"""),"5")</f>
        <v>5</v>
      </c>
      <c r="B41" s="17" t="str">
        <f ca="1">IFERROR(__xludf.DUMMYFUNCTION("""COMPUTED_VALUE"""),"Claudia and Mean Janine")</f>
        <v>Claudia and Mean Janine</v>
      </c>
      <c r="C41" s="16" t="str">
        <f ca="1">IFERROR(__xludf.DUMMYFUNCTION("""COMPUTED_VALUE"""),"F")</f>
        <v>F</v>
      </c>
      <c r="D41" s="17" t="str">
        <f ca="1">IFERROR(__xludf.DUMMYFUNCTION("""COMPUTED_VALUE"""),"Telgemeier, Raina ")</f>
        <v xml:space="preserve">Telgemeier, Raina </v>
      </c>
      <c r="E41" s="18">
        <f ca="1">IFERROR(__xludf.DUMMYFUNCTION("""COMPUTED_VALUE"""),9780545886222)</f>
        <v>9780545886222</v>
      </c>
      <c r="F41" s="19"/>
      <c r="G41" s="19"/>
    </row>
    <row r="42" spans="1:7" ht="13.15">
      <c r="A42" s="16" t="str">
        <f ca="1">IFERROR(__xludf.DUMMYFUNCTION("""COMPUTED_VALUE"""),"5")</f>
        <v>5</v>
      </c>
      <c r="B42" s="17" t="str">
        <f ca="1">IFERROR(__xludf.DUMMYFUNCTION("""COMPUTED_VALUE"""),"Cloudy with a Chance of Boys")</f>
        <v>Cloudy with a Chance of Boys</v>
      </c>
      <c r="C42" s="16" t="str">
        <f ca="1">IFERROR(__xludf.DUMMYFUNCTION("""COMPUTED_VALUE"""),"F")</f>
        <v>F</v>
      </c>
      <c r="D42" s="17" t="str">
        <f ca="1">IFERROR(__xludf.DUMMYFUNCTION("""COMPUTED_VALUE"""),"McDonald, Megan")</f>
        <v>McDonald, Megan</v>
      </c>
      <c r="E42" s="18">
        <f ca="1">IFERROR(__xludf.DUMMYFUNCTION("""COMPUTED_VALUE"""),9780763655778)</f>
        <v>9780763655778</v>
      </c>
      <c r="F42" s="19"/>
      <c r="G42" s="19"/>
    </row>
    <row r="43" spans="1:7" ht="13.15">
      <c r="A43" s="16" t="str">
        <f ca="1">IFERROR(__xludf.DUMMYFUNCTION("""COMPUTED_VALUE"""),"5")</f>
        <v>5</v>
      </c>
      <c r="B43" s="17" t="str">
        <f ca="1">IFERROR(__xludf.DUMMYFUNCTION("""COMPUTED_VALUE"""),"Comets, Meteors, and Asteroids")</f>
        <v>Comets, Meteors, and Asteroids</v>
      </c>
      <c r="C43" s="16" t="str">
        <f ca="1">IFERROR(__xludf.DUMMYFUNCTION("""COMPUTED_VALUE"""),"N")</f>
        <v>N</v>
      </c>
      <c r="D43" s="17" t="str">
        <f ca="1">IFERROR(__xludf.DUMMYFUNCTION("""COMPUTED_VALUE"""),"Simon, Seymour")</f>
        <v>Simon, Seymour</v>
      </c>
      <c r="E43" s="18">
        <f ca="1">IFERROR(__xludf.DUMMYFUNCTION("""COMPUTED_VALUE"""),9780688158439)</f>
        <v>9780688158439</v>
      </c>
      <c r="F43" s="19"/>
      <c r="G43" s="19"/>
    </row>
    <row r="44" spans="1:7" ht="13.15">
      <c r="A44" s="16" t="str">
        <f ca="1">IFERROR(__xludf.DUMMYFUNCTION("""COMPUTED_VALUE"""),"5")</f>
        <v>5</v>
      </c>
      <c r="B44" s="17" t="str">
        <f ca="1">IFERROR(__xludf.DUMMYFUNCTION("""COMPUTED_VALUE"""),"Deadliest!: 20 Dangerous Animals")</f>
        <v>Deadliest!: 20 Dangerous Animals</v>
      </c>
      <c r="C44" s="16" t="str">
        <f ca="1">IFERROR(__xludf.DUMMYFUNCTION("""COMPUTED_VALUE"""),"N")</f>
        <v>N</v>
      </c>
      <c r="D44" s="17" t="str">
        <f ca="1">IFERROR(__xludf.DUMMYFUNCTION("""COMPUTED_VALUE"""),"Jenkins, Steve")</f>
        <v>Jenkins, Steve</v>
      </c>
      <c r="E44" s="18">
        <f ca="1">IFERROR(__xludf.DUMMYFUNCTION("""COMPUTED_VALUE"""),9781328841704)</f>
        <v>9781328841704</v>
      </c>
      <c r="F44" s="19"/>
      <c r="G44" s="19"/>
    </row>
    <row r="45" spans="1:7" ht="26.45">
      <c r="A45" s="16" t="str">
        <f ca="1">IFERROR(__xludf.DUMMYFUNCTION("""COMPUTED_VALUE"""),"5")</f>
        <v>5</v>
      </c>
      <c r="B45" s="17" t="str">
        <f ca="1">IFERROR(__xludf.DUMMYFUNCTION("""COMPUTED_VALUE"""),"Deadly! The Truth About the Most Dangerous Creatures on Earth")</f>
        <v>Deadly! The Truth About the Most Dangerous Creatures on Earth</v>
      </c>
      <c r="C45" s="16" t="str">
        <f ca="1">IFERROR(__xludf.DUMMYFUNCTION("""COMPUTED_VALUE"""),"N")</f>
        <v>N</v>
      </c>
      <c r="D45" s="17" t="str">
        <f ca="1">IFERROR(__xludf.DUMMYFUNCTION("""COMPUTED_VALUE"""),"Davies, Nicola")</f>
        <v>Davies, Nicola</v>
      </c>
      <c r="E45" s="18">
        <f ca="1">IFERROR(__xludf.DUMMYFUNCTION("""COMPUTED_VALUE"""),9780763679712)</f>
        <v>9780763679712</v>
      </c>
      <c r="F45" s="19"/>
      <c r="G45" s="19"/>
    </row>
    <row r="46" spans="1:7" ht="13.15">
      <c r="A46" s="16" t="str">
        <f ca="1">IFERROR(__xludf.DUMMYFUNCTION("""COMPUTED_VALUE"""),"5")</f>
        <v>5</v>
      </c>
      <c r="B46" s="17" t="str">
        <f ca="1">IFERROR(__xludf.DUMMYFUNCTION("""COMPUTED_VALUE"""),"Dear Mrs. Parks: A Dialogue with Today's Youth")</f>
        <v>Dear Mrs. Parks: A Dialogue with Today's Youth</v>
      </c>
      <c r="C46" s="16" t="str">
        <f ca="1">IFERROR(__xludf.DUMMYFUNCTION("""COMPUTED_VALUE"""),"N")</f>
        <v>N</v>
      </c>
      <c r="D46" s="17" t="str">
        <f ca="1">IFERROR(__xludf.DUMMYFUNCTION("""COMPUTED_VALUE"""),"Parks, Rosa")</f>
        <v>Parks, Rosa</v>
      </c>
      <c r="E46" s="18">
        <f ca="1">IFERROR(__xludf.DUMMYFUNCTION("""COMPUTED_VALUE"""),9781880000618)</f>
        <v>9781880000618</v>
      </c>
      <c r="F46" s="19"/>
      <c r="G46" s="19"/>
    </row>
    <row r="47" spans="1:7" ht="13.15">
      <c r="A47" s="16" t="str">
        <f ca="1">IFERROR(__xludf.DUMMYFUNCTION("""COMPUTED_VALUE"""),"5")</f>
        <v>5</v>
      </c>
      <c r="B47" s="17" t="str">
        <f ca="1">IFERROR(__xludf.DUMMYFUNCTION("""COMPUTED_VALUE"""),"Deep-Cover Spies and Double-Crossers of the Cold War")</f>
        <v>Deep-Cover Spies and Double-Crossers of the Cold War</v>
      </c>
      <c r="C47" s="16" t="str">
        <f ca="1">IFERROR(__xludf.DUMMYFUNCTION("""COMPUTED_VALUE"""),"N")</f>
        <v>N</v>
      </c>
      <c r="D47" s="17" t="str">
        <f ca="1">IFERROR(__xludf.DUMMYFUNCTION("""COMPUTED_VALUE"""),"Langston-George, Rebecca")</f>
        <v>Langston-George, Rebecca</v>
      </c>
      <c r="E47" s="18">
        <f ca="1">IFERROR(__xludf.DUMMYFUNCTION("""COMPUTED_VALUE"""),9780756555016)</f>
        <v>9780756555016</v>
      </c>
      <c r="F47" s="19"/>
      <c r="G47" s="19"/>
    </row>
    <row r="48" spans="1:7" ht="13.15">
      <c r="A48" s="16" t="str">
        <f ca="1">IFERROR(__xludf.DUMMYFUNCTION("""COMPUTED_VALUE"""),"5")</f>
        <v>5</v>
      </c>
      <c r="B48" s="17" t="str">
        <f ca="1">IFERROR(__xludf.DUMMYFUNCTION("""COMPUTED_VALUE"""),"Dexter the Tough")</f>
        <v>Dexter the Tough</v>
      </c>
      <c r="C48" s="16" t="str">
        <f ca="1">IFERROR(__xludf.DUMMYFUNCTION("""COMPUTED_VALUE"""),"F")</f>
        <v>F</v>
      </c>
      <c r="D48" s="17" t="str">
        <f ca="1">IFERROR(__xludf.DUMMYFUNCTION("""COMPUTED_VALUE"""),"Haddix, Margaret Peterson")</f>
        <v>Haddix, Margaret Peterson</v>
      </c>
      <c r="E48" s="18">
        <f ca="1">IFERROR(__xludf.DUMMYFUNCTION("""COMPUTED_VALUE"""),9781416911708)</f>
        <v>9781416911708</v>
      </c>
      <c r="F48" s="19"/>
      <c r="G48" s="19"/>
    </row>
    <row r="49" spans="1:7" ht="13.15">
      <c r="A49" s="16" t="str">
        <f ca="1">IFERROR(__xludf.DUMMYFUNCTION("""COMPUTED_VALUE"""),"5")</f>
        <v>5</v>
      </c>
      <c r="B49" s="17" t="str">
        <f ca="1">IFERROR(__xludf.DUMMYFUNCTION("""COMPUTED_VALUE"""),"The Dragon of Trelian")</f>
        <v>The Dragon of Trelian</v>
      </c>
      <c r="C49" s="16" t="str">
        <f ca="1">IFERROR(__xludf.DUMMYFUNCTION("""COMPUTED_VALUE"""),"F")</f>
        <v>F</v>
      </c>
      <c r="D49" s="17" t="str">
        <f ca="1">IFERROR(__xludf.DUMMYFUNCTION("""COMPUTED_VALUE"""),"Knudsen, Michelle")</f>
        <v>Knudsen, Michelle</v>
      </c>
      <c r="E49" s="18">
        <f ca="1">IFERROR(__xludf.DUMMYFUNCTION("""COMPUTED_VALUE"""),9780763694548)</f>
        <v>9780763694548</v>
      </c>
      <c r="F49" s="19"/>
      <c r="G49" s="19"/>
    </row>
    <row r="50" spans="1:7" ht="13.15">
      <c r="A50" s="16" t="str">
        <f ca="1">IFERROR(__xludf.DUMMYFUNCTION("""COMPUTED_VALUE"""),"5")</f>
        <v>5</v>
      </c>
      <c r="B50" s="17" t="str">
        <f ca="1">IFERROR(__xludf.DUMMYFUNCTION("""COMPUTED_VALUE"""),"Duke")</f>
        <v>Duke</v>
      </c>
      <c r="C50" s="16" t="str">
        <f ca="1">IFERROR(__xludf.DUMMYFUNCTION("""COMPUTED_VALUE"""),"F")</f>
        <v>F</v>
      </c>
      <c r="D50" s="17" t="str">
        <f ca="1">IFERROR(__xludf.DUMMYFUNCTION("""COMPUTED_VALUE"""),"Larson, Kirby")</f>
        <v>Larson, Kirby</v>
      </c>
      <c r="E50" s="18">
        <f ca="1">IFERROR(__xludf.DUMMYFUNCTION("""COMPUTED_VALUE"""),9780545416382)</f>
        <v>9780545416382</v>
      </c>
      <c r="F50" s="19"/>
      <c r="G50" s="19"/>
    </row>
    <row r="51" spans="1:7" ht="13.15">
      <c r="A51" s="16" t="str">
        <f ca="1">IFERROR(__xludf.DUMMYFUNCTION("""COMPUTED_VALUE"""),"5")</f>
        <v>5</v>
      </c>
      <c r="B51" s="17" t="str">
        <f ca="1">IFERROR(__xludf.DUMMYFUNCTION("""COMPUTED_VALUE"""),"Egg &amp; Spoon")</f>
        <v>Egg &amp; Spoon</v>
      </c>
      <c r="C51" s="16" t="str">
        <f ca="1">IFERROR(__xludf.DUMMYFUNCTION("""COMPUTED_VALUE"""),"F")</f>
        <v>F</v>
      </c>
      <c r="D51" s="17" t="str">
        <f ca="1">IFERROR(__xludf.DUMMYFUNCTION("""COMPUTED_VALUE"""),"Maguire, Gregory")</f>
        <v>Maguire, Gregory</v>
      </c>
      <c r="E51" s="18">
        <f ca="1">IFERROR(__xludf.DUMMYFUNCTION("""COMPUTED_VALUE"""),9780763680169)</f>
        <v>9780763680169</v>
      </c>
      <c r="F51" s="19"/>
      <c r="G51" s="19"/>
    </row>
    <row r="52" spans="1:7" ht="13.15">
      <c r="A52" s="16" t="str">
        <f ca="1">IFERROR(__xludf.DUMMYFUNCTION("""COMPUTED_VALUE"""),"5")</f>
        <v>5</v>
      </c>
      <c r="B52" s="17" t="str">
        <f ca="1">IFERROR(__xludf.DUMMYFUNCTION("""COMPUTED_VALUE"""),"The Egypt Game")</f>
        <v>The Egypt Game</v>
      </c>
      <c r="C52" s="16" t="str">
        <f ca="1">IFERROR(__xludf.DUMMYFUNCTION("""COMPUTED_VALUE"""),"F")</f>
        <v>F</v>
      </c>
      <c r="D52" s="17" t="str">
        <f ca="1">IFERROR(__xludf.DUMMYFUNCTION("""COMPUTED_VALUE"""),"Snyder, Zipha Keatley")</f>
        <v>Snyder, Zipha Keatley</v>
      </c>
      <c r="E52" s="18">
        <f ca="1">IFERROR(__xludf.DUMMYFUNCTION("""COMPUTED_VALUE"""),9781416990512)</f>
        <v>9781416990512</v>
      </c>
      <c r="F52" s="19"/>
      <c r="G52" s="19"/>
    </row>
    <row r="53" spans="1:7" ht="13.15">
      <c r="A53" s="16" t="str">
        <f ca="1">IFERROR(__xludf.DUMMYFUNCTION("""COMPUTED_VALUE"""),"5")</f>
        <v>5</v>
      </c>
      <c r="B53" s="17" t="str">
        <f ca="1">IFERROR(__xludf.DUMMYFUNCTION("""COMPUTED_VALUE"""),"Egyptian Diary: The Journal of Nakht Young Scribe")</f>
        <v>Egyptian Diary: The Journal of Nakht Young Scribe</v>
      </c>
      <c r="C53" s="16" t="str">
        <f ca="1">IFERROR(__xludf.DUMMYFUNCTION("""COMPUTED_VALUE"""),"F")</f>
        <v>F</v>
      </c>
      <c r="D53" s="17" t="str">
        <f ca="1">IFERROR(__xludf.DUMMYFUNCTION("""COMPUTED_VALUE"""),"Platt, Richard")</f>
        <v>Platt, Richard</v>
      </c>
      <c r="E53" s="18">
        <f ca="1">IFERROR(__xludf.DUMMYFUNCTION("""COMPUTED_VALUE"""),9780763670542)</f>
        <v>9780763670542</v>
      </c>
      <c r="F53" s="19"/>
      <c r="G53" s="19"/>
    </row>
    <row r="54" spans="1:7" ht="13.15">
      <c r="A54" s="16" t="str">
        <f ca="1">IFERROR(__xludf.DUMMYFUNCTION("""COMPUTED_VALUE"""),"5")</f>
        <v>5</v>
      </c>
      <c r="B54" s="17" t="str">
        <f ca="1">IFERROR(__xludf.DUMMYFUNCTION("""COMPUTED_VALUE"""),"Eli Whitney and the Cotton Gin")</f>
        <v>Eli Whitney and the Cotton Gin</v>
      </c>
      <c r="C54" s="16" t="str">
        <f ca="1">IFERROR(__xludf.DUMMYFUNCTION("""COMPUTED_VALUE"""),"N")</f>
        <v>N</v>
      </c>
      <c r="D54" s="17" t="str">
        <f ca="1">IFERROR(__xludf.DUMMYFUNCTION("""COMPUTED_VALUE"""),"Gunderson, Jessica")</f>
        <v>Gunderson, Jessica</v>
      </c>
      <c r="E54" s="18">
        <f ca="1">IFERROR(__xludf.DUMMYFUNCTION("""COMPUTED_VALUE"""),9780736878951)</f>
        <v>9780736878951</v>
      </c>
      <c r="F54" s="19"/>
      <c r="G54" s="19"/>
    </row>
    <row r="55" spans="1:7" ht="26.45">
      <c r="A55" s="16" t="str">
        <f ca="1">IFERROR(__xludf.DUMMYFUNCTION("""COMPUTED_VALUE"""),"5")</f>
        <v>5</v>
      </c>
      <c r="B55" s="17" t="str">
        <f ca="1">IFERROR(__xludf.DUMMYFUNCTION("""COMPUTED_VALUE"""),"Environmental Engineering and the Science of Sustainability")</f>
        <v>Environmental Engineering and the Science of Sustainability</v>
      </c>
      <c r="C55" s="16" t="str">
        <f ca="1">IFERROR(__xludf.DUMMYFUNCTION("""COMPUTED_VALUE"""),"N")</f>
        <v>N</v>
      </c>
      <c r="D55" s="17" t="str">
        <f ca="1">IFERROR(__xludf.DUMMYFUNCTION("""COMPUTED_VALUE"""),"Snedden, Robert")</f>
        <v>Snedden, Robert</v>
      </c>
      <c r="E55" s="18">
        <f ca="1">IFERROR(__xludf.DUMMYFUNCTION("""COMPUTED_VALUE"""),9780778712312)</f>
        <v>9780778712312</v>
      </c>
      <c r="F55" s="19"/>
      <c r="G55" s="19"/>
    </row>
    <row r="56" spans="1:7" ht="13.15">
      <c r="A56" s="16" t="str">
        <f ca="1">IFERROR(__xludf.DUMMYFUNCTION("""COMPUTED_VALUE"""),"5")</f>
        <v>5</v>
      </c>
      <c r="B56" s="17" t="str">
        <f ca="1">IFERROR(__xludf.DUMMYFUNCTION("""COMPUTED_VALUE"""),"Escape! The Story of the Great Houdini")</f>
        <v>Escape! The Story of the Great Houdini</v>
      </c>
      <c r="C56" s="16" t="str">
        <f ca="1">IFERROR(__xludf.DUMMYFUNCTION("""COMPUTED_VALUE"""),"N")</f>
        <v>N</v>
      </c>
      <c r="D56" s="17" t="str">
        <f ca="1">IFERROR(__xludf.DUMMYFUNCTION("""COMPUTED_VALUE"""),"Fleischman, Sid")</f>
        <v>Fleischman, Sid</v>
      </c>
      <c r="E56" s="18">
        <f ca="1">IFERROR(__xludf.DUMMYFUNCTION("""COMPUTED_VALUE"""),9780060850968)</f>
        <v>9780060850968</v>
      </c>
      <c r="F56" s="19"/>
      <c r="G56" s="19"/>
    </row>
    <row r="57" spans="1:7" ht="13.15">
      <c r="A57" s="16" t="str">
        <f ca="1">IFERROR(__xludf.DUMMYFUNCTION("""COMPUTED_VALUE"""),"5")</f>
        <v>5</v>
      </c>
      <c r="B57" s="17" t="str">
        <f ca="1">IFERROR(__xludf.DUMMYFUNCTION("""COMPUTED_VALUE"""),"Falling In")</f>
        <v>Falling In</v>
      </c>
      <c r="C57" s="16" t="str">
        <f ca="1">IFERROR(__xludf.DUMMYFUNCTION("""COMPUTED_VALUE"""),"F")</f>
        <v>F</v>
      </c>
      <c r="D57" s="17" t="str">
        <f ca="1">IFERROR(__xludf.DUMMYFUNCTION("""COMPUTED_VALUE"""),"Dowell, Frances O'Roark")</f>
        <v>Dowell, Frances O'Roark</v>
      </c>
      <c r="E57" s="18">
        <f ca="1">IFERROR(__xludf.DUMMYFUNCTION("""COMPUTED_VALUE"""),9781442422056)</f>
        <v>9781442422056</v>
      </c>
      <c r="F57" s="19"/>
      <c r="G57" s="19"/>
    </row>
    <row r="58" spans="1:7" ht="13.15">
      <c r="A58" s="16" t="str">
        <f ca="1">IFERROR(__xludf.DUMMYFUNCTION("""COMPUTED_VALUE"""),"5")</f>
        <v>5</v>
      </c>
      <c r="B58" s="17" t="str">
        <f ca="1">IFERROR(__xludf.DUMMYFUNCTION("""COMPUTED_VALUE"""),"A Faraway Island")</f>
        <v>A Faraway Island</v>
      </c>
      <c r="C58" s="16" t="str">
        <f ca="1">IFERROR(__xludf.DUMMYFUNCTION("""COMPUTED_VALUE"""),"F")</f>
        <v>F</v>
      </c>
      <c r="D58" s="17" t="str">
        <f ca="1">IFERROR(__xludf.DUMMYFUNCTION("""COMPUTED_VALUE"""),"Thor, Annika")</f>
        <v>Thor, Annika</v>
      </c>
      <c r="E58" s="18">
        <f ca="1">IFERROR(__xludf.DUMMYFUNCTION("""COMPUTED_VALUE"""),9780375844959)</f>
        <v>9780375844959</v>
      </c>
      <c r="F58" s="19"/>
      <c r="G58" s="19"/>
    </row>
    <row r="59" spans="1:7" ht="13.15">
      <c r="A59" s="16" t="str">
        <f ca="1">IFERROR(__xludf.DUMMYFUNCTION("""COMPUTED_VALUE"""),"5")</f>
        <v>5</v>
      </c>
      <c r="B59" s="17" t="str">
        <f ca="1">IFERROR(__xludf.DUMMYFUNCTION("""COMPUTED_VALUE"""),"Flip-Flop Girl")</f>
        <v>Flip-Flop Girl</v>
      </c>
      <c r="C59" s="16" t="str">
        <f ca="1">IFERROR(__xludf.DUMMYFUNCTION("""COMPUTED_VALUE"""),"F")</f>
        <v>F</v>
      </c>
      <c r="D59" s="17" t="str">
        <f ca="1">IFERROR(__xludf.DUMMYFUNCTION("""COMPUTED_VALUE"""),"Paterson, Katherine")</f>
        <v>Paterson, Katherine</v>
      </c>
      <c r="E59" s="18">
        <f ca="1">IFERROR(__xludf.DUMMYFUNCTION("""COMPUTED_VALUE"""),9780140376791)</f>
        <v>9780140376791</v>
      </c>
      <c r="F59" s="19"/>
      <c r="G59" s="19"/>
    </row>
    <row r="60" spans="1:7" ht="13.15">
      <c r="A60" s="16" t="str">
        <f ca="1">IFERROR(__xludf.DUMMYFUNCTION("""COMPUTED_VALUE"""),"5")</f>
        <v>5</v>
      </c>
      <c r="B60" s="17" t="str">
        <f ca="1">IFERROR(__xludf.DUMMYFUNCTION("""COMPUTED_VALUE"""),"Flora &amp; Ulysses: The Illuminated Adventures")</f>
        <v>Flora &amp; Ulysses: The Illuminated Adventures</v>
      </c>
      <c r="C60" s="16" t="str">
        <f ca="1">IFERROR(__xludf.DUMMYFUNCTION("""COMPUTED_VALUE"""),"F")</f>
        <v>F</v>
      </c>
      <c r="D60" s="17" t="str">
        <f ca="1">IFERROR(__xludf.DUMMYFUNCTION("""COMPUTED_VALUE"""),"DiCamillo, Kate")</f>
        <v>DiCamillo, Kate</v>
      </c>
      <c r="E60" s="18">
        <f ca="1">IFERROR(__xludf.DUMMYFUNCTION("""COMPUTED_VALUE"""),9780763687649)</f>
        <v>9780763687649</v>
      </c>
      <c r="F60" s="19"/>
      <c r="G60" s="19"/>
    </row>
    <row r="61" spans="1:7" ht="13.15">
      <c r="A61" s="16" t="str">
        <f ca="1">IFERROR(__xludf.DUMMYFUNCTION("""COMPUTED_VALUE"""),"5")</f>
        <v>5</v>
      </c>
      <c r="B61" s="17" t="str">
        <f ca="1">IFERROR(__xludf.DUMMYFUNCTION("""COMPUTED_VALUE"""),"Flyte")</f>
        <v>Flyte</v>
      </c>
      <c r="C61" s="16" t="str">
        <f ca="1">IFERROR(__xludf.DUMMYFUNCTION("""COMPUTED_VALUE"""),"F")</f>
        <v>F</v>
      </c>
      <c r="D61" s="17" t="str">
        <f ca="1">IFERROR(__xludf.DUMMYFUNCTION("""COMPUTED_VALUE"""),"Sage, Angie")</f>
        <v>Sage, Angie</v>
      </c>
      <c r="E61" s="18">
        <f ca="1">IFERROR(__xludf.DUMMYFUNCTION("""COMPUTED_VALUE"""),9780060577360)</f>
        <v>9780060577360</v>
      </c>
      <c r="F61" s="19"/>
      <c r="G61" s="19"/>
    </row>
    <row r="62" spans="1:7" ht="13.15">
      <c r="A62" s="16" t="str">
        <f ca="1">IFERROR(__xludf.DUMMYFUNCTION("""COMPUTED_VALUE"""),"5")</f>
        <v>5</v>
      </c>
      <c r="B62" s="17" t="str">
        <f ca="1">IFERROR(__xludf.DUMMYFUNCTION("""COMPUTED_VALUE"""),"Footwork: The Story of Fred and Adele Astaire")</f>
        <v>Footwork: The Story of Fred and Adele Astaire</v>
      </c>
      <c r="C62" s="16" t="str">
        <f ca="1">IFERROR(__xludf.DUMMYFUNCTION("""COMPUTED_VALUE"""),"N")</f>
        <v>N</v>
      </c>
      <c r="D62" s="17" t="str">
        <f ca="1">IFERROR(__xludf.DUMMYFUNCTION("""COMPUTED_VALUE"""),"Orgill, Roxane")</f>
        <v>Orgill, Roxane</v>
      </c>
      <c r="E62" s="18">
        <f ca="1">IFERROR(__xludf.DUMMYFUNCTION("""COMPUTED_VALUE"""),9780763662158)</f>
        <v>9780763662158</v>
      </c>
      <c r="F62" s="19"/>
      <c r="G62" s="19"/>
    </row>
    <row r="63" spans="1:7" ht="13.15">
      <c r="A63" s="16" t="str">
        <f ca="1">IFERROR(__xludf.DUMMYFUNCTION("""COMPUTED_VALUE"""),"5")</f>
        <v>5</v>
      </c>
      <c r="B63" s="17" t="str">
        <f ca="1">IFERROR(__xludf.DUMMYFUNCTION("""COMPUTED_VALUE"""),"Found")</f>
        <v>Found</v>
      </c>
      <c r="C63" s="16" t="str">
        <f ca="1">IFERROR(__xludf.DUMMYFUNCTION("""COMPUTED_VALUE"""),"F")</f>
        <v>F</v>
      </c>
      <c r="D63" s="17" t="str">
        <f ca="1">IFERROR(__xludf.DUMMYFUNCTION("""COMPUTED_VALUE"""),"Haddix, Margaret Peterson")</f>
        <v>Haddix, Margaret Peterson</v>
      </c>
      <c r="E63" s="18">
        <f ca="1">IFERROR(__xludf.DUMMYFUNCTION("""COMPUTED_VALUE"""),9781416954217)</f>
        <v>9781416954217</v>
      </c>
      <c r="F63" s="19"/>
      <c r="G63" s="19"/>
    </row>
    <row r="64" spans="1:7" ht="13.15">
      <c r="A64" s="16" t="str">
        <f ca="1">IFERROR(__xludf.DUMMYFUNCTION("""COMPUTED_VALUE"""),"5")</f>
        <v>5</v>
      </c>
      <c r="B64" s="17" t="str">
        <f ca="1">IFERROR(__xludf.DUMMYFUNCTION("""COMPUTED_VALUE"""),"Free?: Stories About Human Rights")</f>
        <v>Free?: Stories About Human Rights</v>
      </c>
      <c r="C64" s="16" t="str">
        <f ca="1">IFERROR(__xludf.DUMMYFUNCTION("""COMPUTED_VALUE"""),"F")</f>
        <v>F</v>
      </c>
      <c r="D64" s="17" t="str">
        <f ca="1">IFERROR(__xludf.DUMMYFUNCTION("""COMPUTED_VALUE"""),"Amnesty International")</f>
        <v>Amnesty International</v>
      </c>
      <c r="E64" s="18">
        <f ca="1">IFERROR(__xludf.DUMMYFUNCTION("""COMPUTED_VALUE"""),9780763649265)</f>
        <v>9780763649265</v>
      </c>
      <c r="F64" s="19"/>
      <c r="G64" s="19"/>
    </row>
    <row r="65" spans="1:7" ht="13.15">
      <c r="A65" s="16" t="str">
        <f ca="1">IFERROR(__xludf.DUMMYFUNCTION("""COMPUTED_VALUE"""),"5")</f>
        <v>5</v>
      </c>
      <c r="B65" s="17" t="str">
        <f ca="1">IFERROR(__xludf.DUMMYFUNCTION("""COMPUTED_VALUE"""),"Funny Business")</f>
        <v>Funny Business</v>
      </c>
      <c r="C65" s="16" t="str">
        <f ca="1">IFERROR(__xludf.DUMMYFUNCTION("""COMPUTED_VALUE"""),"F")</f>
        <v>F</v>
      </c>
      <c r="D65" s="17" t="str">
        <f ca="1">IFERROR(__xludf.DUMMYFUNCTION("""COMPUTED_VALUE"""),"Scieszka, Jon")</f>
        <v>Scieszka, Jon</v>
      </c>
      <c r="E65" s="18">
        <f ca="1">IFERROR(__xludf.DUMMYFUNCTION("""COMPUTED_VALUE"""),9780061963735)</f>
        <v>9780061963735</v>
      </c>
      <c r="F65" s="19"/>
      <c r="G65" s="19"/>
    </row>
    <row r="66" spans="1:7" ht="13.15">
      <c r="A66" s="16" t="str">
        <f ca="1">IFERROR(__xludf.DUMMYFUNCTION("""COMPUTED_VALUE"""),"5")</f>
        <v>5</v>
      </c>
      <c r="B66" s="17" t="str">
        <f ca="1">IFERROR(__xludf.DUMMYFUNCTION("""COMPUTED_VALUE"""),"Gandhi: The Young Protester Who Founded a Nation")</f>
        <v>Gandhi: The Young Protester Who Founded a Nation</v>
      </c>
      <c r="C66" s="16" t="str">
        <f ca="1">IFERROR(__xludf.DUMMYFUNCTION("""COMPUTED_VALUE"""),"N")</f>
        <v>N</v>
      </c>
      <c r="D66" s="17" t="str">
        <f ca="1">IFERROR(__xludf.DUMMYFUNCTION("""COMPUTED_VALUE"""),"Wilkinson, Philip")</f>
        <v>Wilkinson, Philip</v>
      </c>
      <c r="E66" s="18">
        <f ca="1">IFERROR(__xludf.DUMMYFUNCTION("""COMPUTED_VALUE"""),9781426301322)</f>
        <v>9781426301322</v>
      </c>
      <c r="F66" s="19"/>
      <c r="G66" s="19"/>
    </row>
    <row r="67" spans="1:7" ht="26.45">
      <c r="A67" s="16" t="str">
        <f ca="1">IFERROR(__xludf.DUMMYFUNCTION("""COMPUTED_VALUE"""),"5")</f>
        <v>5</v>
      </c>
      <c r="B67" s="17" t="str">
        <f ca="1">IFERROR(__xludf.DUMMYFUNCTION("""COMPUTED_VALUE"""),"George vs. George: The American Revolution as Seen from Both Sides")</f>
        <v>George vs. George: The American Revolution as Seen from Both Sides</v>
      </c>
      <c r="C67" s="16" t="str">
        <f ca="1">IFERROR(__xludf.DUMMYFUNCTION("""COMPUTED_VALUE"""),"N")</f>
        <v>N</v>
      </c>
      <c r="D67" s="17" t="str">
        <f ca="1">IFERROR(__xludf.DUMMYFUNCTION("""COMPUTED_VALUE"""),"Schanzer, Rosalyn")</f>
        <v>Schanzer, Rosalyn</v>
      </c>
      <c r="E67" s="18">
        <f ca="1">IFERROR(__xludf.DUMMYFUNCTION("""COMPUTED_VALUE"""),9781426300424)</f>
        <v>9781426300424</v>
      </c>
      <c r="F67" s="19"/>
      <c r="G67" s="19"/>
    </row>
    <row r="68" spans="1:7" ht="13.15">
      <c r="A68" s="16" t="str">
        <f ca="1">IFERROR(__xludf.DUMMYFUNCTION("""COMPUTED_VALUE"""),"5")</f>
        <v>5</v>
      </c>
      <c r="B68" s="17" t="str">
        <f ca="1">IFERROR(__xludf.DUMMYFUNCTION("""COMPUTED_VALUE"""),"George's Marvelous Medicine")</f>
        <v>George's Marvelous Medicine</v>
      </c>
      <c r="C68" s="16" t="str">
        <f ca="1">IFERROR(__xludf.DUMMYFUNCTION("""COMPUTED_VALUE"""),"F")</f>
        <v>F</v>
      </c>
      <c r="D68" s="17" t="str">
        <f ca="1">IFERROR(__xludf.DUMMYFUNCTION("""COMPUTED_VALUE"""),"Dahl, Roald")</f>
        <v>Dahl, Roald</v>
      </c>
      <c r="E68" s="18">
        <f ca="1">IFERROR(__xludf.DUMMYFUNCTION("""COMPUTED_VALUE"""),9780142410356)</f>
        <v>9780142410356</v>
      </c>
      <c r="F68" s="19"/>
      <c r="G68" s="19"/>
    </row>
    <row r="69" spans="1:7" ht="13.15">
      <c r="A69" s="16" t="str">
        <f ca="1">IFERROR(__xludf.DUMMYFUNCTION("""COMPUTED_VALUE"""),"5")</f>
        <v>5</v>
      </c>
      <c r="B69" s="17" t="str">
        <f ca="1">IFERROR(__xludf.DUMMYFUNCTION("""COMPUTED_VALUE"""),"Ghetto Cowboy")</f>
        <v>Ghetto Cowboy</v>
      </c>
      <c r="C69" s="16" t="str">
        <f ca="1">IFERROR(__xludf.DUMMYFUNCTION("""COMPUTED_VALUE"""),"F")</f>
        <v>F</v>
      </c>
      <c r="D69" s="17" t="str">
        <f ca="1">IFERROR(__xludf.DUMMYFUNCTION("""COMPUTED_VALUE"""),"Neri, G.")</f>
        <v>Neri, G.</v>
      </c>
      <c r="E69" s="18">
        <f ca="1">IFERROR(__xludf.DUMMYFUNCTION("""COMPUTED_VALUE"""),9780763664534)</f>
        <v>9780763664534</v>
      </c>
      <c r="F69" s="19"/>
      <c r="G69" s="19"/>
    </row>
    <row r="70" spans="1:7" ht="13.15">
      <c r="A70" s="16" t="str">
        <f ca="1">IFERROR(__xludf.DUMMYFUNCTION("""COMPUTED_VALUE"""),"5")</f>
        <v>5</v>
      </c>
      <c r="B70" s="17" t="str">
        <f ca="1">IFERROR(__xludf.DUMMYFUNCTION("""COMPUTED_VALUE"""),"Ginger Pye")</f>
        <v>Ginger Pye</v>
      </c>
      <c r="C70" s="16" t="str">
        <f ca="1">IFERROR(__xludf.DUMMYFUNCTION("""COMPUTED_VALUE"""),"F")</f>
        <v>F</v>
      </c>
      <c r="D70" s="17" t="str">
        <f ca="1">IFERROR(__xludf.DUMMYFUNCTION("""COMPUTED_VALUE"""),"Estes, Eleanor")</f>
        <v>Estes, Eleanor</v>
      </c>
      <c r="E70" s="18">
        <f ca="1">IFERROR(__xludf.DUMMYFUNCTION("""COMPUTED_VALUE"""),9780544927810)</f>
        <v>9780544927810</v>
      </c>
      <c r="F70" s="19"/>
      <c r="G70" s="19"/>
    </row>
    <row r="71" spans="1:7" ht="13.15">
      <c r="A71" s="16" t="str">
        <f ca="1">IFERROR(__xludf.DUMMYFUNCTION("""COMPUTED_VALUE"""),"5")</f>
        <v>5</v>
      </c>
      <c r="B71" s="17" t="str">
        <f ca="1">IFERROR(__xludf.DUMMYFUNCTION("""COMPUTED_VALUE"""),"Glory Be")</f>
        <v>Glory Be</v>
      </c>
      <c r="C71" s="16" t="str">
        <f ca="1">IFERROR(__xludf.DUMMYFUNCTION("""COMPUTED_VALUE"""),"F")</f>
        <v>F</v>
      </c>
      <c r="D71" s="17" t="str">
        <f ca="1">IFERROR(__xludf.DUMMYFUNCTION("""COMPUTED_VALUE"""),"Scattergood, Augusta")</f>
        <v>Scattergood, Augusta</v>
      </c>
      <c r="E71" s="18">
        <f ca="1">IFERROR(__xludf.DUMMYFUNCTION("""COMPUTED_VALUE"""),9780545331814)</f>
        <v>9780545331814</v>
      </c>
      <c r="F71" s="19"/>
      <c r="G71" s="19"/>
    </row>
    <row r="72" spans="1:7" ht="13.15">
      <c r="A72" s="16" t="str">
        <f ca="1">IFERROR(__xludf.DUMMYFUNCTION("""COMPUTED_VALUE"""),"5")</f>
        <v>5</v>
      </c>
      <c r="B72" s="17" t="str">
        <f ca="1">IFERROR(__xludf.DUMMYFUNCTION("""COMPUTED_VALUE"""),"Graffiti")</f>
        <v>Graffiti</v>
      </c>
      <c r="C72" s="16" t="str">
        <f ca="1">IFERROR(__xludf.DUMMYFUNCTION("""COMPUTED_VALUE"""),"N")</f>
        <v>N</v>
      </c>
      <c r="D72" s="17" t="str">
        <f ca="1">IFERROR(__xludf.DUMMYFUNCTION("""COMPUTED_VALUE"""),"Wood, Alix")</f>
        <v>Wood, Alix</v>
      </c>
      <c r="E72" s="18">
        <f ca="1">IFERROR(__xludf.DUMMYFUNCTION("""COMPUTED_VALUE"""),9781482422832)</f>
        <v>9781482422832</v>
      </c>
      <c r="F72" s="19"/>
      <c r="G72" s="19"/>
    </row>
    <row r="73" spans="1:7" ht="13.15">
      <c r="A73" s="16" t="str">
        <f ca="1">IFERROR(__xludf.DUMMYFUNCTION("""COMPUTED_VALUE"""),"5")</f>
        <v>5</v>
      </c>
      <c r="B73" s="17" t="str">
        <f ca="1">IFERROR(__xludf.DUMMYFUNCTION("""COMPUTED_VALUE"""),"The Great Greene Heist")</f>
        <v>The Great Greene Heist</v>
      </c>
      <c r="C73" s="16" t="str">
        <f ca="1">IFERROR(__xludf.DUMMYFUNCTION("""COMPUTED_VALUE"""),"F")</f>
        <v>F</v>
      </c>
      <c r="D73" s="17" t="str">
        <f ca="1">IFERROR(__xludf.DUMMYFUNCTION("""COMPUTED_VALUE"""),"Johnson, Varian")</f>
        <v>Johnson, Varian</v>
      </c>
      <c r="E73" s="18">
        <f ca="1">IFERROR(__xludf.DUMMYFUNCTION("""COMPUTED_VALUE"""),9780545525534)</f>
        <v>9780545525534</v>
      </c>
      <c r="F73" s="19"/>
      <c r="G73" s="19"/>
    </row>
    <row r="74" spans="1:7" ht="13.15">
      <c r="A74" s="16" t="str">
        <f ca="1">IFERROR(__xludf.DUMMYFUNCTION("""COMPUTED_VALUE"""),"5")</f>
        <v>5</v>
      </c>
      <c r="B74" s="17" t="str">
        <f ca="1">IFERROR(__xludf.DUMMYFUNCTION("""COMPUTED_VALUE"""),"The Great Molasses Flood")</f>
        <v>The Great Molasses Flood</v>
      </c>
      <c r="C74" s="16" t="str">
        <f ca="1">IFERROR(__xludf.DUMMYFUNCTION("""COMPUTED_VALUE"""),"N")</f>
        <v>N</v>
      </c>
      <c r="D74" s="17" t="str">
        <f ca="1">IFERROR(__xludf.DUMMYFUNCTION("""COMPUTED_VALUE"""),"Kops, Deborah")</f>
        <v>Kops, Deborah</v>
      </c>
      <c r="E74" s="18">
        <f ca="1">IFERROR(__xludf.DUMMYFUNCTION("""COMPUTED_VALUE"""),9781580893497)</f>
        <v>9781580893497</v>
      </c>
      <c r="F74" s="19"/>
      <c r="G74" s="19"/>
    </row>
    <row r="75" spans="1:7" ht="13.15">
      <c r="A75" s="16" t="str">
        <f ca="1">IFERROR(__xludf.DUMMYFUNCTION("""COMPUTED_VALUE"""),"5")</f>
        <v>5</v>
      </c>
      <c r="B75" s="17" t="str">
        <f ca="1">IFERROR(__xludf.DUMMYFUNCTION("""COMPUTED_VALUE"""),"The Great Wall of Lucy Wu")</f>
        <v>The Great Wall of Lucy Wu</v>
      </c>
      <c r="C75" s="16" t="str">
        <f ca="1">IFERROR(__xludf.DUMMYFUNCTION("""COMPUTED_VALUE"""),"F")</f>
        <v>F</v>
      </c>
      <c r="D75" s="17" t="str">
        <f ca="1">IFERROR(__xludf.DUMMYFUNCTION("""COMPUTED_VALUE"""),"Shang, Wendy Wan-Long")</f>
        <v>Shang, Wendy Wan-Long</v>
      </c>
      <c r="E75" s="18">
        <f ca="1">IFERROR(__xludf.DUMMYFUNCTION("""COMPUTED_VALUE"""),9780545162166)</f>
        <v>9780545162166</v>
      </c>
      <c r="F75" s="19"/>
      <c r="G75" s="19"/>
    </row>
    <row r="76" spans="1:7" ht="13.15">
      <c r="A76" s="16" t="str">
        <f ca="1">IFERROR(__xludf.DUMMYFUNCTION("""COMPUTED_VALUE"""),"5")</f>
        <v>5</v>
      </c>
      <c r="B76" s="17" t="str">
        <f ca="1">IFERROR(__xludf.DUMMYFUNCTION("""COMPUTED_VALUE"""),"Gross Places")</f>
        <v>Gross Places</v>
      </c>
      <c r="C76" s="16" t="str">
        <f ca="1">IFERROR(__xludf.DUMMYFUNCTION("""COMPUTED_VALUE"""),"N")</f>
        <v>N</v>
      </c>
      <c r="D76" s="17" t="str">
        <f ca="1">IFERROR(__xludf.DUMMYFUNCTION("""COMPUTED_VALUE"""),"Jenkins, Pete")</f>
        <v>Jenkins, Pete</v>
      </c>
      <c r="E76" s="18">
        <f ca="1">IFERROR(__xludf.DUMMYFUNCTION("""COMPUTED_VALUE"""),9781681918723)</f>
        <v>9781681918723</v>
      </c>
      <c r="F76" s="19"/>
      <c r="G76" s="19"/>
    </row>
    <row r="77" spans="1:7" ht="13.15">
      <c r="A77" s="16" t="str">
        <f ca="1">IFERROR(__xludf.DUMMYFUNCTION("""COMPUTED_VALUE"""),"5")</f>
        <v>5</v>
      </c>
      <c r="B77" s="17" t="str">
        <f ca="1">IFERROR(__xludf.DUMMYFUNCTION("""COMPUTED_VALUE"""),"Handel, Who Knew What He Liked")</f>
        <v>Handel, Who Knew What He Liked</v>
      </c>
      <c r="C77" s="16" t="str">
        <f ca="1">IFERROR(__xludf.DUMMYFUNCTION("""COMPUTED_VALUE"""),"N")</f>
        <v>N</v>
      </c>
      <c r="D77" s="17" t="str">
        <f ca="1">IFERROR(__xludf.DUMMYFUNCTION("""COMPUTED_VALUE"""),"Anderson, M. T.")</f>
        <v>Anderson, M. T.</v>
      </c>
      <c r="E77" s="18">
        <f ca="1">IFERROR(__xludf.DUMMYFUNCTION("""COMPUTED_VALUE"""),9780763666002)</f>
        <v>9780763666002</v>
      </c>
      <c r="F77" s="19"/>
      <c r="G77" s="19"/>
    </row>
    <row r="78" spans="1:7" ht="13.15">
      <c r="A78" s="16" t="str">
        <f ca="1">IFERROR(__xludf.DUMMYFUNCTION("""COMPUTED_VALUE"""),"5")</f>
        <v>5</v>
      </c>
      <c r="B78" s="17" t="str">
        <f ca="1">IFERROR(__xludf.DUMMYFUNCTION("""COMPUTED_VALUE"""),"Has Anyone Seen Jessica Jenkins?")</f>
        <v>Has Anyone Seen Jessica Jenkins?</v>
      </c>
      <c r="C78" s="16" t="str">
        <f ca="1">IFERROR(__xludf.DUMMYFUNCTION("""COMPUTED_VALUE"""),"F")</f>
        <v>F</v>
      </c>
      <c r="D78" s="17" t="str">
        <f ca="1">IFERROR(__xludf.DUMMYFUNCTION("""COMPUTED_VALUE"""),"Kessler, Liz")</f>
        <v>Kessler, Liz</v>
      </c>
      <c r="E78" s="18">
        <f ca="1">IFERROR(__xludf.DUMMYFUNCTION("""COMPUTED_VALUE"""),9780763690960)</f>
        <v>9780763690960</v>
      </c>
      <c r="F78" s="19"/>
      <c r="G78" s="19"/>
    </row>
    <row r="79" spans="1:7" ht="13.15">
      <c r="A79" s="16" t="str">
        <f ca="1">IFERROR(__xludf.DUMMYFUNCTION("""COMPUTED_VALUE"""),"5")</f>
        <v>5</v>
      </c>
      <c r="B79" s="17" t="str">
        <f ca="1">IFERROR(__xludf.DUMMYFUNCTION("""COMPUTED_VALUE"""),"Henry Aaron's Dream")</f>
        <v>Henry Aaron's Dream</v>
      </c>
      <c r="C79" s="16" t="str">
        <f ca="1">IFERROR(__xludf.DUMMYFUNCTION("""COMPUTED_VALUE"""),"N")</f>
        <v>N</v>
      </c>
      <c r="D79" s="17" t="str">
        <f ca="1">IFERROR(__xludf.DUMMYFUNCTION("""COMPUTED_VALUE"""),"Tavares, Matt")</f>
        <v>Tavares, Matt</v>
      </c>
      <c r="E79" s="18">
        <f ca="1">IFERROR(__xludf.DUMMYFUNCTION("""COMPUTED_VALUE"""),9780763676544)</f>
        <v>9780763676544</v>
      </c>
      <c r="F79" s="19"/>
      <c r="G79" s="19"/>
    </row>
    <row r="80" spans="1:7" ht="13.15">
      <c r="A80" s="16" t="str">
        <f ca="1">IFERROR(__xludf.DUMMYFUNCTION("""COMPUTED_VALUE"""),"5")</f>
        <v>5</v>
      </c>
      <c r="B80" s="17" t="str">
        <f ca="1">IFERROR(__xludf.DUMMYFUNCTION("""COMPUTED_VALUE"""),"Hero on a Bicycle")</f>
        <v>Hero on a Bicycle</v>
      </c>
      <c r="C80" s="16" t="str">
        <f ca="1">IFERROR(__xludf.DUMMYFUNCTION("""COMPUTED_VALUE"""),"F")</f>
        <v>F</v>
      </c>
      <c r="D80" s="17" t="str">
        <f ca="1">IFERROR(__xludf.DUMMYFUNCTION("""COMPUTED_VALUE"""),"Hughes, Shirley")</f>
        <v>Hughes, Shirley</v>
      </c>
      <c r="E80" s="18">
        <f ca="1">IFERROR(__xludf.DUMMYFUNCTION("""COMPUTED_VALUE"""),9780763697785)</f>
        <v>9780763697785</v>
      </c>
      <c r="F80" s="19"/>
      <c r="G80" s="19"/>
    </row>
    <row r="81" spans="1:7" ht="13.15">
      <c r="A81" s="16" t="str">
        <f ca="1">IFERROR(__xludf.DUMMYFUNCTION("""COMPUTED_VALUE"""),"5")</f>
        <v>5</v>
      </c>
      <c r="B81" s="17" t="str">
        <f ca="1">IFERROR(__xludf.DUMMYFUNCTION("""COMPUTED_VALUE"""),"The History of Money")</f>
        <v>The History of Money</v>
      </c>
      <c r="C81" s="16" t="str">
        <f ca="1">IFERROR(__xludf.DUMMYFUNCTION("""COMPUTED_VALUE"""),"N")</f>
        <v>N</v>
      </c>
      <c r="D81" s="17" t="str">
        <f ca="1">IFERROR(__xludf.DUMMYFUNCTION("""COMPUTED_VALUE"""),"Jenkins, Martin")</f>
        <v>Jenkins, Martin</v>
      </c>
      <c r="E81" s="18">
        <f ca="1">IFERROR(__xludf.DUMMYFUNCTION("""COMPUTED_VALUE"""),9780763679736)</f>
        <v>9780763679736</v>
      </c>
      <c r="F81" s="19"/>
      <c r="G81" s="19"/>
    </row>
    <row r="82" spans="1:7" ht="13.15">
      <c r="A82" s="16" t="str">
        <f ca="1">IFERROR(__xludf.DUMMYFUNCTION("""COMPUTED_VALUE"""),"5")</f>
        <v>5</v>
      </c>
      <c r="B82" s="17" t="str">
        <f ca="1">IFERROR(__xludf.DUMMYFUNCTION("""COMPUTED_VALUE"""),"Homework, Yes or No")</f>
        <v>Homework, Yes or No</v>
      </c>
      <c r="C82" s="16" t="str">
        <f ca="1">IFERROR(__xludf.DUMMYFUNCTION("""COMPUTED_VALUE"""),"N")</f>
        <v>N</v>
      </c>
      <c r="D82" s="17" t="str">
        <f ca="1">IFERROR(__xludf.DUMMYFUNCTION("""COMPUTED_VALUE"""),"Everett, Reese")</f>
        <v>Everett, Reese</v>
      </c>
      <c r="E82" s="18">
        <f ca="1">IFERROR(__xludf.DUMMYFUNCTION("""COMPUTED_VALUE"""),9781681914220)</f>
        <v>9781681914220</v>
      </c>
      <c r="F82" s="19"/>
      <c r="G82" s="19"/>
    </row>
    <row r="83" spans="1:7" ht="13.15">
      <c r="A83" s="16" t="str">
        <f ca="1">IFERROR(__xludf.DUMMYFUNCTION("""COMPUTED_VALUE"""),"5")</f>
        <v>5</v>
      </c>
      <c r="B83" s="17" t="str">
        <f ca="1">IFERROR(__xludf.DUMMYFUNCTION("""COMPUTED_VALUE"""),"How Effective Is Recycling?")</f>
        <v>How Effective Is Recycling?</v>
      </c>
      <c r="C83" s="16" t="str">
        <f ca="1">IFERROR(__xludf.DUMMYFUNCTION("""COMPUTED_VALUE"""),"N")</f>
        <v>N</v>
      </c>
      <c r="D83" s="17" t="str">
        <f ca="1">IFERROR(__xludf.DUMMYFUNCTION("""COMPUTED_VALUE"""),"Chambers, Catherine")</f>
        <v>Chambers, Catherine</v>
      </c>
      <c r="E83" s="18">
        <f ca="1">IFERROR(__xludf.DUMMYFUNCTION("""COMPUTED_VALUE"""),9781484610015)</f>
        <v>9781484610015</v>
      </c>
      <c r="F83" s="19"/>
      <c r="G83" s="19"/>
    </row>
    <row r="84" spans="1:7" ht="13.15">
      <c r="A84" s="16" t="str">
        <f ca="1">IFERROR(__xludf.DUMMYFUNCTION("""COMPUTED_VALUE"""),"5")</f>
        <v>5</v>
      </c>
      <c r="B84" s="17" t="str">
        <f ca="1">IFERROR(__xludf.DUMMYFUNCTION("""COMPUTED_VALUE"""),"I Am Not Joey Pigza")</f>
        <v>I Am Not Joey Pigza</v>
      </c>
      <c r="C84" s="16" t="str">
        <f ca="1">IFERROR(__xludf.DUMMYFUNCTION("""COMPUTED_VALUE"""),"F")</f>
        <v>F</v>
      </c>
      <c r="D84" s="17" t="str">
        <f ca="1">IFERROR(__xludf.DUMMYFUNCTION("""COMPUTED_VALUE"""),"Gantos, Jack")</f>
        <v>Gantos, Jack</v>
      </c>
      <c r="E84" s="18">
        <f ca="1">IFERROR(__xludf.DUMMYFUNCTION("""COMPUTED_VALUE"""),9781250061669)</f>
        <v>9781250061669</v>
      </c>
      <c r="F84" s="19"/>
      <c r="G84" s="19"/>
    </row>
    <row r="85" spans="1:7" ht="13.15">
      <c r="A85" s="16" t="str">
        <f ca="1">IFERROR(__xludf.DUMMYFUNCTION("""COMPUTED_VALUE"""),"5")</f>
        <v>5</v>
      </c>
      <c r="B85" s="17" t="str">
        <f ca="1">IFERROR(__xludf.DUMMYFUNCTION("""COMPUTED_VALUE"""),"I Wonder Why Romans Wore Togas")</f>
        <v>I Wonder Why Romans Wore Togas</v>
      </c>
      <c r="C85" s="16" t="str">
        <f ca="1">IFERROR(__xludf.DUMMYFUNCTION("""COMPUTED_VALUE"""),"N")</f>
        <v>N</v>
      </c>
      <c r="D85" s="17" t="str">
        <f ca="1">IFERROR(__xludf.DUMMYFUNCTION("""COMPUTED_VALUE"""),"Macdonald, Fiona")</f>
        <v>Macdonald, Fiona</v>
      </c>
      <c r="E85" s="18">
        <f ca="1">IFERROR(__xludf.DUMMYFUNCTION("""COMPUTED_VALUE"""),9780753467954)</f>
        <v>9780753467954</v>
      </c>
      <c r="F85" s="19"/>
      <c r="G85" s="19"/>
    </row>
    <row r="86" spans="1:7" ht="13.15">
      <c r="A86" s="16" t="str">
        <f ca="1">IFERROR(__xludf.DUMMYFUNCTION("""COMPUTED_VALUE"""),"5")</f>
        <v>5</v>
      </c>
      <c r="B86" s="17" t="str">
        <f ca="1">IFERROR(__xludf.DUMMYFUNCTION("""COMPUTED_VALUE"""),"Immigrant Kids")</f>
        <v>Immigrant Kids</v>
      </c>
      <c r="C86" s="16" t="str">
        <f ca="1">IFERROR(__xludf.DUMMYFUNCTION("""COMPUTED_VALUE"""),"N")</f>
        <v>N</v>
      </c>
      <c r="D86" s="17" t="str">
        <f ca="1">IFERROR(__xludf.DUMMYFUNCTION("""COMPUTED_VALUE"""),"Freedman, Russell")</f>
        <v>Freedman, Russell</v>
      </c>
      <c r="E86" s="18">
        <f ca="1">IFERROR(__xludf.DUMMYFUNCTION("""COMPUTED_VALUE"""),9780140375947)</f>
        <v>9780140375947</v>
      </c>
      <c r="F86" s="19"/>
      <c r="G86" s="19"/>
    </row>
    <row r="87" spans="1:7" ht="13.15">
      <c r="A87" s="16" t="str">
        <f ca="1">IFERROR(__xludf.DUMMYFUNCTION("""COMPUTED_VALUE"""),"5")</f>
        <v>5</v>
      </c>
      <c r="B87" s="17" t="str">
        <f ca="1">IFERROR(__xludf.DUMMYFUNCTION("""COMPUTED_VALUE"""),"In Disguise! Undercover with Real Women Spies")</f>
        <v>In Disguise! Undercover with Real Women Spies</v>
      </c>
      <c r="C87" s="16" t="str">
        <f ca="1">IFERROR(__xludf.DUMMYFUNCTION("""COMPUTED_VALUE"""),"N")</f>
        <v>N</v>
      </c>
      <c r="D87" s="17" t="str">
        <f ca="1">IFERROR(__xludf.DUMMYFUNCTION("""COMPUTED_VALUE"""),"Hunter, Ryan Ann")</f>
        <v>Hunter, Ryan Ann</v>
      </c>
      <c r="E87" s="18">
        <f ca="1">IFERROR(__xludf.DUMMYFUNCTION("""COMPUTED_VALUE"""),9781582703824)</f>
        <v>9781582703824</v>
      </c>
      <c r="F87" s="19"/>
      <c r="G87" s="19"/>
    </row>
    <row r="88" spans="1:7" ht="13.15">
      <c r="A88" s="16" t="str">
        <f ca="1">IFERROR(__xludf.DUMMYFUNCTION("""COMPUTED_VALUE"""),"5")</f>
        <v>5</v>
      </c>
      <c r="B88" s="17" t="str">
        <f ca="1">IFERROR(__xludf.DUMMYFUNCTION("""COMPUTED_VALUE"""),"Incredible African-American Jazz Musicians")</f>
        <v>Incredible African-American Jazz Musicians</v>
      </c>
      <c r="C88" s="16" t="str">
        <f ca="1">IFERROR(__xludf.DUMMYFUNCTION("""COMPUTED_VALUE"""),"N")</f>
        <v>N</v>
      </c>
      <c r="D88" s="17" t="str">
        <f ca="1">IFERROR(__xludf.DUMMYFUNCTION("""COMPUTED_VALUE"""),"Feinstein, Stephen")</f>
        <v>Feinstein, Stephen</v>
      </c>
      <c r="E88" s="18">
        <f ca="1">IFERROR(__xludf.DUMMYFUNCTION("""COMPUTED_VALUE"""),9781464400360)</f>
        <v>9781464400360</v>
      </c>
      <c r="F88" s="19"/>
      <c r="G88" s="19"/>
    </row>
    <row r="89" spans="1:7" ht="26.45">
      <c r="A89" s="16" t="str">
        <f ca="1">IFERROR(__xludf.DUMMYFUNCTION("""COMPUTED_VALUE"""),"5")</f>
        <v>5</v>
      </c>
      <c r="B89" s="17" t="str">
        <f ca="1">IFERROR(__xludf.DUMMYFUNCTION("""COMPUTED_VALUE"""),"Into the Unknown: How Great Explorers Found Their Way by Land, Sea and Air")</f>
        <v>Into the Unknown: How Great Explorers Found Their Way by Land, Sea and Air</v>
      </c>
      <c r="C89" s="16" t="str">
        <f ca="1">IFERROR(__xludf.DUMMYFUNCTION("""COMPUTED_VALUE"""),"N")</f>
        <v>N</v>
      </c>
      <c r="D89" s="17" t="str">
        <f ca="1">IFERROR(__xludf.DUMMYFUNCTION("""COMPUTED_VALUE"""),"Ross, Stewart")</f>
        <v>Ross, Stewart</v>
      </c>
      <c r="E89" s="18">
        <f ca="1">IFERROR(__xludf.DUMMYFUNCTION("""COMPUTED_VALUE"""),9780763669928)</f>
        <v>9780763669928</v>
      </c>
      <c r="F89" s="19"/>
      <c r="G89" s="19"/>
    </row>
    <row r="90" spans="1:7" ht="13.15">
      <c r="A90" s="16" t="str">
        <f ca="1">IFERROR(__xludf.DUMMYFUNCTION("""COMPUTED_VALUE"""),"5")</f>
        <v>5</v>
      </c>
      <c r="B90" s="17" t="str">
        <f ca="1">IFERROR(__xludf.DUMMYFUNCTION("""COMPUTED_VALUE"""),"Inventing the Electric Light")</f>
        <v>Inventing the Electric Light</v>
      </c>
      <c r="C90" s="16" t="str">
        <f ca="1">IFERROR(__xludf.DUMMYFUNCTION("""COMPUTED_VALUE"""),"N")</f>
        <v>N</v>
      </c>
      <c r="D90" s="17" t="str">
        <f ca="1">IFERROR(__xludf.DUMMYFUNCTION("""COMPUTED_VALUE"""),"Mullins, Lisa")</f>
        <v>Mullins, Lisa</v>
      </c>
      <c r="E90" s="18">
        <f ca="1">IFERROR(__xludf.DUMMYFUNCTION("""COMPUTED_VALUE"""),9780778728405)</f>
        <v>9780778728405</v>
      </c>
      <c r="F90" s="19"/>
      <c r="G90" s="19"/>
    </row>
    <row r="91" spans="1:7" ht="13.15">
      <c r="A91" s="16" t="str">
        <f ca="1">IFERROR(__xludf.DUMMYFUNCTION("""COMPUTED_VALUE"""),"5")</f>
        <v>5</v>
      </c>
      <c r="B91" s="17" t="str">
        <f ca="1">IFERROR(__xludf.DUMMYFUNCTION("""COMPUTED_VALUE"""),"Island Book 1: Shipwreck")</f>
        <v>Island Book 1: Shipwreck</v>
      </c>
      <c r="C91" s="16" t="str">
        <f ca="1">IFERROR(__xludf.DUMMYFUNCTION("""COMPUTED_VALUE"""),"F")</f>
        <v>F</v>
      </c>
      <c r="D91" s="17" t="str">
        <f ca="1">IFERROR(__xludf.DUMMYFUNCTION("""COMPUTED_VALUE"""),"Korman, Gordon")</f>
        <v>Korman, Gordon</v>
      </c>
      <c r="E91" s="18">
        <f ca="1">IFERROR(__xludf.DUMMYFUNCTION("""COMPUTED_VALUE"""),9780439164566)</f>
        <v>9780439164566</v>
      </c>
      <c r="F91" s="19"/>
      <c r="G91" s="19"/>
    </row>
    <row r="92" spans="1:7" ht="13.15">
      <c r="A92" s="16" t="str">
        <f ca="1">IFERROR(__xludf.DUMMYFUNCTION("""COMPUTED_VALUE"""),"5")</f>
        <v>5</v>
      </c>
      <c r="B92" s="17" t="str">
        <f ca="1">IFERROR(__xludf.DUMMYFUNCTION("""COMPUTED_VALUE"""),"Island Book 2: Survival")</f>
        <v>Island Book 2: Survival</v>
      </c>
      <c r="C92" s="16" t="str">
        <f ca="1">IFERROR(__xludf.DUMMYFUNCTION("""COMPUTED_VALUE"""),"F")</f>
        <v>F</v>
      </c>
      <c r="D92" s="17" t="str">
        <f ca="1">IFERROR(__xludf.DUMMYFUNCTION("""COMPUTED_VALUE"""),"Korman, Gordon")</f>
        <v>Korman, Gordon</v>
      </c>
      <c r="E92" s="18">
        <f ca="1">IFERROR(__xludf.DUMMYFUNCTION("""COMPUTED_VALUE"""),9780439164573)</f>
        <v>9780439164573</v>
      </c>
      <c r="F92" s="19"/>
      <c r="G92" s="19"/>
    </row>
    <row r="93" spans="1:7" ht="13.15">
      <c r="A93" s="16" t="str">
        <f ca="1">IFERROR(__xludf.DUMMYFUNCTION("""COMPUTED_VALUE"""),"5")</f>
        <v>5</v>
      </c>
      <c r="B93" s="17" t="str">
        <f ca="1">IFERROR(__xludf.DUMMYFUNCTION("""COMPUTED_VALUE"""),"Island Book 3: Escape")</f>
        <v>Island Book 3: Escape</v>
      </c>
      <c r="C93" s="16" t="str">
        <f ca="1">IFERROR(__xludf.DUMMYFUNCTION("""COMPUTED_VALUE"""),"F")</f>
        <v>F</v>
      </c>
      <c r="D93" s="17" t="str">
        <f ca="1">IFERROR(__xludf.DUMMYFUNCTION("""COMPUTED_VALUE"""),"Korman, Gordon")</f>
        <v>Korman, Gordon</v>
      </c>
      <c r="E93" s="18">
        <f ca="1">IFERROR(__xludf.DUMMYFUNCTION("""COMPUTED_VALUE"""),9780439164528)</f>
        <v>9780439164528</v>
      </c>
      <c r="F93" s="19"/>
      <c r="G93" s="19"/>
    </row>
    <row r="94" spans="1:7" ht="26.45">
      <c r="A94" s="16" t="str">
        <f ca="1">IFERROR(__xludf.DUMMYFUNCTION("""COMPUTED_VALUE"""),"5")</f>
        <v>5</v>
      </c>
      <c r="B94" s="17" t="str">
        <f ca="1">IFERROR(__xludf.DUMMYFUNCTION("""COMPUTED_VALUE"""),"It's Cool to Learn About Countries: Democratic Republic of Congo")</f>
        <v>It's Cool to Learn About Countries: Democratic Republic of Congo</v>
      </c>
      <c r="C94" s="16" t="str">
        <f ca="1">IFERROR(__xludf.DUMMYFUNCTION("""COMPUTED_VALUE"""),"N")</f>
        <v>N</v>
      </c>
      <c r="D94" s="17" t="str">
        <f ca="1">IFERROR(__xludf.DUMMYFUNCTION("""COMPUTED_VALUE"""),"Prentzas, G. Scott")</f>
        <v>Prentzas, G. Scott</v>
      </c>
      <c r="E94" s="18">
        <f ca="1">IFERROR(__xludf.DUMMYFUNCTION("""COMPUTED_VALUE"""),9781610806176)</f>
        <v>9781610806176</v>
      </c>
      <c r="F94" s="19"/>
      <c r="G94" s="19"/>
    </row>
    <row r="95" spans="1:7" ht="13.15">
      <c r="A95" s="16" t="str">
        <f ca="1">IFERROR(__xludf.DUMMYFUNCTION("""COMPUTED_VALUE"""),"5")</f>
        <v>5</v>
      </c>
      <c r="B95" s="17" t="str">
        <f ca="1">IFERROR(__xludf.DUMMYFUNCTION("""COMPUTED_VALUE"""),"Jack's New Power: Stories from a Caribbean Year")</f>
        <v>Jack's New Power: Stories from a Caribbean Year</v>
      </c>
      <c r="C95" s="16" t="str">
        <f ca="1">IFERROR(__xludf.DUMMYFUNCTION("""COMPUTED_VALUE"""),"F")</f>
        <v>F</v>
      </c>
      <c r="D95" s="17" t="str">
        <f ca="1">IFERROR(__xludf.DUMMYFUNCTION("""COMPUTED_VALUE"""),"Gantos, Jack")</f>
        <v>Gantos, Jack</v>
      </c>
      <c r="E95" s="18">
        <f ca="1">IFERROR(__xludf.DUMMYFUNCTION("""COMPUTED_VALUE"""),9780374437152)</f>
        <v>9780374437152</v>
      </c>
      <c r="F95" s="19"/>
      <c r="G95" s="19"/>
    </row>
    <row r="96" spans="1:7" ht="13.15">
      <c r="A96" s="16" t="str">
        <f ca="1">IFERROR(__xludf.DUMMYFUNCTION("""COMPUTED_VALUE"""),"5")</f>
        <v>5</v>
      </c>
      <c r="B96" s="17" t="str">
        <f ca="1">IFERROR(__xludf.DUMMYFUNCTION("""COMPUTED_VALUE"""),"Jacques Cousteau: Conserving Underwater Worlds")</f>
        <v>Jacques Cousteau: Conserving Underwater Worlds</v>
      </c>
      <c r="C96" s="16" t="str">
        <f ca="1">IFERROR(__xludf.DUMMYFUNCTION("""COMPUTED_VALUE"""),"N")</f>
        <v>N</v>
      </c>
      <c r="D96" s="17" t="str">
        <f ca="1">IFERROR(__xludf.DUMMYFUNCTION("""COMPUTED_VALUE"""),"Zronik, John")</f>
        <v>Zronik, John</v>
      </c>
      <c r="E96" s="18">
        <f ca="1">IFERROR(__xludf.DUMMYFUNCTION("""COMPUTED_VALUE"""),9780778724551)</f>
        <v>9780778724551</v>
      </c>
      <c r="F96" s="19"/>
      <c r="G96" s="19"/>
    </row>
    <row r="97" spans="1:7" ht="13.15">
      <c r="A97" s="16" t="str">
        <f ca="1">IFERROR(__xludf.DUMMYFUNCTION("""COMPUTED_VALUE"""),"5")</f>
        <v>5</v>
      </c>
      <c r="B97" s="17" t="str">
        <f ca="1">IFERROR(__xludf.DUMMYFUNCTION("""COMPUTED_VALUE"""),"Julius Zebra Battle with the Britons!")</f>
        <v>Julius Zebra Battle with the Britons!</v>
      </c>
      <c r="C97" s="16" t="str">
        <f ca="1">IFERROR(__xludf.DUMMYFUNCTION("""COMPUTED_VALUE"""),"F")</f>
        <v>F</v>
      </c>
      <c r="D97" s="17" t="str">
        <f ca="1">IFERROR(__xludf.DUMMYFUNCTION("""COMPUTED_VALUE"""),"Northfield, Gary")</f>
        <v>Northfield, Gary</v>
      </c>
      <c r="E97" s="18">
        <f ca="1">IFERROR(__xludf.DUMMYFUNCTION("""COMPUTED_VALUE"""),9781536206364)</f>
        <v>9781536206364</v>
      </c>
      <c r="F97" s="19"/>
      <c r="G97" s="19"/>
    </row>
    <row r="98" spans="1:7" ht="13.15">
      <c r="A98" s="16" t="str">
        <f ca="1">IFERROR(__xludf.DUMMYFUNCTION("""COMPUTED_VALUE"""),"5")</f>
        <v>5</v>
      </c>
      <c r="B98" s="17" t="str">
        <f ca="1">IFERROR(__xludf.DUMMYFUNCTION("""COMPUTED_VALUE"""),"Julius Zebra Rumble with the Romans")</f>
        <v>Julius Zebra Rumble with the Romans</v>
      </c>
      <c r="C98" s="16" t="str">
        <f ca="1">IFERROR(__xludf.DUMMYFUNCTION("""COMPUTED_VALUE"""),"F")</f>
        <v>F</v>
      </c>
      <c r="D98" s="17" t="str">
        <f ca="1">IFERROR(__xludf.DUMMYFUNCTION("""COMPUTED_VALUE"""),"Northfield, Gary")</f>
        <v>Northfield, Gary</v>
      </c>
      <c r="E98" s="18">
        <f ca="1">IFERROR(__xludf.DUMMYFUNCTION("""COMPUTED_VALUE"""),9780763698461)</f>
        <v>9780763698461</v>
      </c>
      <c r="F98" s="19"/>
      <c r="G98" s="19"/>
    </row>
    <row r="99" spans="1:7" ht="26.45">
      <c r="A99" s="16" t="str">
        <f ca="1">IFERROR(__xludf.DUMMYFUNCTION("""COMPUTED_VALUE"""),"5")</f>
        <v>5</v>
      </c>
      <c r="B99" s="17" t="str">
        <f ca="1">IFERROR(__xludf.DUMMYFUNCTION("""COMPUTED_VALUE"""),"Jump Shot")</f>
        <v>Jump Shot</v>
      </c>
      <c r="C99" s="16" t="str">
        <f ca="1">IFERROR(__xludf.DUMMYFUNCTION("""COMPUTED_VALUE"""),"F")</f>
        <v>F</v>
      </c>
      <c r="D99" s="17" t="str">
        <f ca="1">IFERROR(__xludf.DUMMYFUNCTION("""COMPUTED_VALUE"""),"Barber, Tiki &amp; Ronde with Paul Mantell")</f>
        <v>Barber, Tiki &amp; Ronde with Paul Mantell</v>
      </c>
      <c r="E99" s="18">
        <f ca="1">IFERROR(__xludf.DUMMYFUNCTION("""COMPUTED_VALUE"""),9781442457300)</f>
        <v>9781442457300</v>
      </c>
      <c r="F99" s="19"/>
      <c r="G99" s="19"/>
    </row>
    <row r="100" spans="1:7" ht="13.15">
      <c r="A100" s="16" t="str">
        <f ca="1">IFERROR(__xludf.DUMMYFUNCTION("""COMPUTED_VALUE"""),"5")</f>
        <v>5</v>
      </c>
      <c r="B100" s="17" t="str">
        <f ca="1">IFERROR(__xludf.DUMMYFUNCTION("""COMPUTED_VALUE"""),"Keeping Score")</f>
        <v>Keeping Score</v>
      </c>
      <c r="C100" s="16" t="str">
        <f ca="1">IFERROR(__xludf.DUMMYFUNCTION("""COMPUTED_VALUE"""),"F")</f>
        <v>F</v>
      </c>
      <c r="D100" s="17" t="str">
        <f ca="1">IFERROR(__xludf.DUMMYFUNCTION("""COMPUTED_VALUE"""),"Park, Linda Sue")</f>
        <v>Park, Linda Sue</v>
      </c>
      <c r="E100" s="18">
        <f ca="1">IFERROR(__xludf.DUMMYFUNCTION("""COMPUTED_VALUE"""),9780547248974)</f>
        <v>9780547248974</v>
      </c>
      <c r="F100" s="19"/>
      <c r="G100" s="19"/>
    </row>
    <row r="101" spans="1:7" ht="13.15">
      <c r="A101" s="16" t="str">
        <f ca="1">IFERROR(__xludf.DUMMYFUNCTION("""COMPUTED_VALUE"""),"5")</f>
        <v>5</v>
      </c>
      <c r="B101" s="17" t="str">
        <f ca="1">IFERROR(__xludf.DUMMYFUNCTION("""COMPUTED_VALUE"""),"Kids Who Are Changing the World")</f>
        <v>Kids Who Are Changing the World</v>
      </c>
      <c r="C101" s="16" t="str">
        <f ca="1">IFERROR(__xludf.DUMMYFUNCTION("""COMPUTED_VALUE"""),"N")</f>
        <v>N</v>
      </c>
      <c r="D101" s="17" t="str">
        <f ca="1">IFERROR(__xludf.DUMMYFUNCTION("""COMPUTED_VALUE"""),"Jankeliowitch, Anne")</f>
        <v>Jankeliowitch, Anne</v>
      </c>
      <c r="E101" s="18">
        <f ca="1">IFERROR(__xludf.DUMMYFUNCTION("""COMPUTED_VALUE"""),9781402295324)</f>
        <v>9781402295324</v>
      </c>
      <c r="F101" s="19"/>
      <c r="G101" s="19"/>
    </row>
    <row r="102" spans="1:7" ht="13.15">
      <c r="A102" s="16" t="str">
        <f ca="1">IFERROR(__xludf.DUMMYFUNCTION("""COMPUTED_VALUE"""),"5")</f>
        <v>5</v>
      </c>
      <c r="B102" s="17" t="str">
        <f ca="1">IFERROR(__xludf.DUMMYFUNCTION("""COMPUTED_VALUE"""),"Liar! The True Story of David Mortimore Baxter")</f>
        <v>Liar! The True Story of David Mortimore Baxter</v>
      </c>
      <c r="C102" s="16" t="str">
        <f ca="1">IFERROR(__xludf.DUMMYFUNCTION("""COMPUTED_VALUE"""),"F")</f>
        <v>F</v>
      </c>
      <c r="D102" s="17" t="str">
        <f ca="1">IFERROR(__xludf.DUMMYFUNCTION("""COMPUTED_VALUE"""),"Tayleur, Karen")</f>
        <v>Tayleur, Karen</v>
      </c>
      <c r="E102" s="18">
        <f ca="1">IFERROR(__xludf.DUMMYFUNCTION("""COMPUTED_VALUE"""),9781598892062)</f>
        <v>9781598892062</v>
      </c>
      <c r="F102" s="19"/>
      <c r="G102" s="19"/>
    </row>
    <row r="103" spans="1:7" ht="13.15">
      <c r="A103" s="16" t="str">
        <f ca="1">IFERROR(__xludf.DUMMYFUNCTION("""COMPUTED_VALUE"""),"5")</f>
        <v>5</v>
      </c>
      <c r="B103" s="17" t="str">
        <f ca="1">IFERROR(__xludf.DUMMYFUNCTION("""COMPUTED_VALUE"""),"Life in a Castle")</f>
        <v>Life in a Castle</v>
      </c>
      <c r="C103" s="16" t="str">
        <f ca="1">IFERROR(__xludf.DUMMYFUNCTION("""COMPUTED_VALUE"""),"N")</f>
        <v>N</v>
      </c>
      <c r="D103" s="17" t="str">
        <f ca="1">IFERROR(__xludf.DUMMYFUNCTION("""COMPUTED_VALUE"""),"Eastwood, Kay")</f>
        <v>Eastwood, Kay</v>
      </c>
      <c r="E103" s="18">
        <f ca="1">IFERROR(__xludf.DUMMYFUNCTION("""COMPUTED_VALUE"""),9780778713753)</f>
        <v>9780778713753</v>
      </c>
      <c r="F103" s="19"/>
      <c r="G103" s="19"/>
    </row>
    <row r="104" spans="1:7" ht="13.15">
      <c r="A104" s="16" t="str">
        <f ca="1">IFERROR(__xludf.DUMMYFUNCTION("""COMPUTED_VALUE"""),"5")</f>
        <v>5</v>
      </c>
      <c r="B104" s="17" t="str">
        <f ca="1">IFERROR(__xludf.DUMMYFUNCTION("""COMPUTED_VALUE"""),"The Life of a Knight")</f>
        <v>The Life of a Knight</v>
      </c>
      <c r="C104" s="16" t="str">
        <f ca="1">IFERROR(__xludf.DUMMYFUNCTION("""COMPUTED_VALUE"""),"N")</f>
        <v>N</v>
      </c>
      <c r="D104" s="17" t="str">
        <f ca="1">IFERROR(__xludf.DUMMYFUNCTION("""COMPUTED_VALUE"""),"Eastwood, Kay")</f>
        <v>Eastwood, Kay</v>
      </c>
      <c r="E104" s="18">
        <f ca="1">IFERROR(__xludf.DUMMYFUNCTION("""COMPUTED_VALUE"""),9780778713746)</f>
        <v>9780778713746</v>
      </c>
      <c r="F104" s="19"/>
      <c r="G104" s="19"/>
    </row>
    <row r="105" spans="1:7" ht="26.45">
      <c r="A105" s="16" t="str">
        <f ca="1">IFERROR(__xludf.DUMMYFUNCTION("""COMPUTED_VALUE"""),"5")</f>
        <v>5</v>
      </c>
      <c r="B105" s="17" t="str">
        <f ca="1">IFERROR(__xludf.DUMMYFUNCTION("""COMPUTED_VALUE"""),"Life of the Powhatan")</f>
        <v>Life of the Powhatan</v>
      </c>
      <c r="C105" s="16" t="str">
        <f ca="1">IFERROR(__xludf.DUMMYFUNCTION("""COMPUTED_VALUE"""),"N")</f>
        <v>N</v>
      </c>
      <c r="D105" s="17" t="str">
        <f ca="1">IFERROR(__xludf.DUMMYFUNCTION("""COMPUTED_VALUE"""),"Sjonger, Rebecca &amp; Bobbie Kalma")</f>
        <v>Sjonger, Rebecca &amp; Bobbie Kalma</v>
      </c>
      <c r="E105" s="18">
        <f ca="1">IFERROR(__xludf.DUMMYFUNCTION("""COMPUTED_VALUE"""),9780778704720)</f>
        <v>9780778704720</v>
      </c>
      <c r="F105" s="19"/>
      <c r="G105" s="19"/>
    </row>
    <row r="106" spans="1:7" ht="13.15">
      <c r="A106" s="16" t="str">
        <f ca="1">IFERROR(__xludf.DUMMYFUNCTION("""COMPUTED_VALUE"""),"5")</f>
        <v>5</v>
      </c>
      <c r="B106" s="17" t="str">
        <f ca="1">IFERROR(__xludf.DUMMYFUNCTION("""COMPUTED_VALUE"""),"Lives of the Artists")</f>
        <v>Lives of the Artists</v>
      </c>
      <c r="C106" s="16" t="str">
        <f ca="1">IFERROR(__xludf.DUMMYFUNCTION("""COMPUTED_VALUE"""),"N")</f>
        <v>N</v>
      </c>
      <c r="D106" s="17" t="str">
        <f ca="1">IFERROR(__xludf.DUMMYFUNCTION("""COMPUTED_VALUE"""),"Krull, Kathleen")</f>
        <v>Krull, Kathleen</v>
      </c>
      <c r="E106" s="18">
        <f ca="1">IFERROR(__xludf.DUMMYFUNCTION("""COMPUTED_VALUE"""),9780544252233)</f>
        <v>9780544252233</v>
      </c>
      <c r="F106" s="19"/>
      <c r="G106" s="19"/>
    </row>
    <row r="107" spans="1:7" ht="13.15">
      <c r="A107" s="16" t="str">
        <f ca="1">IFERROR(__xludf.DUMMYFUNCTION("""COMPUTED_VALUE"""),"5")</f>
        <v>5</v>
      </c>
      <c r="B107" s="17" t="str">
        <f ca="1">IFERROR(__xludf.DUMMYFUNCTION("""COMPUTED_VALUE"""),"Look Into My Eyes")</f>
        <v>Look Into My Eyes</v>
      </c>
      <c r="C107" s="16" t="str">
        <f ca="1">IFERROR(__xludf.DUMMYFUNCTION("""COMPUTED_VALUE"""),"F")</f>
        <v>F</v>
      </c>
      <c r="D107" s="17" t="str">
        <f ca="1">IFERROR(__xludf.DUMMYFUNCTION("""COMPUTED_VALUE"""),"Child, Lauren")</f>
        <v>Child, Lauren</v>
      </c>
      <c r="E107" s="18">
        <f ca="1">IFERROR(__xludf.DUMMYFUNCTION("""COMPUTED_VALUE"""),9780763662578)</f>
        <v>9780763662578</v>
      </c>
      <c r="F107" s="19"/>
      <c r="G107" s="19"/>
    </row>
    <row r="108" spans="1:7" ht="13.15">
      <c r="A108" s="16" t="str">
        <f ca="1">IFERROR(__xludf.DUMMYFUNCTION("""COMPUTED_VALUE"""),"5")</f>
        <v>5</v>
      </c>
      <c r="B108" s="17" t="str">
        <f ca="1">IFERROR(__xludf.DUMMYFUNCTION("""COMPUTED_VALUE"""),"Look Up!: Bird-Watching in Your Own Backyard")</f>
        <v>Look Up!: Bird-Watching in Your Own Backyard</v>
      </c>
      <c r="C108" s="16" t="str">
        <f ca="1">IFERROR(__xludf.DUMMYFUNCTION("""COMPUTED_VALUE"""),"N")</f>
        <v>N</v>
      </c>
      <c r="D108" s="17" t="str">
        <f ca="1">IFERROR(__xludf.DUMMYFUNCTION("""COMPUTED_VALUE"""),"Cate, Annette LeBlanc")</f>
        <v>Cate, Annette LeBlanc</v>
      </c>
      <c r="E108" s="18">
        <f ca="1">IFERROR(__xludf.DUMMYFUNCTION("""COMPUTED_VALUE"""),9780763693008)</f>
        <v>9780763693008</v>
      </c>
      <c r="F108" s="19"/>
      <c r="G108" s="19"/>
    </row>
    <row r="109" spans="1:7" ht="13.15">
      <c r="A109" s="16" t="str">
        <f ca="1">IFERROR(__xludf.DUMMYFUNCTION("""COMPUTED_VALUE"""),"5")</f>
        <v>5</v>
      </c>
      <c r="B109" s="17" t="str">
        <f ca="1">IFERROR(__xludf.DUMMYFUNCTION("""COMPUTED_VALUE"""),"Love of the Game")</f>
        <v>Love of the Game</v>
      </c>
      <c r="C109" s="16" t="str">
        <f ca="1">IFERROR(__xludf.DUMMYFUNCTION("""COMPUTED_VALUE"""),"F")</f>
        <v>F</v>
      </c>
      <c r="D109" s="17" t="str">
        <f ca="1">IFERROR(__xludf.DUMMYFUNCTION("""COMPUTED_VALUE"""),"Coy, John")</f>
        <v>Coy, John</v>
      </c>
      <c r="E109" s="18">
        <f ca="1">IFERROR(__xludf.DUMMYFUNCTION("""COMPUTED_VALUE"""),9781250006370)</f>
        <v>9781250006370</v>
      </c>
      <c r="F109" s="19"/>
      <c r="G109" s="19"/>
    </row>
    <row r="110" spans="1:7" ht="13.15">
      <c r="A110" s="16" t="str">
        <f ca="1">IFERROR(__xludf.DUMMYFUNCTION("""COMPUTED_VALUE"""),"5")</f>
        <v>5</v>
      </c>
      <c r="B110" s="17" t="str">
        <f ca="1">IFERROR(__xludf.DUMMYFUNCTION("""COMPUTED_VALUE"""),"The Luck of the Buttons")</f>
        <v>The Luck of the Buttons</v>
      </c>
      <c r="C110" s="16" t="str">
        <f ca="1">IFERROR(__xludf.DUMMYFUNCTION("""COMPUTED_VALUE"""),"F")</f>
        <v>F</v>
      </c>
      <c r="D110" s="17" t="str">
        <f ca="1">IFERROR(__xludf.DUMMYFUNCTION("""COMPUTED_VALUE"""),"Ylvisaker, Anne")</f>
        <v>Ylvisaker, Anne</v>
      </c>
      <c r="E110" s="18">
        <f ca="1">IFERROR(__xludf.DUMMYFUNCTION("""COMPUTED_VALUE"""),9780763660611)</f>
        <v>9780763660611</v>
      </c>
      <c r="F110" s="19"/>
      <c r="G110" s="19"/>
    </row>
    <row r="111" spans="1:7" ht="26.45">
      <c r="A111" s="16" t="str">
        <f ca="1">IFERROR(__xludf.DUMMYFUNCTION("""COMPUTED_VALUE"""),"5")</f>
        <v>5</v>
      </c>
      <c r="B111" s="17" t="str">
        <f ca="1">IFERROR(__xludf.DUMMYFUNCTION("""COMPUTED_VALUE"""),"Mad Scientists: The Not-So-Crazy Work of Amazing Scientists")</f>
        <v>Mad Scientists: The Not-So-Crazy Work of Amazing Scientists</v>
      </c>
      <c r="C111" s="16" t="str">
        <f ca="1">IFERROR(__xludf.DUMMYFUNCTION("""COMPUTED_VALUE"""),"N")</f>
        <v>N</v>
      </c>
      <c r="D111" s="17" t="str">
        <f ca="1">IFERROR(__xludf.DUMMYFUNCTION("""COMPUTED_VALUE"""),"Lee, Sally")</f>
        <v>Lee, Sally</v>
      </c>
      <c r="E111" s="18">
        <f ca="1">IFERROR(__xludf.DUMMYFUNCTION("""COMPUTED_VALUE"""),9781476551265)</f>
        <v>9781476551265</v>
      </c>
      <c r="F111" s="19"/>
      <c r="G111" s="19"/>
    </row>
    <row r="112" spans="1:7" ht="13.15">
      <c r="A112" s="16" t="str">
        <f ca="1">IFERROR(__xludf.DUMMYFUNCTION("""COMPUTED_VALUE"""),"5")</f>
        <v>5</v>
      </c>
      <c r="B112" s="17" t="str">
        <f ca="1">IFERROR(__xludf.DUMMYFUNCTION("""COMPUTED_VALUE"""),"The Magic Misfits")</f>
        <v>The Magic Misfits</v>
      </c>
      <c r="C112" s="16" t="str">
        <f ca="1">IFERROR(__xludf.DUMMYFUNCTION("""COMPUTED_VALUE"""),"F")</f>
        <v>F</v>
      </c>
      <c r="D112" s="17" t="str">
        <f ca="1">IFERROR(__xludf.DUMMYFUNCTION("""COMPUTED_VALUE"""),"Harris, Neil Patrick")</f>
        <v>Harris, Neil Patrick</v>
      </c>
      <c r="E112" s="18">
        <f ca="1">IFERROR(__xludf.DUMMYFUNCTION("""COMPUTED_VALUE"""),9780316355575)</f>
        <v>9780316355575</v>
      </c>
      <c r="F112" s="19"/>
      <c r="G112" s="19"/>
    </row>
    <row r="113" spans="1:7" ht="13.15">
      <c r="A113" s="16" t="str">
        <f ca="1">IFERROR(__xludf.DUMMYFUNCTION("""COMPUTED_VALUE"""),"5")</f>
        <v>5</v>
      </c>
      <c r="B113" s="17" t="str">
        <f ca="1">IFERROR(__xludf.DUMMYFUNCTION("""COMPUTED_VALUE"""),"Magyk")</f>
        <v>Magyk</v>
      </c>
      <c r="C113" s="16" t="str">
        <f ca="1">IFERROR(__xludf.DUMMYFUNCTION("""COMPUTED_VALUE"""),"F")</f>
        <v>F</v>
      </c>
      <c r="D113" s="17" t="str">
        <f ca="1">IFERROR(__xludf.DUMMYFUNCTION("""COMPUTED_VALUE"""),"Sage, Angie")</f>
        <v>Sage, Angie</v>
      </c>
      <c r="E113" s="18">
        <f ca="1">IFERROR(__xludf.DUMMYFUNCTION("""COMPUTED_VALUE"""),9780060577339)</f>
        <v>9780060577339</v>
      </c>
      <c r="F113" s="19"/>
      <c r="G113" s="19"/>
    </row>
    <row r="114" spans="1:7" ht="13.15">
      <c r="A114" s="16" t="str">
        <f ca="1">IFERROR(__xludf.DUMMYFUNCTION("""COMPUTED_VALUE"""),"5")</f>
        <v>5</v>
      </c>
      <c r="B114" s="17" t="str">
        <f ca="1">IFERROR(__xludf.DUMMYFUNCTION("""COMPUTED_VALUE"""),"Malala Yousafzai: Defender of Education for Girls")</f>
        <v>Malala Yousafzai: Defender of Education for Girls</v>
      </c>
      <c r="C114" s="16" t="str">
        <f ca="1">IFERROR(__xludf.DUMMYFUNCTION("""COMPUTED_VALUE"""),"N")</f>
        <v>N</v>
      </c>
      <c r="D114" s="17" t="str">
        <f ca="1">IFERROR(__xludf.DUMMYFUNCTION("""COMPUTED_VALUE"""),"Spence, Kelly")</f>
        <v>Spence, Kelly</v>
      </c>
      <c r="E114" s="18">
        <f ca="1">IFERROR(__xludf.DUMMYFUNCTION("""COMPUTED_VALUE"""),9780778727026)</f>
        <v>9780778727026</v>
      </c>
      <c r="F114" s="19"/>
      <c r="G114" s="19"/>
    </row>
    <row r="115" spans="1:7" ht="26.45">
      <c r="A115" s="16" t="str">
        <f ca="1">IFERROR(__xludf.DUMMYFUNCTION("""COMPUTED_VALUE"""),"5")</f>
        <v>5</v>
      </c>
      <c r="B115" s="17" t="str">
        <f ca="1">IFERROR(__xludf.DUMMYFUNCTION("""COMPUTED_VALUE"""),"Manners! Staying out of Trouble with David Mortimore Baxter")</f>
        <v>Manners! Staying out of Trouble with David Mortimore Baxter</v>
      </c>
      <c r="C115" s="16" t="str">
        <f ca="1">IFERROR(__xludf.DUMMYFUNCTION("""COMPUTED_VALUE"""),"F")</f>
        <v>F</v>
      </c>
      <c r="D115" s="17" t="str">
        <f ca="1">IFERROR(__xludf.DUMMYFUNCTION("""COMPUTED_VALUE"""),"Tayleur, Karen")</f>
        <v>Tayleur, Karen</v>
      </c>
      <c r="E115" s="18">
        <f ca="1">IFERROR(__xludf.DUMMYFUNCTION("""COMPUTED_VALUE"""),9781598892079)</f>
        <v>9781598892079</v>
      </c>
      <c r="F115" s="19"/>
      <c r="G115" s="19"/>
    </row>
    <row r="116" spans="1:7" ht="26.45">
      <c r="A116" s="16" t="str">
        <f ca="1">IFERROR(__xludf.DUMMYFUNCTION("""COMPUTED_VALUE"""),"5")</f>
        <v>5</v>
      </c>
      <c r="B116" s="17" t="str">
        <f ca="1">IFERROR(__xludf.DUMMYFUNCTION("""COMPUTED_VALUE"""),"Marie Curie: The Woman Who Changed the Course of Science")</f>
        <v>Marie Curie: The Woman Who Changed the Course of Science</v>
      </c>
      <c r="C116" s="16" t="str">
        <f ca="1">IFERROR(__xludf.DUMMYFUNCTION("""COMPUTED_VALUE"""),"N")</f>
        <v>N</v>
      </c>
      <c r="D116" s="17" t="str">
        <f ca="1">IFERROR(__xludf.DUMMYFUNCTION("""COMPUTED_VALUE"""),"Steele, Philip")</f>
        <v>Steele, Philip</v>
      </c>
      <c r="E116" s="18">
        <f ca="1">IFERROR(__xludf.DUMMYFUNCTION("""COMPUTED_VALUE"""),9781426302497)</f>
        <v>9781426302497</v>
      </c>
      <c r="F116" s="19"/>
      <c r="G116" s="19"/>
    </row>
    <row r="117" spans="1:7" ht="13.15">
      <c r="A117" s="16" t="str">
        <f ca="1">IFERROR(__xludf.DUMMYFUNCTION("""COMPUTED_VALUE"""),"5")</f>
        <v>5</v>
      </c>
      <c r="B117" s="17" t="str">
        <f ca="1">IFERROR(__xludf.DUMMYFUNCTION("""COMPUTED_VALUE"""),"Martin Luther King: The Peaceful Warrior")</f>
        <v>Martin Luther King: The Peaceful Warrior</v>
      </c>
      <c r="C117" s="16" t="str">
        <f ca="1">IFERROR(__xludf.DUMMYFUNCTION("""COMPUTED_VALUE"""),"N")</f>
        <v>N</v>
      </c>
      <c r="D117" s="17" t="str">
        <f ca="1">IFERROR(__xludf.DUMMYFUNCTION("""COMPUTED_VALUE"""),"Clayton, Ed")</f>
        <v>Clayton, Ed</v>
      </c>
      <c r="E117" s="18">
        <f ca="1">IFERROR(__xludf.DUMMYFUNCTION("""COMPUTED_VALUE"""),9781536213300)</f>
        <v>9781536213300</v>
      </c>
      <c r="F117" s="19"/>
      <c r="G117" s="19"/>
    </row>
    <row r="118" spans="1:7" ht="13.15">
      <c r="A118" s="16" t="str">
        <f ca="1">IFERROR(__xludf.DUMMYFUNCTION("""COMPUTED_VALUE"""),"5")</f>
        <v>5</v>
      </c>
      <c r="B118" s="17" t="str">
        <f ca="1">IFERROR(__xludf.DUMMYFUNCTION("""COMPUTED_VALUE"""),"Masterpiece")</f>
        <v>Masterpiece</v>
      </c>
      <c r="C118" s="16" t="str">
        <f ca="1">IFERROR(__xludf.DUMMYFUNCTION("""COMPUTED_VALUE"""),"F")</f>
        <v>F</v>
      </c>
      <c r="D118" s="17" t="str">
        <f ca="1">IFERROR(__xludf.DUMMYFUNCTION("""COMPUTED_VALUE"""),"Broach, Elise")</f>
        <v>Broach, Elise</v>
      </c>
      <c r="E118" s="18">
        <f ca="1">IFERROR(__xludf.DUMMYFUNCTION("""COMPUTED_VALUE"""),9780312608705)</f>
        <v>9780312608705</v>
      </c>
      <c r="F118" s="19"/>
      <c r="G118" s="19"/>
    </row>
    <row r="119" spans="1:7" ht="13.15">
      <c r="A119" s="16" t="str">
        <f ca="1">IFERROR(__xludf.DUMMYFUNCTION("""COMPUTED_VALUE"""),"5")</f>
        <v>5</v>
      </c>
      <c r="B119" s="17" t="str">
        <f ca="1">IFERROR(__xludf.DUMMYFUNCTION("""COMPUTED_VALUE"""),"Matilda Bone")</f>
        <v>Matilda Bone</v>
      </c>
      <c r="C119" s="16" t="str">
        <f ca="1">IFERROR(__xludf.DUMMYFUNCTION("""COMPUTED_VALUE"""),"F")</f>
        <v>F</v>
      </c>
      <c r="D119" s="17" t="str">
        <f ca="1">IFERROR(__xludf.DUMMYFUNCTION("""COMPUTED_VALUE"""),"Cushman, Karen")</f>
        <v>Cushman, Karen</v>
      </c>
      <c r="E119" s="18">
        <f ca="1">IFERROR(__xludf.DUMMYFUNCTION("""COMPUTED_VALUE"""),9780547722429)</f>
        <v>9780547722429</v>
      </c>
      <c r="F119" s="19"/>
      <c r="G119" s="19"/>
    </row>
    <row r="120" spans="1:7" ht="13.15">
      <c r="A120" s="16" t="str">
        <f ca="1">IFERROR(__xludf.DUMMYFUNCTION("""COMPUTED_VALUE"""),"5")</f>
        <v>5</v>
      </c>
      <c r="B120" s="17" t="str">
        <f ca="1">IFERROR(__xludf.DUMMYFUNCTION("""COMPUTED_VALUE"""),"Medieval Society")</f>
        <v>Medieval Society</v>
      </c>
      <c r="C120" s="16" t="str">
        <f ca="1">IFERROR(__xludf.DUMMYFUNCTION("""COMPUTED_VALUE"""),"N")</f>
        <v>N</v>
      </c>
      <c r="D120" s="17" t="str">
        <f ca="1">IFERROR(__xludf.DUMMYFUNCTION("""COMPUTED_VALUE"""),"Eastwood, Kay")</f>
        <v>Eastwood, Kay</v>
      </c>
      <c r="E120" s="18">
        <f ca="1">IFERROR(__xludf.DUMMYFUNCTION("""COMPUTED_VALUE"""),9780778713777)</f>
        <v>9780778713777</v>
      </c>
      <c r="F120" s="19"/>
      <c r="G120" s="19"/>
    </row>
    <row r="121" spans="1:7" ht="26.45">
      <c r="A121" s="16" t="str">
        <f ca="1">IFERROR(__xludf.DUMMYFUNCTION("""COMPUTED_VALUE"""),"5")</f>
        <v>5</v>
      </c>
      <c r="B121" s="17" t="str">
        <f ca="1">IFERROR(__xludf.DUMMYFUNCTION("""COMPUTED_VALUE"""),"The Mighty Mars Rovers: The Incredible Adventures of Spirit and Opportunity")</f>
        <v>The Mighty Mars Rovers: The Incredible Adventures of Spirit and Opportunity</v>
      </c>
      <c r="C121" s="16" t="str">
        <f ca="1">IFERROR(__xludf.DUMMYFUNCTION("""COMPUTED_VALUE"""),"N")</f>
        <v>N</v>
      </c>
      <c r="D121" s="17" t="str">
        <f ca="1">IFERROR(__xludf.DUMMYFUNCTION("""COMPUTED_VALUE"""),"Rusch, Elizabeth")</f>
        <v>Rusch, Elizabeth</v>
      </c>
      <c r="E121" s="18">
        <f ca="1">IFERROR(__xludf.DUMMYFUNCTION("""COMPUTED_VALUE"""),9780544932463)</f>
        <v>9780544932463</v>
      </c>
      <c r="F121" s="19"/>
      <c r="G121" s="19"/>
    </row>
    <row r="122" spans="1:7" ht="13.15">
      <c r="A122" s="16" t="str">
        <f ca="1">IFERROR(__xludf.DUMMYFUNCTION("""COMPUTED_VALUE"""),"5")</f>
        <v>5</v>
      </c>
      <c r="B122" s="17" t="str">
        <f ca="1">IFERROR(__xludf.DUMMYFUNCTION("""COMPUTED_VALUE"""),"A Monster Calls")</f>
        <v>A Monster Calls</v>
      </c>
      <c r="C122" s="16" t="str">
        <f ca="1">IFERROR(__xludf.DUMMYFUNCTION("""COMPUTED_VALUE"""),"F")</f>
        <v>F</v>
      </c>
      <c r="D122" s="17" t="str">
        <f ca="1">IFERROR(__xludf.DUMMYFUNCTION("""COMPUTED_VALUE"""),"Ness, Patrick")</f>
        <v>Ness, Patrick</v>
      </c>
      <c r="E122" s="18">
        <f ca="1">IFERROR(__xludf.DUMMYFUNCTION("""COMPUTED_VALUE"""),9780763692155)</f>
        <v>9780763692155</v>
      </c>
      <c r="F122" s="19"/>
      <c r="G122" s="19"/>
    </row>
    <row r="123" spans="1:7" ht="26.45">
      <c r="A123" s="16" t="str">
        <f ca="1">IFERROR(__xludf.DUMMYFUNCTION("""COMPUTED_VALUE"""),"5")</f>
        <v>5</v>
      </c>
      <c r="B123" s="17" t="str">
        <f ca="1">IFERROR(__xludf.DUMMYFUNCTION("""COMPUTED_VALUE"""),"The Most Beautiful Roof in the World: Exploring the Rainforest Canopy")</f>
        <v>The Most Beautiful Roof in the World: Exploring the Rainforest Canopy</v>
      </c>
      <c r="C123" s="16" t="str">
        <f ca="1">IFERROR(__xludf.DUMMYFUNCTION("""COMPUTED_VALUE"""),"N")</f>
        <v>N</v>
      </c>
      <c r="D123" s="17" t="str">
        <f ca="1">IFERROR(__xludf.DUMMYFUNCTION("""COMPUTED_VALUE"""),"Lasky, Kathryn")</f>
        <v>Lasky, Kathryn</v>
      </c>
      <c r="E123" s="18">
        <f ca="1">IFERROR(__xludf.DUMMYFUNCTION("""COMPUTED_VALUE"""),9780152008970)</f>
        <v>9780152008970</v>
      </c>
      <c r="F123" s="19"/>
      <c r="G123" s="19"/>
    </row>
    <row r="124" spans="1:7" ht="13.15">
      <c r="A124" s="16" t="str">
        <f ca="1">IFERROR(__xludf.DUMMYFUNCTION("""COMPUTED_VALUE"""),"5")</f>
        <v>5</v>
      </c>
      <c r="B124" s="17" t="str">
        <f ca="1">IFERROR(__xludf.DUMMYFUNCTION("""COMPUTED_VALUE"""),"My Havana: Memories of a Cuban Boyhood")</f>
        <v>My Havana: Memories of a Cuban Boyhood</v>
      </c>
      <c r="C124" s="16" t="str">
        <f ca="1">IFERROR(__xludf.DUMMYFUNCTION("""COMPUTED_VALUE"""),"N")</f>
        <v>N</v>
      </c>
      <c r="D124" s="17" t="str">
        <f ca="1">IFERROR(__xludf.DUMMYFUNCTION("""COMPUTED_VALUE"""),"Wells, Rosemary")</f>
        <v>Wells, Rosemary</v>
      </c>
      <c r="E124" s="18">
        <f ca="1">IFERROR(__xludf.DUMMYFUNCTION("""COMPUTED_VALUE"""),9781536213317)</f>
        <v>9781536213317</v>
      </c>
      <c r="F124" s="19"/>
      <c r="G124" s="19"/>
    </row>
    <row r="125" spans="1:7" ht="13.15">
      <c r="A125" s="16" t="str">
        <f ca="1">IFERROR(__xludf.DUMMYFUNCTION("""COMPUTED_VALUE"""),"5")</f>
        <v>5</v>
      </c>
      <c r="B125" s="17" t="str">
        <f ca="1">IFERROR(__xludf.DUMMYFUNCTION("""COMPUTED_VALUE"""),"The Mystery of the Missing Everything")</f>
        <v>The Mystery of the Missing Everything</v>
      </c>
      <c r="C125" s="16" t="str">
        <f ca="1">IFERROR(__xludf.DUMMYFUNCTION("""COMPUTED_VALUE"""),"F")</f>
        <v>F</v>
      </c>
      <c r="D125" s="17" t="str">
        <f ca="1">IFERROR(__xludf.DUMMYFUNCTION("""COMPUTED_VALUE"""),"Winters, Ben H.")</f>
        <v>Winters, Ben H.</v>
      </c>
      <c r="E125" s="18">
        <f ca="1">IFERROR(__xludf.DUMMYFUNCTION("""COMPUTED_VALUE"""),9780061965463)</f>
        <v>9780061965463</v>
      </c>
      <c r="F125" s="19"/>
      <c r="G125" s="19"/>
    </row>
    <row r="126" spans="1:7" ht="13.15">
      <c r="A126" s="16" t="str">
        <f ca="1">IFERROR(__xludf.DUMMYFUNCTION("""COMPUTED_VALUE"""),"5")</f>
        <v>5</v>
      </c>
      <c r="B126" s="17" t="str">
        <f ca="1">IFERROR(__xludf.DUMMYFUNCTION("""COMPUTED_VALUE"""),"On the Slant")</f>
        <v>On the Slant</v>
      </c>
      <c r="C126" s="16" t="str">
        <f ca="1">IFERROR(__xludf.DUMMYFUNCTION("""COMPUTED_VALUE"""),"N")</f>
        <v>N</v>
      </c>
      <c r="D126" s="17" t="str">
        <f ca="1">IFERROR(__xludf.DUMMYFUNCTION("""COMPUTED_VALUE"""),"Yolen, Jane")</f>
        <v>Yolen, Jane</v>
      </c>
      <c r="E126" s="18">
        <f ca="1">IFERROR(__xludf.DUMMYFUNCTION("""COMPUTED_VALUE"""),9781572749788)</f>
        <v>9781572749788</v>
      </c>
      <c r="F126" s="19"/>
      <c r="G126" s="19"/>
    </row>
    <row r="127" spans="1:7" ht="13.15">
      <c r="A127" s="16" t="str">
        <f ca="1">IFERROR(__xludf.DUMMYFUNCTION("""COMPUTED_VALUE"""),"5")</f>
        <v>5</v>
      </c>
      <c r="B127" s="17" t="str">
        <f ca="1">IFERROR(__xludf.DUMMYFUNCTION("""COMPUTED_VALUE"""),"The One and Only Ivan")</f>
        <v>The One and Only Ivan</v>
      </c>
      <c r="C127" s="16" t="str">
        <f ca="1">IFERROR(__xludf.DUMMYFUNCTION("""COMPUTED_VALUE"""),"F")</f>
        <v>F</v>
      </c>
      <c r="D127" s="17" t="str">
        <f ca="1">IFERROR(__xludf.DUMMYFUNCTION("""COMPUTED_VALUE"""),"Applegate, Katherine")</f>
        <v>Applegate, Katherine</v>
      </c>
      <c r="E127" s="18">
        <f ca="1">IFERROR(__xludf.DUMMYFUNCTION("""COMPUTED_VALUE"""),9780061992278)</f>
        <v>9780061992278</v>
      </c>
      <c r="F127" s="19"/>
      <c r="G127" s="19"/>
    </row>
    <row r="128" spans="1:7" ht="13.15">
      <c r="A128" s="16" t="str">
        <f ca="1">IFERROR(__xludf.DUMMYFUNCTION("""COMPUTED_VALUE"""),"5")</f>
        <v>5</v>
      </c>
      <c r="B128" s="17" t="str">
        <f ca="1">IFERROR(__xludf.DUMMYFUNCTION("""COMPUTED_VALUE"""),"Ophelia and the Marvelous Boy")</f>
        <v>Ophelia and the Marvelous Boy</v>
      </c>
      <c r="C128" s="16" t="str">
        <f ca="1">IFERROR(__xludf.DUMMYFUNCTION("""COMPUTED_VALUE"""),"F")</f>
        <v>F</v>
      </c>
      <c r="D128" s="17" t="str">
        <f ca="1">IFERROR(__xludf.DUMMYFUNCTION("""COMPUTED_VALUE"""),"Foxlee, Karen")</f>
        <v>Foxlee, Karen</v>
      </c>
      <c r="E128" s="18">
        <f ca="1">IFERROR(__xludf.DUMMYFUNCTION("""COMPUTED_VALUE"""),9780385753562)</f>
        <v>9780385753562</v>
      </c>
      <c r="F128" s="19"/>
      <c r="G128" s="19"/>
    </row>
    <row r="129" spans="1:7" ht="13.15">
      <c r="A129" s="16" t="str">
        <f ca="1">IFERROR(__xludf.DUMMYFUNCTION("""COMPUTED_VALUE"""),"5")</f>
        <v>5</v>
      </c>
      <c r="B129" s="17" t="str">
        <f ca="1">IFERROR(__xludf.DUMMYFUNCTION("""COMPUTED_VALUE"""),"Paper Things")</f>
        <v>Paper Things</v>
      </c>
      <c r="C129" s="16" t="str">
        <f ca="1">IFERROR(__xludf.DUMMYFUNCTION("""COMPUTED_VALUE"""),"F")</f>
        <v>F</v>
      </c>
      <c r="D129" s="17" t="str">
        <f ca="1">IFERROR(__xludf.DUMMYFUNCTION("""COMPUTED_VALUE"""),"Jacobson, Jennifer Richard")</f>
        <v>Jacobson, Jennifer Richard</v>
      </c>
      <c r="E129" s="18">
        <f ca="1">IFERROR(__xludf.DUMMYFUNCTION("""COMPUTED_VALUE"""),9780763694418)</f>
        <v>9780763694418</v>
      </c>
      <c r="F129" s="19"/>
      <c r="G129" s="19"/>
    </row>
    <row r="130" spans="1:7" ht="13.15">
      <c r="A130" s="16" t="str">
        <f ca="1">IFERROR(__xludf.DUMMYFUNCTION("""COMPUTED_VALUE"""),"5")</f>
        <v>5</v>
      </c>
      <c r="B130" s="17" t="str">
        <f ca="1">IFERROR(__xludf.DUMMYFUNCTION("""COMPUTED_VALUE"""),"The Peculiar")</f>
        <v>The Peculiar</v>
      </c>
      <c r="C130" s="16" t="str">
        <f ca="1">IFERROR(__xludf.DUMMYFUNCTION("""COMPUTED_VALUE"""),"F")</f>
        <v>F</v>
      </c>
      <c r="D130" s="17" t="str">
        <f ca="1">IFERROR(__xludf.DUMMYFUNCTION("""COMPUTED_VALUE"""),"Bachmann, Stefan")</f>
        <v>Bachmann, Stefan</v>
      </c>
      <c r="E130" s="18">
        <f ca="1">IFERROR(__xludf.DUMMYFUNCTION("""COMPUTED_VALUE"""),9780062195197)</f>
        <v>9780062195197</v>
      </c>
      <c r="F130" s="19"/>
      <c r="G130" s="19"/>
    </row>
    <row r="131" spans="1:7" ht="13.15">
      <c r="A131" s="16" t="str">
        <f ca="1">IFERROR(__xludf.DUMMYFUNCTION("""COMPUTED_VALUE"""),"5")</f>
        <v>5</v>
      </c>
      <c r="B131" s="17" t="str">
        <f ca="1">IFERROR(__xludf.DUMMYFUNCTION("""COMPUTED_VALUE"""),"The Penderwicks at Point Mouette")</f>
        <v>The Penderwicks at Point Mouette</v>
      </c>
      <c r="C131" s="16" t="str">
        <f ca="1">IFERROR(__xludf.DUMMYFUNCTION("""COMPUTED_VALUE"""),"F")</f>
        <v>F</v>
      </c>
      <c r="D131" s="17" t="str">
        <f ca="1">IFERROR(__xludf.DUMMYFUNCTION("""COMPUTED_VALUE"""),"Birdsall, Jeanne")</f>
        <v>Birdsall, Jeanne</v>
      </c>
      <c r="E131" s="18">
        <f ca="1">IFERROR(__xludf.DUMMYFUNCTION("""COMPUTED_VALUE"""),9780375851353)</f>
        <v>9780375851353</v>
      </c>
      <c r="F131" s="19"/>
      <c r="G131" s="19"/>
    </row>
    <row r="132" spans="1:7" ht="13.15">
      <c r="A132" s="16" t="str">
        <f ca="1">IFERROR(__xludf.DUMMYFUNCTION("""COMPUTED_VALUE"""),"5")</f>
        <v>5</v>
      </c>
      <c r="B132" s="17" t="str">
        <f ca="1">IFERROR(__xludf.DUMMYFUNCTION("""COMPUTED_VALUE"""),"Penny from Heaven")</f>
        <v>Penny from Heaven</v>
      </c>
      <c r="C132" s="16" t="str">
        <f ca="1">IFERROR(__xludf.DUMMYFUNCTION("""COMPUTED_VALUE"""),"F")</f>
        <v>F</v>
      </c>
      <c r="D132" s="17" t="str">
        <f ca="1">IFERROR(__xludf.DUMMYFUNCTION("""COMPUTED_VALUE"""),"Holm, Jennifer L.")</f>
        <v>Holm, Jennifer L.</v>
      </c>
      <c r="E132" s="18">
        <f ca="1">IFERROR(__xludf.DUMMYFUNCTION("""COMPUTED_VALUE"""),9780375836893)</f>
        <v>9780375836893</v>
      </c>
      <c r="F132" s="19"/>
      <c r="G132" s="19"/>
    </row>
    <row r="133" spans="1:7" ht="13.15">
      <c r="A133" s="16" t="str">
        <f ca="1">IFERROR(__xludf.DUMMYFUNCTION("""COMPUTED_VALUE"""),"5")</f>
        <v>5</v>
      </c>
      <c r="B133" s="17" t="str">
        <f ca="1">IFERROR(__xludf.DUMMYFUNCTION("""COMPUTED_VALUE"""),"Pirate Diary: The Journal of Jake Carpenter Cabin Boy")</f>
        <v>Pirate Diary: The Journal of Jake Carpenter Cabin Boy</v>
      </c>
      <c r="C133" s="16" t="str">
        <f ca="1">IFERROR(__xludf.DUMMYFUNCTION("""COMPUTED_VALUE"""),"F")</f>
        <v>F</v>
      </c>
      <c r="D133" s="17" t="str">
        <f ca="1">IFERROR(__xludf.DUMMYFUNCTION("""COMPUTED_VALUE"""),"Platt, Richard")</f>
        <v>Platt, Richard</v>
      </c>
      <c r="E133" s="18">
        <f ca="1">IFERROR(__xludf.DUMMYFUNCTION("""COMPUTED_VALUE"""),9780763673611)</f>
        <v>9780763673611</v>
      </c>
      <c r="F133" s="19"/>
      <c r="G133" s="19"/>
    </row>
    <row r="134" spans="1:7" ht="13.15">
      <c r="A134" s="16" t="str">
        <f ca="1">IFERROR(__xludf.DUMMYFUNCTION("""COMPUTED_VALUE"""),"5")</f>
        <v>5</v>
      </c>
      <c r="B134" s="17" t="str">
        <f ca="1">IFERROR(__xludf.DUMMYFUNCTION("""COMPUTED_VALUE"""),"Planet Middle School")</f>
        <v>Planet Middle School</v>
      </c>
      <c r="C134" s="16" t="str">
        <f ca="1">IFERROR(__xludf.DUMMYFUNCTION("""COMPUTED_VALUE"""),"F")</f>
        <v>F</v>
      </c>
      <c r="D134" s="17" t="str">
        <f ca="1">IFERROR(__xludf.DUMMYFUNCTION("""COMPUTED_VALUE"""),"Grimes, Nikki")</f>
        <v>Grimes, Nikki</v>
      </c>
      <c r="E134" s="18">
        <f ca="1">IFERROR(__xludf.DUMMYFUNCTION("""COMPUTED_VALUE"""),9781619630123)</f>
        <v>9781619630123</v>
      </c>
      <c r="F134" s="19"/>
      <c r="G134" s="19"/>
    </row>
    <row r="135" spans="1:7" ht="13.15">
      <c r="A135" s="16" t="str">
        <f ca="1">IFERROR(__xludf.DUMMYFUNCTION("""COMPUTED_VALUE"""),"5")</f>
        <v>5</v>
      </c>
      <c r="B135" s="17" t="str">
        <f ca="1">IFERROR(__xludf.DUMMYFUNCTION("""COMPUTED_VALUE"""),"Poop: A Natural History of the Unmentionable")</f>
        <v>Poop: A Natural History of the Unmentionable</v>
      </c>
      <c r="C135" s="16" t="str">
        <f ca="1">IFERROR(__xludf.DUMMYFUNCTION("""COMPUTED_VALUE"""),"N")</f>
        <v>N</v>
      </c>
      <c r="D135" s="17" t="str">
        <f ca="1">IFERROR(__xludf.DUMMYFUNCTION("""COMPUTED_VALUE"""),"Davies, Nicola")</f>
        <v>Davies, Nicola</v>
      </c>
      <c r="E135" s="18">
        <f ca="1">IFERROR(__xludf.DUMMYFUNCTION("""COMPUTED_VALUE"""),9780763641283)</f>
        <v>9780763641283</v>
      </c>
      <c r="F135" s="19"/>
      <c r="G135" s="19"/>
    </row>
    <row r="136" spans="1:7" ht="26.45">
      <c r="A136" s="16" t="str">
        <f ca="1">IFERROR(__xludf.DUMMYFUNCTION("""COMPUTED_VALUE"""),"5")</f>
        <v>5</v>
      </c>
      <c r="B136" s="17" t="str">
        <f ca="1">IFERROR(__xludf.DUMMYFUNCTION("""COMPUTED_VALUE"""),"Puppies, Dogs, and Blue Northers: Reflections on Being Raised by a Pack of Sled Dogs")</f>
        <v>Puppies, Dogs, and Blue Northers: Reflections on Being Raised by a Pack of Sled Dogs</v>
      </c>
      <c r="C136" s="16" t="str">
        <f ca="1">IFERROR(__xludf.DUMMYFUNCTION("""COMPUTED_VALUE"""),"N")</f>
        <v>N</v>
      </c>
      <c r="D136" s="17" t="str">
        <f ca="1">IFERROR(__xludf.DUMMYFUNCTION("""COMPUTED_VALUE"""),"Paulsen, Gary")</f>
        <v>Paulsen, Gary</v>
      </c>
      <c r="E136" s="18">
        <f ca="1">IFERROR(__xludf.DUMMYFUNCTION("""COMPUTED_VALUE"""),9780152061036)</f>
        <v>9780152061036</v>
      </c>
      <c r="F136" s="19"/>
      <c r="G136" s="19"/>
    </row>
    <row r="137" spans="1:7" ht="13.15">
      <c r="A137" s="16" t="str">
        <f ca="1">IFERROR(__xludf.DUMMYFUNCTION("""COMPUTED_VALUE"""),"5")</f>
        <v>5</v>
      </c>
      <c r="B137" s="17" t="str">
        <f ca="1">IFERROR(__xludf.DUMMYFUNCTION("""COMPUTED_VALUE"""),"Quarterback Season")</f>
        <v>Quarterback Season</v>
      </c>
      <c r="C137" s="16" t="str">
        <f ca="1">IFERROR(__xludf.DUMMYFUNCTION("""COMPUTED_VALUE"""),"F")</f>
        <v>F</v>
      </c>
      <c r="D137" s="17" t="str">
        <f ca="1">IFERROR(__xludf.DUMMYFUNCTION("""COMPUTED_VALUE"""),"Bowen, Fred")</f>
        <v>Bowen, Fred</v>
      </c>
      <c r="E137" s="18">
        <f ca="1">IFERROR(__xludf.DUMMYFUNCTION("""COMPUTED_VALUE"""),9781561455942)</f>
        <v>9781561455942</v>
      </c>
      <c r="F137" s="19"/>
      <c r="G137" s="19"/>
    </row>
    <row r="138" spans="1:7" ht="13.15">
      <c r="A138" s="16" t="str">
        <f ca="1">IFERROR(__xludf.DUMMYFUNCTION("""COMPUTED_VALUE"""),"5")</f>
        <v>5</v>
      </c>
      <c r="B138" s="17" t="str">
        <f ca="1">IFERROR(__xludf.DUMMYFUNCTION("""COMPUTED_VALUE"""),"Real Hoops")</f>
        <v>Real Hoops</v>
      </c>
      <c r="C138" s="16" t="str">
        <f ca="1">IFERROR(__xludf.DUMMYFUNCTION("""COMPUTED_VALUE"""),"F")</f>
        <v>F</v>
      </c>
      <c r="D138" s="17" t="str">
        <f ca="1">IFERROR(__xludf.DUMMYFUNCTION("""COMPUTED_VALUE"""),"Bowen, Fred")</f>
        <v>Bowen, Fred</v>
      </c>
      <c r="E138" s="18">
        <f ca="1">IFERROR(__xludf.DUMMYFUNCTION("""COMPUTED_VALUE"""),9781561455669)</f>
        <v>9781561455669</v>
      </c>
      <c r="F138" s="19"/>
      <c r="G138" s="19"/>
    </row>
    <row r="139" spans="1:7" ht="13.15">
      <c r="A139" s="16" t="str">
        <f ca="1">IFERROR(__xludf.DUMMYFUNCTION("""COMPUTED_VALUE"""),"5")</f>
        <v>5</v>
      </c>
      <c r="B139" s="17" t="str">
        <f ca="1">IFERROR(__xludf.DUMMYFUNCTION("""COMPUTED_VALUE"""),"The Red Pencil")</f>
        <v>The Red Pencil</v>
      </c>
      <c r="C139" s="16" t="str">
        <f ca="1">IFERROR(__xludf.DUMMYFUNCTION("""COMPUTED_VALUE"""),"F")</f>
        <v>F</v>
      </c>
      <c r="D139" s="17" t="str">
        <f ca="1">IFERROR(__xludf.DUMMYFUNCTION("""COMPUTED_VALUE"""),"Pinkney, Andrea Davis")</f>
        <v>Pinkney, Andrea Davis</v>
      </c>
      <c r="E139" s="18">
        <f ca="1">IFERROR(__xludf.DUMMYFUNCTION("""COMPUTED_VALUE"""),9780316247825)</f>
        <v>9780316247825</v>
      </c>
      <c r="F139" s="19"/>
      <c r="G139" s="19"/>
    </row>
    <row r="140" spans="1:7" ht="13.15">
      <c r="A140" s="16" t="str">
        <f ca="1">IFERROR(__xludf.DUMMYFUNCTION("""COMPUTED_VALUE"""),"5")</f>
        <v>5</v>
      </c>
      <c r="B140" s="17" t="str">
        <f ca="1">IFERROR(__xludf.DUMMYFUNCTION("""COMPUTED_VALUE"""),"Reflections")</f>
        <v>Reflections</v>
      </c>
      <c r="C140" s="16" t="str">
        <f ca="1">IFERROR(__xludf.DUMMYFUNCTION("""COMPUTED_VALUE"""),"N")</f>
        <v>N</v>
      </c>
      <c r="D140" s="17" t="str">
        <f ca="1">IFERROR(__xludf.DUMMYFUNCTION("""COMPUTED_VALUE"""),"Fletcher, Ralph")</f>
        <v>Fletcher, Ralph</v>
      </c>
      <c r="E140" s="18">
        <f ca="1">IFERROR(__xludf.DUMMYFUNCTION("""COMPUTED_VALUE"""),9781572748583)</f>
        <v>9781572748583</v>
      </c>
      <c r="F140" s="19"/>
      <c r="G140" s="19"/>
    </row>
    <row r="141" spans="1:7" ht="13.15">
      <c r="A141" s="16" t="str">
        <f ca="1">IFERROR(__xludf.DUMMYFUNCTION("""COMPUTED_VALUE"""),"5")</f>
        <v>5</v>
      </c>
      <c r="B141" s="17" t="str">
        <f ca="1">IFERROR(__xludf.DUMMYFUNCTION("""COMPUTED_VALUE"""),"Restart")</f>
        <v>Restart</v>
      </c>
      <c r="C141" s="16" t="str">
        <f ca="1">IFERROR(__xludf.DUMMYFUNCTION("""COMPUTED_VALUE"""),"F")</f>
        <v>F</v>
      </c>
      <c r="D141" s="17" t="str">
        <f ca="1">IFERROR(__xludf.DUMMYFUNCTION("""COMPUTED_VALUE"""),"Korman, Gordon")</f>
        <v>Korman, Gordon</v>
      </c>
      <c r="E141" s="18">
        <f ca="1">IFERROR(__xludf.DUMMYFUNCTION("""COMPUTED_VALUE"""),9781338053807)</f>
        <v>9781338053807</v>
      </c>
      <c r="F141" s="19"/>
      <c r="G141" s="19"/>
    </row>
    <row r="142" spans="1:7" ht="13.15">
      <c r="A142" s="16" t="str">
        <f ca="1">IFERROR(__xludf.DUMMYFUNCTION("""COMPUTED_VALUE"""),"5")</f>
        <v>5</v>
      </c>
      <c r="B142" s="17" t="str">
        <f ca="1">IFERROR(__xludf.DUMMYFUNCTION("""COMPUTED_VALUE"""),"Rodzina")</f>
        <v>Rodzina</v>
      </c>
      <c r="C142" s="16" t="str">
        <f ca="1">IFERROR(__xludf.DUMMYFUNCTION("""COMPUTED_VALUE"""),"F")</f>
        <v>F</v>
      </c>
      <c r="D142" s="17" t="str">
        <f ca="1">IFERROR(__xludf.DUMMYFUNCTION("""COMPUTED_VALUE"""),"Cushman, Karen")</f>
        <v>Cushman, Karen</v>
      </c>
      <c r="E142" s="18">
        <f ca="1">IFERROR(__xludf.DUMMYFUNCTION("""COMPUTED_VALUE"""),9780544540293)</f>
        <v>9780544540293</v>
      </c>
      <c r="F142" s="19"/>
      <c r="G142" s="19"/>
    </row>
    <row r="143" spans="1:7" ht="13.15">
      <c r="A143" s="16" t="str">
        <f ca="1">IFERROR(__xludf.DUMMYFUNCTION("""COMPUTED_VALUE"""),"5")</f>
        <v>5</v>
      </c>
      <c r="B143" s="17" t="str">
        <f ca="1">IFERROR(__xludf.DUMMYFUNCTION("""COMPUTED_VALUE"""),"Roman Diary: The Journal of Iliona, Young Slave")</f>
        <v>Roman Diary: The Journal of Iliona, Young Slave</v>
      </c>
      <c r="C143" s="16" t="str">
        <f ca="1">IFERROR(__xludf.DUMMYFUNCTION("""COMPUTED_VALUE"""),"F")</f>
        <v>F</v>
      </c>
      <c r="D143" s="17" t="str">
        <f ca="1">IFERROR(__xludf.DUMMYFUNCTION("""COMPUTED_VALUE"""),"Platt, Richard")</f>
        <v>Platt, Richard</v>
      </c>
      <c r="E143" s="18">
        <f ca="1">IFERROR(__xludf.DUMMYFUNCTION("""COMPUTED_VALUE"""),9780763670535)</f>
        <v>9780763670535</v>
      </c>
      <c r="F143" s="19"/>
      <c r="G143" s="19"/>
    </row>
    <row r="144" spans="1:7" ht="13.15">
      <c r="A144" s="16" t="str">
        <f ca="1">IFERROR(__xludf.DUMMYFUNCTION("""COMPUTED_VALUE"""),"5")</f>
        <v>5</v>
      </c>
      <c r="B144" s="17" t="str">
        <f ca="1">IFERROR(__xludf.DUMMYFUNCTION("""COMPUTED_VALUE"""),"Rules")</f>
        <v>Rules</v>
      </c>
      <c r="C144" s="16" t="str">
        <f ca="1">IFERROR(__xludf.DUMMYFUNCTION("""COMPUTED_VALUE"""),"F")</f>
        <v>F</v>
      </c>
      <c r="D144" s="17" t="str">
        <f ca="1">IFERROR(__xludf.DUMMYFUNCTION("""COMPUTED_VALUE"""),"Lord, Cynthia")</f>
        <v>Lord, Cynthia</v>
      </c>
      <c r="E144" s="18">
        <f ca="1">IFERROR(__xludf.DUMMYFUNCTION("""COMPUTED_VALUE"""),9780439443838)</f>
        <v>9780439443838</v>
      </c>
      <c r="F144" s="19"/>
      <c r="G144" s="19"/>
    </row>
    <row r="145" spans="1:7" ht="13.15">
      <c r="A145" s="16" t="str">
        <f ca="1">IFERROR(__xludf.DUMMYFUNCTION("""COMPUTED_VALUE"""),"5")</f>
        <v>5</v>
      </c>
      <c r="B145" s="17" t="str">
        <f ca="1">IFERROR(__xludf.DUMMYFUNCTION("""COMPUTED_VALUE"""),"The Same Stuff as Stars")</f>
        <v>The Same Stuff as Stars</v>
      </c>
      <c r="C145" s="16" t="str">
        <f ca="1">IFERROR(__xludf.DUMMYFUNCTION("""COMPUTED_VALUE"""),"F")</f>
        <v>F</v>
      </c>
      <c r="D145" s="17" t="str">
        <f ca="1">IFERROR(__xludf.DUMMYFUNCTION("""COMPUTED_VALUE"""),"Paterson, Katherine")</f>
        <v>Paterson, Katherine</v>
      </c>
      <c r="E145" s="18">
        <f ca="1">IFERROR(__xludf.DUMMYFUNCTION("""COMPUTED_VALUE"""),9780544540309)</f>
        <v>9780544540309</v>
      </c>
      <c r="F145" s="19"/>
      <c r="G145" s="19"/>
    </row>
    <row r="146" spans="1:7" ht="13.15">
      <c r="A146" s="16" t="str">
        <f ca="1">IFERROR(__xludf.DUMMYFUNCTION("""COMPUTED_VALUE"""),"5")</f>
        <v>5</v>
      </c>
      <c r="B146" s="17" t="str">
        <f ca="1">IFERROR(__xludf.DUMMYFUNCTION("""COMPUTED_VALUE"""),"Same Sun Here")</f>
        <v>Same Sun Here</v>
      </c>
      <c r="C146" s="16" t="str">
        <f ca="1">IFERROR(__xludf.DUMMYFUNCTION("""COMPUTED_VALUE"""),"F")</f>
        <v>F</v>
      </c>
      <c r="D146" s="17" t="str">
        <f ca="1">IFERROR(__xludf.DUMMYFUNCTION("""COMPUTED_VALUE"""),"House, Silas")</f>
        <v>House, Silas</v>
      </c>
      <c r="E146" s="18">
        <f ca="1">IFERROR(__xludf.DUMMYFUNCTION("""COMPUTED_VALUE"""),9780763664510)</f>
        <v>9780763664510</v>
      </c>
      <c r="F146" s="19"/>
      <c r="G146" s="19"/>
    </row>
    <row r="147" spans="1:7" ht="13.15">
      <c r="A147" s="16" t="str">
        <f ca="1">IFERROR(__xludf.DUMMYFUNCTION("""COMPUTED_VALUE"""),"5")</f>
        <v>5</v>
      </c>
      <c r="B147" s="17" t="str">
        <f ca="1">IFERROR(__xludf.DUMMYFUNCTION("""COMPUTED_VALUE"""),"Sammy Keyes and the Skeleton Man")</f>
        <v>Sammy Keyes and the Skeleton Man</v>
      </c>
      <c r="C147" s="16" t="str">
        <f ca="1">IFERROR(__xludf.DUMMYFUNCTION("""COMPUTED_VALUE"""),"F")</f>
        <v>F</v>
      </c>
      <c r="D147" s="17" t="str">
        <f ca="1">IFERROR(__xludf.DUMMYFUNCTION("""COMPUTED_VALUE"""),"Van Draanen, Wendelin")</f>
        <v>Van Draanen, Wendelin</v>
      </c>
      <c r="E147" s="18">
        <f ca="1">IFERROR(__xludf.DUMMYFUNCTION("""COMPUTED_VALUE"""),9780375800542)</f>
        <v>9780375800542</v>
      </c>
      <c r="F147" s="19"/>
      <c r="G147" s="19"/>
    </row>
    <row r="148" spans="1:7" ht="13.15">
      <c r="A148" s="16" t="str">
        <f ca="1">IFERROR(__xludf.DUMMYFUNCTION("""COMPUTED_VALUE"""),"5")</f>
        <v>5</v>
      </c>
      <c r="B148" s="17" t="str">
        <f ca="1">IFERROR(__xludf.DUMMYFUNCTION("""COMPUTED_VALUE"""),"The School Story")</f>
        <v>The School Story</v>
      </c>
      <c r="C148" s="16" t="str">
        <f ca="1">IFERROR(__xludf.DUMMYFUNCTION("""COMPUTED_VALUE"""),"F")</f>
        <v>F</v>
      </c>
      <c r="D148" s="17" t="str">
        <f ca="1">IFERROR(__xludf.DUMMYFUNCTION("""COMPUTED_VALUE"""),"Clements, Andrew")</f>
        <v>Clements, Andrew</v>
      </c>
      <c r="E148" s="18">
        <f ca="1">IFERROR(__xludf.DUMMYFUNCTION("""COMPUTED_VALUE"""),9780689851865)</f>
        <v>9780689851865</v>
      </c>
      <c r="F148" s="19"/>
      <c r="G148" s="19"/>
    </row>
    <row r="149" spans="1:7" ht="13.15">
      <c r="A149" s="16" t="str">
        <f ca="1">IFERROR(__xludf.DUMMYFUNCTION("""COMPUTED_VALUE"""),"5")</f>
        <v>5</v>
      </c>
      <c r="B149" s="17" t="str">
        <f ca="1">IFERROR(__xludf.DUMMYFUNCTION("""COMPUTED_VALUE"""),"Schooled")</f>
        <v>Schooled</v>
      </c>
      <c r="C149" s="16" t="str">
        <f ca="1">IFERROR(__xludf.DUMMYFUNCTION("""COMPUTED_VALUE"""),"F")</f>
        <v>F</v>
      </c>
      <c r="D149" s="17" t="str">
        <f ca="1">IFERROR(__xludf.DUMMYFUNCTION("""COMPUTED_VALUE"""),"Korman, Gordon")</f>
        <v>Korman, Gordon</v>
      </c>
      <c r="E149" s="18">
        <f ca="1">IFERROR(__xludf.DUMMYFUNCTION("""COMPUTED_VALUE"""),9781423105169)</f>
        <v>9781423105169</v>
      </c>
      <c r="F149" s="19"/>
      <c r="G149" s="19"/>
    </row>
    <row r="150" spans="1:7" ht="13.15">
      <c r="A150" s="16" t="str">
        <f ca="1">IFERROR(__xludf.DUMMYFUNCTION("""COMPUTED_VALUE"""),"5")</f>
        <v>5</v>
      </c>
      <c r="B150" s="17" t="str">
        <f ca="1">IFERROR(__xludf.DUMMYFUNCTION("""COMPUTED_VALUE"""),"The Science of a Tornado")</f>
        <v>The Science of a Tornado</v>
      </c>
      <c r="C150" s="16" t="str">
        <f ca="1">IFERROR(__xludf.DUMMYFUNCTION("""COMPUTED_VALUE"""),"N")</f>
        <v>N</v>
      </c>
      <c r="D150" s="17" t="str">
        <f ca="1">IFERROR(__xludf.DUMMYFUNCTION("""COMPUTED_VALUE"""),"Cernak, Linda")</f>
        <v>Cernak, Linda</v>
      </c>
      <c r="E150" s="18">
        <f ca="1">IFERROR(__xludf.DUMMYFUNCTION("""COMPUTED_VALUE"""),9781633624986)</f>
        <v>9781633624986</v>
      </c>
      <c r="F150" s="19"/>
      <c r="G150" s="19"/>
    </row>
    <row r="151" spans="1:7" ht="13.15">
      <c r="A151" s="16" t="str">
        <f ca="1">IFERROR(__xludf.DUMMYFUNCTION("""COMPUTED_VALUE"""),"5")</f>
        <v>5</v>
      </c>
      <c r="B151" s="17" t="str">
        <f ca="1">IFERROR(__xludf.DUMMYFUNCTION("""COMPUTED_VALUE"""),"Shaquille O'Neal")</f>
        <v>Shaquille O'Neal</v>
      </c>
      <c r="C151" s="16" t="str">
        <f ca="1">IFERROR(__xludf.DUMMYFUNCTION("""COMPUTED_VALUE"""),"N")</f>
        <v>N</v>
      </c>
      <c r="D151" s="17" t="str">
        <f ca="1">IFERROR(__xludf.DUMMYFUNCTION("""COMPUTED_VALUE"""),"Bernstein, Ross")</f>
        <v>Bernstein, Ross</v>
      </c>
      <c r="E151" s="18">
        <f ca="1">IFERROR(__xludf.DUMMYFUNCTION("""COMPUTED_VALUE"""),9780761344896)</f>
        <v>9780761344896</v>
      </c>
      <c r="F151" s="19"/>
      <c r="G151" s="19"/>
    </row>
    <row r="152" spans="1:7" ht="13.15">
      <c r="A152" s="16" t="str">
        <f ca="1">IFERROR(__xludf.DUMMYFUNCTION("""COMPUTED_VALUE"""),"5")</f>
        <v>5</v>
      </c>
      <c r="B152" s="17" t="str">
        <f ca="1">IFERROR(__xludf.DUMMYFUNCTION("""COMPUTED_VALUE"""),"Ship of Dolls")</f>
        <v>Ship of Dolls</v>
      </c>
      <c r="C152" s="16" t="str">
        <f ca="1">IFERROR(__xludf.DUMMYFUNCTION("""COMPUTED_VALUE"""),"F")</f>
        <v>F</v>
      </c>
      <c r="D152" s="17" t="str">
        <f ca="1">IFERROR(__xludf.DUMMYFUNCTION("""COMPUTED_VALUE"""),"Parenteau, Shirley")</f>
        <v>Parenteau, Shirley</v>
      </c>
      <c r="E152" s="18">
        <f ca="1">IFERROR(__xludf.DUMMYFUNCTION("""COMPUTED_VALUE"""),9780763697792)</f>
        <v>9780763697792</v>
      </c>
      <c r="F152" s="19"/>
      <c r="G152" s="19"/>
    </row>
    <row r="153" spans="1:7" ht="13.15">
      <c r="A153" s="16" t="str">
        <f ca="1">IFERROR(__xludf.DUMMYFUNCTION("""COMPUTED_VALUE"""),"5")</f>
        <v>5</v>
      </c>
      <c r="B153" s="17" t="str">
        <f ca="1">IFERROR(__xludf.DUMMYFUNCTION("""COMPUTED_VALUE"""),"Shoot-Out")</f>
        <v>Shoot-Out</v>
      </c>
      <c r="C153" s="16" t="str">
        <f ca="1">IFERROR(__xludf.DUMMYFUNCTION("""COMPUTED_VALUE"""),"F")</f>
        <v>F</v>
      </c>
      <c r="D153" s="17" t="str">
        <f ca="1">IFERROR(__xludf.DUMMYFUNCTION("""COMPUTED_VALUE"""),"Lupica, Mike")</f>
        <v>Lupica, Mike</v>
      </c>
      <c r="E153" s="18">
        <f ca="1">IFERROR(__xludf.DUMMYFUNCTION("""COMPUTED_VALUE"""),9780451479341)</f>
        <v>9780451479341</v>
      </c>
      <c r="F153" s="19"/>
      <c r="G153" s="19"/>
    </row>
    <row r="154" spans="1:7" ht="13.15">
      <c r="A154" s="16" t="str">
        <f ca="1">IFERROR(__xludf.DUMMYFUNCTION("""COMPUTED_VALUE"""),"5")</f>
        <v>5</v>
      </c>
      <c r="B154" s="17" t="str">
        <f ca="1">IFERROR(__xludf.DUMMYFUNCTION("""COMPUTED_VALUE"""),"The Sinking of the Titanic")</f>
        <v>The Sinking of the Titanic</v>
      </c>
      <c r="C154" s="16" t="str">
        <f ca="1">IFERROR(__xludf.DUMMYFUNCTION("""COMPUTED_VALUE"""),"N")</f>
        <v>N</v>
      </c>
      <c r="D154" s="17" t="str">
        <f ca="1">IFERROR(__xludf.DUMMYFUNCTION("""COMPUTED_VALUE"""),"Doeden, Matt")</f>
        <v>Doeden, Matt</v>
      </c>
      <c r="E154" s="18">
        <f ca="1">IFERROR(__xludf.DUMMYFUNCTION("""COMPUTED_VALUE"""),9780736852470)</f>
        <v>9780736852470</v>
      </c>
      <c r="F154" s="19"/>
      <c r="G154" s="19"/>
    </row>
    <row r="155" spans="1:7" ht="13.15">
      <c r="A155" s="16" t="str">
        <f ca="1">IFERROR(__xludf.DUMMYFUNCTION("""COMPUTED_VALUE"""),"5")</f>
        <v>5</v>
      </c>
      <c r="B155" s="17" t="str">
        <f ca="1">IFERROR(__xludf.DUMMYFUNCTION("""COMPUTED_VALUE"""),"Sir Francis Drake: Slave Trader and Pirate")</f>
        <v>Sir Francis Drake: Slave Trader and Pirate</v>
      </c>
      <c r="C155" s="16" t="str">
        <f ca="1">IFERROR(__xludf.DUMMYFUNCTION("""COMPUTED_VALUE"""),"N")</f>
        <v>N</v>
      </c>
      <c r="D155" s="17" t="str">
        <f ca="1">IFERROR(__xludf.DUMMYFUNCTION("""COMPUTED_VALUE"""),"Nick, Charles")</f>
        <v>Nick, Charles</v>
      </c>
      <c r="E155" s="18">
        <f ca="1">IFERROR(__xludf.DUMMYFUNCTION("""COMPUTED_VALUE"""),9780531207406)</f>
        <v>9780531207406</v>
      </c>
      <c r="F155" s="19"/>
      <c r="G155" s="19"/>
    </row>
    <row r="156" spans="1:7" ht="13.15">
      <c r="A156" s="16" t="str">
        <f ca="1">IFERROR(__xludf.DUMMYFUNCTION("""COMPUTED_VALUE"""),"5")</f>
        <v>5</v>
      </c>
      <c r="B156" s="17" t="str">
        <f ca="1">IFERROR(__xludf.DUMMYFUNCTION("""COMPUTED_VALUE"""),"Skateboard Tough")</f>
        <v>Skateboard Tough</v>
      </c>
      <c r="C156" s="16" t="str">
        <f ca="1">IFERROR(__xludf.DUMMYFUNCTION("""COMPUTED_VALUE"""),"F")</f>
        <v>F</v>
      </c>
      <c r="D156" s="17" t="str">
        <f ca="1">IFERROR(__xludf.DUMMYFUNCTION("""COMPUTED_VALUE"""),"Christopher, Matt")</f>
        <v>Christopher, Matt</v>
      </c>
      <c r="E156" s="18">
        <f ca="1">IFERROR(__xludf.DUMMYFUNCTION("""COMPUTED_VALUE"""),9780316142410)</f>
        <v>9780316142410</v>
      </c>
      <c r="F156" s="19"/>
      <c r="G156" s="19"/>
    </row>
    <row r="157" spans="1:7" ht="13.15">
      <c r="A157" s="16" t="str">
        <f ca="1">IFERROR(__xludf.DUMMYFUNCTION("""COMPUTED_VALUE"""),"5")</f>
        <v>5</v>
      </c>
      <c r="B157" s="17" t="str">
        <f ca="1">IFERROR(__xludf.DUMMYFUNCTION("""COMPUTED_VALUE"""),"Skit-Scat Raggedy Cat, Ella Fitzgerald")</f>
        <v>Skit-Scat Raggedy Cat, Ella Fitzgerald</v>
      </c>
      <c r="C157" s="16" t="str">
        <f ca="1">IFERROR(__xludf.DUMMYFUNCTION("""COMPUTED_VALUE"""),"N")</f>
        <v>N</v>
      </c>
      <c r="D157" s="17" t="str">
        <f ca="1">IFERROR(__xludf.DUMMYFUNCTION("""COMPUTED_VALUE"""),"Orgill, Roxane")</f>
        <v>Orgill, Roxane</v>
      </c>
      <c r="E157" s="18">
        <f ca="1">IFERROR(__xludf.DUMMYFUNCTION("""COMPUTED_VALUE"""),9780763664589)</f>
        <v>9780763664589</v>
      </c>
      <c r="F157" s="19"/>
      <c r="G157" s="19"/>
    </row>
    <row r="158" spans="1:7" ht="13.15">
      <c r="A158" s="16" t="str">
        <f ca="1">IFERROR(__xludf.DUMMYFUNCTION("""COMPUTED_VALUE"""),"5")</f>
        <v>5</v>
      </c>
      <c r="B158" s="17" t="str">
        <f ca="1">IFERROR(__xludf.DUMMYFUNCTION("""COMPUTED_VALUE"""),"Small as an Elephant")</f>
        <v>Small as an Elephant</v>
      </c>
      <c r="C158" s="16" t="str">
        <f ca="1">IFERROR(__xludf.DUMMYFUNCTION("""COMPUTED_VALUE"""),"F")</f>
        <v>F</v>
      </c>
      <c r="D158" s="17" t="str">
        <f ca="1">IFERROR(__xludf.DUMMYFUNCTION("""COMPUTED_VALUE"""),"Jacobson, Jennifer Richard")</f>
        <v>Jacobson, Jennifer Richard</v>
      </c>
      <c r="E158" s="18">
        <f ca="1">IFERROR(__xludf.DUMMYFUNCTION("""COMPUTED_VALUE"""),9780763663339)</f>
        <v>9780763663339</v>
      </c>
      <c r="F158" s="19"/>
      <c r="G158" s="19"/>
    </row>
    <row r="159" spans="1:7" ht="13.15">
      <c r="A159" s="16" t="str">
        <f ca="1">IFERROR(__xludf.DUMMYFUNCTION("""COMPUTED_VALUE"""),"5")</f>
        <v>5</v>
      </c>
      <c r="B159" s="17" t="str">
        <f ca="1">IFERROR(__xludf.DUMMYFUNCTION("""COMPUTED_VALUE"""),"Smashie McPerter and the Mystery of Room 11")</f>
        <v>Smashie McPerter and the Mystery of Room 11</v>
      </c>
      <c r="C159" s="16" t="str">
        <f ca="1">IFERROR(__xludf.DUMMYFUNCTION("""COMPUTED_VALUE"""),"F")</f>
        <v>F</v>
      </c>
      <c r="D159" s="17" t="str">
        <f ca="1">IFERROR(__xludf.DUMMYFUNCTION("""COMPUTED_VALUE"""),"Griffin, N.")</f>
        <v>Griffin, N.</v>
      </c>
      <c r="E159" s="18">
        <f ca="1">IFERROR(__xludf.DUMMYFUNCTION("""COMPUTED_VALUE"""),9780763690977)</f>
        <v>9780763690977</v>
      </c>
      <c r="F159" s="19"/>
      <c r="G159" s="19"/>
    </row>
    <row r="160" spans="1:7" ht="13.15">
      <c r="A160" s="16" t="str">
        <f ca="1">IFERROR(__xludf.DUMMYFUNCTION("""COMPUTED_VALUE"""),"5")</f>
        <v>5</v>
      </c>
      <c r="B160" s="17" t="str">
        <f ca="1">IFERROR(__xludf.DUMMYFUNCTION("""COMPUTED_VALUE"""),"The Sports Pages")</f>
        <v>The Sports Pages</v>
      </c>
      <c r="C160" s="16" t="str">
        <f ca="1">IFERROR(__xludf.DUMMYFUNCTION("""COMPUTED_VALUE"""),"F")</f>
        <v>F</v>
      </c>
      <c r="D160" s="17" t="str">
        <f ca="1">IFERROR(__xludf.DUMMYFUNCTION("""COMPUTED_VALUE"""),"Scieszka, Jon")</f>
        <v>Scieszka, Jon</v>
      </c>
      <c r="E160" s="18">
        <f ca="1">IFERROR(__xludf.DUMMYFUNCTION("""COMPUTED_VALUE"""),9780061963773)</f>
        <v>9780061963773</v>
      </c>
      <c r="F160" s="19"/>
      <c r="G160" s="19"/>
    </row>
    <row r="161" spans="1:7" ht="13.15">
      <c r="A161" s="16" t="str">
        <f ca="1">IFERROR(__xludf.DUMMYFUNCTION("""COMPUTED_VALUE"""),"5")</f>
        <v>5</v>
      </c>
      <c r="B161" s="17" t="str">
        <f ca="1">IFERROR(__xludf.DUMMYFUNCTION("""COMPUTED_VALUE"""),"Stinkiest! 20 Smelly Animals")</f>
        <v>Stinkiest! 20 Smelly Animals</v>
      </c>
      <c r="C161" s="16" t="str">
        <f ca="1">IFERROR(__xludf.DUMMYFUNCTION("""COMPUTED_VALUE"""),"N")</f>
        <v>N</v>
      </c>
      <c r="D161" s="17" t="str">
        <f ca="1">IFERROR(__xludf.DUMMYFUNCTION("""COMPUTED_VALUE"""),"Jenkins, Steve")</f>
        <v>Jenkins, Steve</v>
      </c>
      <c r="E161" s="18">
        <f ca="1">IFERROR(__xludf.DUMMYFUNCTION("""COMPUTED_VALUE"""),9781328841971)</f>
        <v>9781328841971</v>
      </c>
      <c r="F161" s="19"/>
      <c r="G161" s="19"/>
    </row>
    <row r="162" spans="1:7" ht="13.15">
      <c r="A162" s="16" t="str">
        <f ca="1">IFERROR(__xludf.DUMMYFUNCTION("""COMPUTED_VALUE"""),"5")</f>
        <v>5</v>
      </c>
      <c r="B162" s="17" t="str">
        <f ca="1">IFERROR(__xludf.DUMMYFUNCTION("""COMPUTED_VALUE"""),"Straw into Gold")</f>
        <v>Straw into Gold</v>
      </c>
      <c r="C162" s="16" t="str">
        <f ca="1">IFERROR(__xludf.DUMMYFUNCTION("""COMPUTED_VALUE"""),"F")</f>
        <v>F</v>
      </c>
      <c r="D162" s="17" t="str">
        <f ca="1">IFERROR(__xludf.DUMMYFUNCTION("""COMPUTED_VALUE"""),"Schmidt, Gary D.")</f>
        <v>Schmidt, Gary D.</v>
      </c>
      <c r="E162" s="18">
        <f ca="1">IFERROR(__xludf.DUMMYFUNCTION("""COMPUTED_VALUE"""),9780547237763)</f>
        <v>9780547237763</v>
      </c>
      <c r="F162" s="19"/>
      <c r="G162" s="19"/>
    </row>
    <row r="163" spans="1:7" ht="13.15">
      <c r="A163" s="16" t="str">
        <f ca="1">IFERROR(__xludf.DUMMYFUNCTION("""COMPUTED_VALUE"""),"5")</f>
        <v>5</v>
      </c>
      <c r="B163" s="17" t="str">
        <f ca="1">IFERROR(__xludf.DUMMYFUNCTION("""COMPUTED_VALUE"""),"Swim That Rock")</f>
        <v>Swim That Rock</v>
      </c>
      <c r="C163" s="16" t="str">
        <f ca="1">IFERROR(__xludf.DUMMYFUNCTION("""COMPUTED_VALUE"""),"F")</f>
        <v>F</v>
      </c>
      <c r="D163" s="17" t="str">
        <f ca="1">IFERROR(__xludf.DUMMYFUNCTION("""COMPUTED_VALUE"""),"Rocco, John &amp; Jay Primiano")</f>
        <v>Rocco, John &amp; Jay Primiano</v>
      </c>
      <c r="E163" s="18">
        <f ca="1">IFERROR(__xludf.DUMMYFUNCTION("""COMPUTED_VALUE"""),9780763694470)</f>
        <v>9780763694470</v>
      </c>
      <c r="F163" s="19"/>
      <c r="G163" s="19"/>
    </row>
    <row r="164" spans="1:7" ht="13.15">
      <c r="A164" s="16" t="str">
        <f ca="1">IFERROR(__xludf.DUMMYFUNCTION("""COMPUTED_VALUE"""),"5")</f>
        <v>5</v>
      </c>
      <c r="B164" s="17" t="str">
        <f ca="1">IFERROR(__xludf.DUMMYFUNCTION("""COMPUTED_VALUE"""),"A Tale Dark and Grimm")</f>
        <v>A Tale Dark and Grimm</v>
      </c>
      <c r="C164" s="16" t="str">
        <f ca="1">IFERROR(__xludf.DUMMYFUNCTION("""COMPUTED_VALUE"""),"F")</f>
        <v>F</v>
      </c>
      <c r="D164" s="17" t="str">
        <f ca="1">IFERROR(__xludf.DUMMYFUNCTION("""COMPUTED_VALUE"""),"Gidwitz, Adam")</f>
        <v>Gidwitz, Adam</v>
      </c>
      <c r="E164" s="18">
        <f ca="1">IFERROR(__xludf.DUMMYFUNCTION("""COMPUTED_VALUE"""),9780142419670)</f>
        <v>9780142419670</v>
      </c>
      <c r="F164" s="19"/>
      <c r="G164" s="19"/>
    </row>
    <row r="165" spans="1:7" ht="13.15">
      <c r="A165" s="16" t="str">
        <f ca="1">IFERROR(__xludf.DUMMYFUNCTION("""COMPUTED_VALUE"""),"5")</f>
        <v>5</v>
      </c>
      <c r="B165" s="17" t="str">
        <f ca="1">IFERROR(__xludf.DUMMYFUNCTION("""COMPUTED_VALUE"""),"Tales from the Odyssey, Part 1")</f>
        <v>Tales from the Odyssey, Part 1</v>
      </c>
      <c r="C165" s="16" t="str">
        <f ca="1">IFERROR(__xludf.DUMMYFUNCTION("""COMPUTED_VALUE"""),"F")</f>
        <v>F</v>
      </c>
      <c r="D165" s="17" t="str">
        <f ca="1">IFERROR(__xludf.DUMMYFUNCTION("""COMPUTED_VALUE"""),"Osborne, Mary Pope")</f>
        <v>Osborne, Mary Pope</v>
      </c>
      <c r="E165" s="18">
        <f ca="1">IFERROR(__xludf.DUMMYFUNCTION("""COMPUTED_VALUE"""),9781423128649)</f>
        <v>9781423128649</v>
      </c>
      <c r="F165" s="19"/>
      <c r="G165" s="19"/>
    </row>
    <row r="166" spans="1:7" ht="13.15">
      <c r="A166" s="16" t="str">
        <f ca="1">IFERROR(__xludf.DUMMYFUNCTION("""COMPUTED_VALUE"""),"5")</f>
        <v>5</v>
      </c>
      <c r="B166" s="17" t="str">
        <f ca="1">IFERROR(__xludf.DUMMYFUNCTION("""COMPUTED_VALUE"""),"Tales from the Odyssey, Part 2")</f>
        <v>Tales from the Odyssey, Part 2</v>
      </c>
      <c r="C166" s="16" t="str">
        <f ca="1">IFERROR(__xludf.DUMMYFUNCTION("""COMPUTED_VALUE"""),"F")</f>
        <v>F</v>
      </c>
      <c r="D166" s="17" t="str">
        <f ca="1">IFERROR(__xludf.DUMMYFUNCTION("""COMPUTED_VALUE"""),"Osborne, Mary Pope")</f>
        <v>Osborne, Mary Pope</v>
      </c>
      <c r="E166" s="18">
        <f ca="1">IFERROR(__xludf.DUMMYFUNCTION("""COMPUTED_VALUE"""),9781423126102)</f>
        <v>9781423126102</v>
      </c>
      <c r="F166" s="19"/>
      <c r="G166" s="19"/>
    </row>
    <row r="167" spans="1:7" ht="13.15">
      <c r="A167" s="16" t="str">
        <f ca="1">IFERROR(__xludf.DUMMYFUNCTION("""COMPUTED_VALUE"""),"5")</f>
        <v>5</v>
      </c>
      <c r="B167" s="17" t="str">
        <f ca="1">IFERROR(__xludf.DUMMYFUNCTION("""COMPUTED_VALUE"""),"Technology: Cool Women Who Code")</f>
        <v>Technology: Cool Women Who Code</v>
      </c>
      <c r="C167" s="16" t="str">
        <f ca="1">IFERROR(__xludf.DUMMYFUNCTION("""COMPUTED_VALUE"""),"N")</f>
        <v>N</v>
      </c>
      <c r="D167" s="17" t="str">
        <f ca="1">IFERROR(__xludf.DUMMYFUNCTION("""COMPUTED_VALUE"""),"Diehn, Andi")</f>
        <v>Diehn, Andi</v>
      </c>
      <c r="E167" s="18">
        <f ca="1">IFERROR(__xludf.DUMMYFUNCTION("""COMPUTED_VALUE"""),9781619303256)</f>
        <v>9781619303256</v>
      </c>
      <c r="F167" s="19"/>
      <c r="G167" s="19"/>
    </row>
    <row r="168" spans="1:7" ht="13.15">
      <c r="A168" s="16" t="str">
        <f ca="1">IFERROR(__xludf.DUMMYFUNCTION("""COMPUTED_VALUE"""),"5")</f>
        <v>5</v>
      </c>
      <c r="B168" s="17" t="str">
        <f ca="1">IFERROR(__xludf.DUMMYFUNCTION("""COMPUTED_VALUE"""),"Ten of the Best Adventures in Frozen Landscapes")</f>
        <v>Ten of the Best Adventures in Frozen Landscapes</v>
      </c>
      <c r="C168" s="16" t="str">
        <f ca="1">IFERROR(__xludf.DUMMYFUNCTION("""COMPUTED_VALUE"""),"N")</f>
        <v>N</v>
      </c>
      <c r="D168" s="17" t="str">
        <f ca="1">IFERROR(__xludf.DUMMYFUNCTION("""COMPUTED_VALUE"""),"West, David")</f>
        <v>West, David</v>
      </c>
      <c r="E168" s="18">
        <f ca="1">IFERROR(__xludf.DUMMYFUNCTION("""COMPUTED_VALUE"""),9780778718406)</f>
        <v>9780778718406</v>
      </c>
      <c r="F168" s="19"/>
      <c r="G168" s="19"/>
    </row>
    <row r="169" spans="1:7" ht="13.15">
      <c r="A169" s="16" t="str">
        <f ca="1">IFERROR(__xludf.DUMMYFUNCTION("""COMPUTED_VALUE"""),"5")</f>
        <v>5</v>
      </c>
      <c r="B169" s="17" t="str">
        <f ca="1">IFERROR(__xludf.DUMMYFUNCTION("""COMPUTED_VALUE"""),"Terezín: Voices from the Holocaust")</f>
        <v>Terezín: Voices from the Holocaust</v>
      </c>
      <c r="C169" s="16" t="str">
        <f ca="1">IFERROR(__xludf.DUMMYFUNCTION("""COMPUTED_VALUE"""),"N")</f>
        <v>N</v>
      </c>
      <c r="D169" s="17" t="str">
        <f ca="1">IFERROR(__xludf.DUMMYFUNCTION("""COMPUTED_VALUE"""),"Thomson, Ruth")</f>
        <v>Thomson, Ruth</v>
      </c>
      <c r="E169" s="18">
        <f ca="1">IFERROR(__xludf.DUMMYFUNCTION("""COMPUTED_VALUE"""),9780763664664)</f>
        <v>9780763664664</v>
      </c>
      <c r="F169" s="19"/>
      <c r="G169" s="19"/>
    </row>
    <row r="170" spans="1:7" ht="13.15">
      <c r="A170" s="16" t="str">
        <f ca="1">IFERROR(__xludf.DUMMYFUNCTION("""COMPUTED_VALUE"""),"5")</f>
        <v>5</v>
      </c>
      <c r="B170" s="17" t="str">
        <f ca="1">IFERROR(__xludf.DUMMYFUNCTION("""COMPUTED_VALUE"""),"Throwing Heat")</f>
        <v>Throwing Heat</v>
      </c>
      <c r="C170" s="16" t="str">
        <f ca="1">IFERROR(__xludf.DUMMYFUNCTION("""COMPUTED_VALUE"""),"F")</f>
        <v>F</v>
      </c>
      <c r="D170" s="17" t="str">
        <f ca="1">IFERROR(__xludf.DUMMYFUNCTION("""COMPUTED_VALUE"""),"Bowen, Fred")</f>
        <v>Bowen, Fred</v>
      </c>
      <c r="E170" s="18">
        <f ca="1">IFERROR(__xludf.DUMMYFUNCTION("""COMPUTED_VALUE"""),9781561455409)</f>
        <v>9781561455409</v>
      </c>
      <c r="F170" s="19"/>
      <c r="G170" s="19"/>
    </row>
    <row r="171" spans="1:7" ht="13.15">
      <c r="A171" s="16" t="str">
        <f ca="1">IFERROR(__xludf.DUMMYFUNCTION("""COMPUTED_VALUE"""),"5")</f>
        <v>5</v>
      </c>
      <c r="B171" s="17" t="str">
        <f ca="1">IFERROR(__xludf.DUMMYFUNCTION("""COMPUTED_VALUE"""),"Touch Blue")</f>
        <v>Touch Blue</v>
      </c>
      <c r="C171" s="16" t="str">
        <f ca="1">IFERROR(__xludf.DUMMYFUNCTION("""COMPUTED_VALUE"""),"F")</f>
        <v>F</v>
      </c>
      <c r="D171" s="17" t="str">
        <f ca="1">IFERROR(__xludf.DUMMYFUNCTION("""COMPUTED_VALUE"""),"Lord, Cynthia")</f>
        <v>Lord, Cynthia</v>
      </c>
      <c r="E171" s="18">
        <f ca="1">IFERROR(__xludf.DUMMYFUNCTION("""COMPUTED_VALUE"""),9780545035323)</f>
        <v>9780545035323</v>
      </c>
      <c r="F171" s="19"/>
      <c r="G171" s="19"/>
    </row>
    <row r="172" spans="1:7" ht="13.15">
      <c r="A172" s="16" t="str">
        <f ca="1">IFERROR(__xludf.DUMMYFUNCTION("""COMPUTED_VALUE"""),"5")</f>
        <v>5</v>
      </c>
      <c r="B172" s="17" t="str">
        <f ca="1">IFERROR(__xludf.DUMMYFUNCTION("""COMPUTED_VALUE"""),"Trickiest!: 19 Sneaky Animals")</f>
        <v>Trickiest!: 19 Sneaky Animals</v>
      </c>
      <c r="C172" s="16" t="str">
        <f ca="1">IFERROR(__xludf.DUMMYFUNCTION("""COMPUTED_VALUE"""),"N")</f>
        <v>N</v>
      </c>
      <c r="D172" s="17" t="str">
        <f ca="1">IFERROR(__xludf.DUMMYFUNCTION("""COMPUTED_VALUE"""),"Jenkins, Steve")</f>
        <v>Jenkins, Steve</v>
      </c>
      <c r="E172" s="18">
        <f ca="1">IFERROR(__xludf.DUMMYFUNCTION("""COMPUTED_VALUE"""),9781328841957)</f>
        <v>9781328841957</v>
      </c>
      <c r="F172" s="19"/>
      <c r="G172" s="19"/>
    </row>
    <row r="173" spans="1:7" ht="13.15">
      <c r="A173" s="16" t="str">
        <f ca="1">IFERROR(__xludf.DUMMYFUNCTION("""COMPUTED_VALUE"""),"5")</f>
        <v>5</v>
      </c>
      <c r="B173" s="17" t="str">
        <f ca="1">IFERROR(__xludf.DUMMYFUNCTION("""COMPUTED_VALUE"""),"The Ugly One")</f>
        <v>The Ugly One</v>
      </c>
      <c r="C173" s="16" t="str">
        <f ca="1">IFERROR(__xludf.DUMMYFUNCTION("""COMPUTED_VALUE"""),"F")</f>
        <v>F</v>
      </c>
      <c r="D173" s="17" t="str">
        <f ca="1">IFERROR(__xludf.DUMMYFUNCTION("""COMPUTED_VALUE"""),"Ellis, Leanne Statland")</f>
        <v>Ellis, Leanne Statland</v>
      </c>
      <c r="E173" s="18">
        <f ca="1">IFERROR(__xludf.DUMMYFUNCTION("""COMPUTED_VALUE"""),9780544439177)</f>
        <v>9780544439177</v>
      </c>
      <c r="F173" s="19"/>
      <c r="G173" s="19"/>
    </row>
    <row r="174" spans="1:7" ht="13.15">
      <c r="A174" s="16" t="str">
        <f ca="1">IFERROR(__xludf.DUMMYFUNCTION("""COMPUTED_VALUE"""),"5")</f>
        <v>5</v>
      </c>
      <c r="B174" s="17" t="str">
        <f ca="1">IFERROR(__xludf.DUMMYFUNCTION("""COMPUTED_VALUE"""),"Uncle Andy's")</f>
        <v>Uncle Andy's</v>
      </c>
      <c r="C174" s="16" t="str">
        <f ca="1">IFERROR(__xludf.DUMMYFUNCTION("""COMPUTED_VALUE"""),"N")</f>
        <v>N</v>
      </c>
      <c r="D174" s="17" t="str">
        <f ca="1">IFERROR(__xludf.DUMMYFUNCTION("""COMPUTED_VALUE"""),"Warhola, James")</f>
        <v>Warhola, James</v>
      </c>
      <c r="E174" s="18">
        <f ca="1">IFERROR(__xludf.DUMMYFUNCTION("""COMPUTED_VALUE"""),9780142403471)</f>
        <v>9780142403471</v>
      </c>
      <c r="F174" s="19"/>
      <c r="G174" s="19"/>
    </row>
    <row r="175" spans="1:7" ht="13.15">
      <c r="A175" s="16" t="str">
        <f ca="1">IFERROR(__xludf.DUMMYFUNCTION("""COMPUTED_VALUE"""),"5")</f>
        <v>5</v>
      </c>
      <c r="B175" s="17" t="str">
        <f ca="1">IFERROR(__xludf.DUMMYFUNCTION("""COMPUTED_VALUE"""),"Video Games")</f>
        <v>Video Games</v>
      </c>
      <c r="C175" s="16" t="str">
        <f ca="1">IFERROR(__xludf.DUMMYFUNCTION("""COMPUTED_VALUE"""),"N")</f>
        <v>N</v>
      </c>
      <c r="D175" s="17" t="str">
        <f ca="1">IFERROR(__xludf.DUMMYFUNCTION("""COMPUTED_VALUE"""),"Haugen, Hayley Mitchell")</f>
        <v>Haugen, Hayley Mitchell</v>
      </c>
      <c r="E175" s="18">
        <f ca="1">IFERROR(__xludf.DUMMYFUNCTION("""COMPUTED_VALUE"""),9781603575812)</f>
        <v>9781603575812</v>
      </c>
      <c r="F175" s="19"/>
      <c r="G175" s="19"/>
    </row>
    <row r="176" spans="1:7" ht="13.15">
      <c r="A176" s="16" t="str">
        <f ca="1">IFERROR(__xludf.DUMMYFUNCTION("""COMPUTED_VALUE"""),"5")</f>
        <v>5</v>
      </c>
      <c r="B176" s="17" t="str">
        <f ca="1">IFERROR(__xludf.DUMMYFUNCTION("""COMPUTED_VALUE"""),"Voice of Freedom: A Story about Frederick Douglass")</f>
        <v>Voice of Freedom: A Story about Frederick Douglass</v>
      </c>
      <c r="C176" s="16" t="str">
        <f ca="1">IFERROR(__xludf.DUMMYFUNCTION("""COMPUTED_VALUE"""),"N")</f>
        <v>N</v>
      </c>
      <c r="D176" s="17" t="str">
        <f ca="1">IFERROR(__xludf.DUMMYFUNCTION("""COMPUTED_VALUE"""),"Weidt, Maryann N.")</f>
        <v>Weidt, Maryann N.</v>
      </c>
      <c r="E176" s="18">
        <f ca="1">IFERROR(__xludf.DUMMYFUNCTION("""COMPUTED_VALUE"""),9781575055534)</f>
        <v>9781575055534</v>
      </c>
      <c r="F176" s="19"/>
      <c r="G176" s="19"/>
    </row>
    <row r="177" spans="1:7" ht="26.45">
      <c r="A177" s="16" t="str">
        <f ca="1">IFERROR(__xludf.DUMMYFUNCTION("""COMPUTED_VALUE"""),"5")</f>
        <v>5</v>
      </c>
      <c r="B177" s="17" t="str">
        <f ca="1">IFERROR(__xludf.DUMMYFUNCTION("""COMPUTED_VALUE"""),"A Warmer World: From Polar Bears to Butterflies, How Climate Change Affects Wildlife")</f>
        <v>A Warmer World: From Polar Bears to Butterflies, How Climate Change Affects Wildlife</v>
      </c>
      <c r="C177" s="16" t="str">
        <f ca="1">IFERROR(__xludf.DUMMYFUNCTION("""COMPUTED_VALUE"""),"N")</f>
        <v>N</v>
      </c>
      <c r="D177" s="17" t="str">
        <f ca="1">IFERROR(__xludf.DUMMYFUNCTION("""COMPUTED_VALUE"""),"Arnold, Caroline")</f>
        <v>Arnold, Caroline</v>
      </c>
      <c r="E177" s="18">
        <f ca="1">IFERROR(__xludf.DUMMYFUNCTION("""COMPUTED_VALUE"""),9781580892674)</f>
        <v>9781580892674</v>
      </c>
      <c r="F177" s="19"/>
      <c r="G177" s="19"/>
    </row>
    <row r="178" spans="1:7" ht="13.15">
      <c r="A178" s="16" t="str">
        <f ca="1">IFERROR(__xludf.DUMMYFUNCTION("""COMPUTED_VALUE"""),"5")</f>
        <v>5</v>
      </c>
      <c r="B178" s="17" t="str">
        <f ca="1">IFERROR(__xludf.DUMMYFUNCTION("""COMPUTED_VALUE"""),"Wayside School Gets a Little Stranger")</f>
        <v>Wayside School Gets a Little Stranger</v>
      </c>
      <c r="C178" s="16" t="str">
        <f ca="1">IFERROR(__xludf.DUMMYFUNCTION("""COMPUTED_VALUE"""),"F")</f>
        <v>F</v>
      </c>
      <c r="D178" s="17" t="str">
        <f ca="1">IFERROR(__xludf.DUMMYFUNCTION("""COMPUTED_VALUE"""),"Sachar, Louis")</f>
        <v>Sachar, Louis</v>
      </c>
      <c r="E178" s="18">
        <f ca="1">IFERROR(__xludf.DUMMYFUNCTION("""COMPUTED_VALUE"""),9780380731497)</f>
        <v>9780380731497</v>
      </c>
      <c r="F178" s="19"/>
      <c r="G178" s="19"/>
    </row>
    <row r="179" spans="1:7" ht="26.45">
      <c r="A179" s="16" t="str">
        <f ca="1">IFERROR(__xludf.DUMMYFUNCTION("""COMPUTED_VALUE"""),"5")</f>
        <v>5</v>
      </c>
      <c r="B179" s="17" t="str">
        <f ca="1">IFERROR(__xludf.DUMMYFUNCTION("""COMPUTED_VALUE"""),"What Are You Figuring Now? A Story about Benjamin Banneker")</f>
        <v>What Are You Figuring Now? A Story about Benjamin Banneker</v>
      </c>
      <c r="C179" s="16" t="str">
        <f ca="1">IFERROR(__xludf.DUMMYFUNCTION("""COMPUTED_VALUE"""),"N")</f>
        <v>N</v>
      </c>
      <c r="D179" s="17" t="str">
        <f ca="1">IFERROR(__xludf.DUMMYFUNCTION("""COMPUTED_VALUE"""),"Ferris, Jeri")</f>
        <v>Ferris, Jeri</v>
      </c>
      <c r="E179" s="18">
        <f ca="1">IFERROR(__xludf.DUMMYFUNCTION("""COMPUTED_VALUE"""),9780876145210)</f>
        <v>9780876145210</v>
      </c>
      <c r="F179" s="19"/>
      <c r="G179" s="19"/>
    </row>
    <row r="180" spans="1:7" ht="13.15">
      <c r="A180" s="16" t="str">
        <f ca="1">IFERROR(__xludf.DUMMYFUNCTION("""COMPUTED_VALUE"""),"5")</f>
        <v>5</v>
      </c>
      <c r="B180" s="17" t="str">
        <f ca="1">IFERROR(__xludf.DUMMYFUNCTION("""COMPUTED_VALUE"""),"What Do Fish Have to Do with Anything?")</f>
        <v>What Do Fish Have to Do with Anything?</v>
      </c>
      <c r="C180" s="16" t="str">
        <f ca="1">IFERROR(__xludf.DUMMYFUNCTION("""COMPUTED_VALUE"""),"F")</f>
        <v>F</v>
      </c>
      <c r="D180" s="17" t="str">
        <f ca="1">IFERROR(__xludf.DUMMYFUNCTION("""COMPUTED_VALUE"""),"Avi")</f>
        <v>Avi</v>
      </c>
      <c r="E180" s="18">
        <f ca="1">IFERROR(__xludf.DUMMYFUNCTION("""COMPUTED_VALUE"""),9780763623197)</f>
        <v>9780763623197</v>
      </c>
      <c r="F180" s="19"/>
      <c r="G180" s="19"/>
    </row>
    <row r="181" spans="1:7" ht="13.15">
      <c r="A181" s="16" t="str">
        <f ca="1">IFERROR(__xludf.DUMMYFUNCTION("""COMPUTED_VALUE"""),"5")</f>
        <v>5</v>
      </c>
      <c r="B181" s="17" t="str">
        <f ca="1">IFERROR(__xludf.DUMMYFUNCTION("""COMPUTED_VALUE"""),"What Is Energy?")</f>
        <v>What Is Energy?</v>
      </c>
      <c r="C181" s="16" t="str">
        <f ca="1">IFERROR(__xludf.DUMMYFUNCTION("""COMPUTED_VALUE"""),"N")</f>
        <v>N</v>
      </c>
      <c r="D181" s="17" t="str">
        <f ca="1">IFERROR(__xludf.DUMMYFUNCTION("""COMPUTED_VALUE"""),"Einspruch, Andrew")</f>
        <v>Einspruch, Andrew</v>
      </c>
      <c r="E181" s="18">
        <f ca="1">IFERROR(__xludf.DUMMYFUNCTION("""COMPUTED_VALUE"""),9781477763223)</f>
        <v>9781477763223</v>
      </c>
      <c r="F181" s="19"/>
      <c r="G181" s="19"/>
    </row>
    <row r="182" spans="1:7" ht="13.15">
      <c r="A182" s="16" t="str">
        <f ca="1">IFERROR(__xludf.DUMMYFUNCTION("""COMPUTED_VALUE"""),"5")</f>
        <v>5</v>
      </c>
      <c r="B182" s="17" t="str">
        <f ca="1">IFERROR(__xludf.DUMMYFUNCTION("""COMPUTED_VALUE"""),"What's Eating You? Parasites - the Inside Story")</f>
        <v>What's Eating You? Parasites - the Inside Story</v>
      </c>
      <c r="C182" s="16" t="str">
        <f ca="1">IFERROR(__xludf.DUMMYFUNCTION("""COMPUTED_VALUE"""),"N")</f>
        <v>N</v>
      </c>
      <c r="D182" s="17" t="str">
        <f ca="1">IFERROR(__xludf.DUMMYFUNCTION("""COMPUTED_VALUE"""),"Davies, Nicola")</f>
        <v>Davies, Nicola</v>
      </c>
      <c r="E182" s="18">
        <f ca="1">IFERROR(__xludf.DUMMYFUNCTION("""COMPUTED_VALUE"""),9780763645212)</f>
        <v>9780763645212</v>
      </c>
      <c r="F182" s="19"/>
      <c r="G182" s="19"/>
    </row>
    <row r="183" spans="1:7" ht="13.15">
      <c r="A183" s="16" t="str">
        <f ca="1">IFERROR(__xludf.DUMMYFUNCTION("""COMPUTED_VALUE"""),"5")</f>
        <v>5</v>
      </c>
      <c r="B183" s="17" t="str">
        <f ca="1">IFERROR(__xludf.DUMMYFUNCTION("""COMPUTED_VALUE"""),"Whatever Happened to the World of Tomorrow?")</f>
        <v>Whatever Happened to the World of Tomorrow?</v>
      </c>
      <c r="C183" s="16" t="str">
        <f ca="1">IFERROR(__xludf.DUMMYFUNCTION("""COMPUTED_VALUE"""),"F")</f>
        <v>F</v>
      </c>
      <c r="D183" s="17" t="str">
        <f ca="1">IFERROR(__xludf.DUMMYFUNCTION("""COMPUTED_VALUE"""),"Fies, Brian")</f>
        <v>Fies, Brian</v>
      </c>
      <c r="E183" s="18">
        <f ca="1">IFERROR(__xludf.DUMMYFUNCTION("""COMPUTED_VALUE"""),9781419704413)</f>
        <v>9781419704413</v>
      </c>
      <c r="F183" s="19"/>
      <c r="G183" s="19"/>
    </row>
    <row r="184" spans="1:7" ht="13.15">
      <c r="A184" s="16" t="str">
        <f ca="1">IFERROR(__xludf.DUMMYFUNCTION("""COMPUTED_VALUE"""),"5")</f>
        <v>5</v>
      </c>
      <c r="B184" s="17" t="str">
        <f ca="1">IFERROR(__xludf.DUMMYFUNCTION("""COMPUTED_VALUE"""),"Wheels of Change")</f>
        <v>Wheels of Change</v>
      </c>
      <c r="C184" s="16" t="str">
        <f ca="1">IFERROR(__xludf.DUMMYFUNCTION("""COMPUTED_VALUE"""),"N")</f>
        <v>N</v>
      </c>
      <c r="D184" s="17" t="str">
        <f ca="1">IFERROR(__xludf.DUMMYFUNCTION("""COMPUTED_VALUE"""),"Macy, Sue")</f>
        <v>Macy, Sue</v>
      </c>
      <c r="E184" s="18">
        <f ca="1">IFERROR(__xludf.DUMMYFUNCTION("""COMPUTED_VALUE"""),9781426328558)</f>
        <v>9781426328558</v>
      </c>
      <c r="F184" s="19"/>
      <c r="G184" s="19"/>
    </row>
    <row r="185" spans="1:7" ht="13.15">
      <c r="A185" s="16" t="str">
        <f ca="1">IFERROR(__xludf.DUMMYFUNCTION("""COMPUTED_VALUE"""),"5")</f>
        <v>5</v>
      </c>
      <c r="B185" s="17" t="str">
        <f ca="1">IFERROR(__xludf.DUMMYFUNCTION("""COMPUTED_VALUE"""),"When the Sea Turned to Silver")</f>
        <v>When the Sea Turned to Silver</v>
      </c>
      <c r="C185" s="16" t="str">
        <f ca="1">IFERROR(__xludf.DUMMYFUNCTION("""COMPUTED_VALUE"""),"F")</f>
        <v>F</v>
      </c>
      <c r="D185" s="17" t="str">
        <f ca="1">IFERROR(__xludf.DUMMYFUNCTION("""COMPUTED_VALUE"""),"Lin, Grace")</f>
        <v>Lin, Grace</v>
      </c>
      <c r="E185" s="18">
        <f ca="1">IFERROR(__xludf.DUMMYFUNCTION("""COMPUTED_VALUE"""),9780316125949)</f>
        <v>9780316125949</v>
      </c>
      <c r="F185" s="19"/>
      <c r="G185" s="19"/>
    </row>
    <row r="186" spans="1:7" ht="13.15">
      <c r="A186" s="16" t="str">
        <f ca="1">IFERROR(__xludf.DUMMYFUNCTION("""COMPUTED_VALUE"""),"5")</f>
        <v>5</v>
      </c>
      <c r="B186" s="17" t="str">
        <f ca="1">IFERROR(__xludf.DUMMYFUNCTION("""COMPUTED_VALUE"""),"Why Is This Night Different from All Other Nights?")</f>
        <v>Why Is This Night Different from All Other Nights?</v>
      </c>
      <c r="C186" s="16" t="str">
        <f ca="1">IFERROR(__xludf.DUMMYFUNCTION("""COMPUTED_VALUE"""),"F")</f>
        <v>F</v>
      </c>
      <c r="D186" s="17" t="str">
        <f ca="1">IFERROR(__xludf.DUMMYFUNCTION("""COMPUTED_VALUE"""),"Snicket, Lemony")</f>
        <v>Snicket, Lemony</v>
      </c>
      <c r="E186" s="18">
        <f ca="1">IFERROR(__xludf.DUMMYFUNCTION("""COMPUTED_VALUE"""),9780316380621)</f>
        <v>9780316380621</v>
      </c>
      <c r="F186" s="19"/>
      <c r="G186" s="19"/>
    </row>
    <row r="187" spans="1:7" ht="13.15">
      <c r="A187" s="16" t="str">
        <f ca="1">IFERROR(__xludf.DUMMYFUNCTION("""COMPUTED_VALUE"""),"5")</f>
        <v>5</v>
      </c>
      <c r="B187" s="17" t="str">
        <f ca="1">IFERROR(__xludf.DUMMYFUNCTION("""COMPUTED_VALUE"""),"The Wide Window or, Disappearance!")</f>
        <v>The Wide Window or, Disappearance!</v>
      </c>
      <c r="C187" s="16" t="str">
        <f ca="1">IFERROR(__xludf.DUMMYFUNCTION("""COMPUTED_VALUE"""),"F")</f>
        <v>F</v>
      </c>
      <c r="D187" s="17" t="str">
        <f ca="1">IFERROR(__xludf.DUMMYFUNCTION("""COMPUTED_VALUE"""),"Snicket, Lemony")</f>
        <v>Snicket, Lemony</v>
      </c>
      <c r="E187" s="18">
        <f ca="1">IFERROR(__xludf.DUMMYFUNCTION("""COMPUTED_VALUE"""),9780061146336)</f>
        <v>9780061146336</v>
      </c>
      <c r="F187" s="19"/>
      <c r="G187" s="19"/>
    </row>
    <row r="188" spans="1:7" ht="13.15">
      <c r="A188" s="16" t="str">
        <f ca="1">IFERROR(__xludf.DUMMYFUNCTION("""COMPUTED_VALUE"""),"5")</f>
        <v>5</v>
      </c>
      <c r="B188" s="17" t="str">
        <f ca="1">IFERROR(__xludf.DUMMYFUNCTION("""COMPUTED_VALUE"""),"Winter Frost")</f>
        <v>Winter Frost</v>
      </c>
      <c r="C188" s="16" t="str">
        <f ca="1">IFERROR(__xludf.DUMMYFUNCTION("""COMPUTED_VALUE"""),"F")</f>
        <v>F</v>
      </c>
      <c r="D188" s="17" t="str">
        <f ca="1">IFERROR(__xludf.DUMMYFUNCTION("""COMPUTED_VALUE"""),"Houts, Michelle")</f>
        <v>Houts, Michelle</v>
      </c>
      <c r="E188" s="18">
        <f ca="1">IFERROR(__xludf.DUMMYFUNCTION("""COMPUTED_VALUE"""),9780763691011)</f>
        <v>9780763691011</v>
      </c>
      <c r="F188" s="19"/>
      <c r="G188" s="19"/>
    </row>
    <row r="189" spans="1:7" ht="13.15">
      <c r="A189" s="16" t="str">
        <f ca="1">IFERROR(__xludf.DUMMYFUNCTION("""COMPUTED_VALUE"""),"5")</f>
        <v>5</v>
      </c>
      <c r="B189" s="17" t="str">
        <f ca="1">IFERROR(__xludf.DUMMYFUNCTION("""COMPUTED_VALUE"""),"Women and Girls in the Middle Ages")</f>
        <v>Women and Girls in the Middle Ages</v>
      </c>
      <c r="C189" s="16" t="str">
        <f ca="1">IFERROR(__xludf.DUMMYFUNCTION("""COMPUTED_VALUE"""),"N")</f>
        <v>N</v>
      </c>
      <c r="D189" s="17" t="str">
        <f ca="1">IFERROR(__xludf.DUMMYFUNCTION("""COMPUTED_VALUE"""),"Eastwood, Kay")</f>
        <v>Eastwood, Kay</v>
      </c>
      <c r="E189" s="18">
        <f ca="1">IFERROR(__xludf.DUMMYFUNCTION("""COMPUTED_VALUE"""),9780778713784)</f>
        <v>9780778713784</v>
      </c>
      <c r="F189" s="19"/>
      <c r="G189" s="19"/>
    </row>
    <row r="190" spans="1:7" ht="13.15">
      <c r="A190" s="16" t="str">
        <f ca="1">IFERROR(__xludf.DUMMYFUNCTION("""COMPUTED_VALUE"""),"5")</f>
        <v>5</v>
      </c>
      <c r="B190" s="17" t="str">
        <f ca="1">IFERROR(__xludf.DUMMYFUNCTION("""COMPUTED_VALUE"""),"Women in Sports")</f>
        <v>Women in Sports</v>
      </c>
      <c r="C190" s="16" t="str">
        <f ca="1">IFERROR(__xludf.DUMMYFUNCTION("""COMPUTED_VALUE"""),"N")</f>
        <v>N</v>
      </c>
      <c r="D190" s="17" t="str">
        <f ca="1">IFERROR(__xludf.DUMMYFUNCTION("""COMPUTED_VALUE"""),"Kwa, Katie")</f>
        <v>Kwa, Katie</v>
      </c>
      <c r="E190" s="18">
        <f ca="1">IFERROR(__xludf.DUMMYFUNCTION("""COMPUTED_VALUE"""),9781499410518)</f>
        <v>9781499410518</v>
      </c>
      <c r="F190" s="19"/>
      <c r="G190" s="19"/>
    </row>
    <row r="191" spans="1:7" ht="13.15">
      <c r="A191" s="16" t="str">
        <f ca="1">IFERROR(__xludf.DUMMYFUNCTION("""COMPUTED_VALUE"""),"5")</f>
        <v>5</v>
      </c>
      <c r="B191" s="17" t="str">
        <f ca="1">IFERROR(__xludf.DUMMYFUNCTION("""COMPUTED_VALUE"""),"Yang the Third and Her Impossible Family")</f>
        <v>Yang the Third and Her Impossible Family</v>
      </c>
      <c r="C191" s="16" t="str">
        <f ca="1">IFERROR(__xludf.DUMMYFUNCTION("""COMPUTED_VALUE"""),"F")</f>
        <v>F</v>
      </c>
      <c r="D191" s="17" t="str">
        <f ca="1">IFERROR(__xludf.DUMMYFUNCTION("""COMPUTED_VALUE"""),"Namioka, Lensey")</f>
        <v>Namioka, Lensey</v>
      </c>
      <c r="E191" s="18">
        <f ca="1">IFERROR(__xludf.DUMMYFUNCTION("""COMPUTED_VALUE"""),9780440412311)</f>
        <v>9780440412311</v>
      </c>
      <c r="F191" s="19"/>
      <c r="G191" s="19"/>
    </row>
    <row r="192" spans="1:7" ht="13.15">
      <c r="A192" s="16" t="str">
        <f ca="1">IFERROR(__xludf.DUMMYFUNCTION("""COMPUTED_VALUE"""),"5")</f>
        <v>5</v>
      </c>
      <c r="B192" s="17" t="str">
        <f ca="1">IFERROR(__xludf.DUMMYFUNCTION("""COMPUTED_VALUE"""),"The Year of the Three Sisters")</f>
        <v>The Year of the Three Sisters</v>
      </c>
      <c r="C192" s="16" t="str">
        <f ca="1">IFERROR(__xludf.DUMMYFUNCTION("""COMPUTED_VALUE"""),"F")</f>
        <v>F</v>
      </c>
      <c r="D192" s="17" t="str">
        <f ca="1">IFERROR(__xludf.DUMMYFUNCTION("""COMPUTED_VALUE"""),"Cheng, Andrea")</f>
        <v>Cheng, Andrea</v>
      </c>
      <c r="E192" s="18">
        <f ca="1">IFERROR(__xludf.DUMMYFUNCTION("""COMPUTED_VALUE"""),9780544668492)</f>
        <v>9780544668492</v>
      </c>
      <c r="F192" s="19"/>
      <c r="G192" s="19"/>
    </row>
    <row r="193" spans="1:7" ht="13.15">
      <c r="A193" s="16" t="str">
        <f ca="1">IFERROR(__xludf.DUMMYFUNCTION("""COMPUTED_VALUE"""),"5")</f>
        <v>5</v>
      </c>
      <c r="B193" s="17" t="str">
        <f ca="1">IFERROR(__xludf.DUMMYFUNCTION("""COMPUTED_VALUE"""),"You Wouldn't Want to Live Without Extreme Weather!")</f>
        <v>You Wouldn't Want to Live Without Extreme Weather!</v>
      </c>
      <c r="C193" s="16" t="str">
        <f ca="1">IFERROR(__xludf.DUMMYFUNCTION("""COMPUTED_VALUE"""),"N")</f>
        <v>N</v>
      </c>
      <c r="D193" s="17" t="str">
        <f ca="1">IFERROR(__xludf.DUMMYFUNCTION("""COMPUTED_VALUE"""),"Canavan, Roger")</f>
        <v>Canavan, Roger</v>
      </c>
      <c r="E193" s="18">
        <f ca="1">IFERROR(__xludf.DUMMYFUNCTION("""COMPUTED_VALUE"""),9780531214084)</f>
        <v>9780531214084</v>
      </c>
      <c r="F193" s="19"/>
      <c r="G193" s="19"/>
    </row>
    <row r="194" spans="1:7" ht="13.15">
      <c r="A194" s="16" t="str">
        <f ca="1">IFERROR(__xludf.DUMMYFUNCTION("""COMPUTED_VALUE"""),"5")</f>
        <v>5</v>
      </c>
      <c r="B194" s="17" t="str">
        <f ca="1">IFERROR(__xludf.DUMMYFUNCTION("""COMPUTED_VALUE"""),"You Wouldn't Want to Live Without Fire!")</f>
        <v>You Wouldn't Want to Live Without Fire!</v>
      </c>
      <c r="C194" s="16" t="str">
        <f ca="1">IFERROR(__xludf.DUMMYFUNCTION("""COMPUTED_VALUE"""),"N")</f>
        <v>N</v>
      </c>
      <c r="D194" s="17" t="str">
        <f ca="1">IFERROR(__xludf.DUMMYFUNCTION("""COMPUTED_VALUE"""),"Woolf, Alex")</f>
        <v>Woolf, Alex</v>
      </c>
      <c r="E194" s="18">
        <f ca="1">IFERROR(__xludf.DUMMYFUNCTION("""COMPUTED_VALUE"""),9780531214077)</f>
        <v>9780531214077</v>
      </c>
      <c r="F194" s="19"/>
      <c r="G194" s="19"/>
    </row>
    <row r="195" spans="1:7" ht="13.15">
      <c r="A195" s="16" t="str">
        <f ca="1">IFERROR(__xludf.DUMMYFUNCTION("""COMPUTED_VALUE"""),"5")</f>
        <v>5</v>
      </c>
      <c r="B195" s="17" t="str">
        <f ca="1">IFERROR(__xludf.DUMMYFUNCTION("""COMPUTED_VALUE"""),"You Wouldn't Want to Live Without Glass!")</f>
        <v>You Wouldn't Want to Live Without Glass!</v>
      </c>
      <c r="C195" s="16" t="str">
        <f ca="1">IFERROR(__xludf.DUMMYFUNCTION("""COMPUTED_VALUE"""),"N")</f>
        <v>N</v>
      </c>
      <c r="D195" s="17" t="str">
        <f ca="1">IFERROR(__xludf.DUMMYFUNCTION("""COMPUTED_VALUE"""),"Graham, Ian")</f>
        <v>Graham, Ian</v>
      </c>
      <c r="E195" s="18">
        <f ca="1">IFERROR(__xludf.DUMMYFUNCTION("""COMPUTED_VALUE"""),9780531224892)</f>
        <v>9780531224892</v>
      </c>
      <c r="F195" s="19"/>
      <c r="G195" s="19"/>
    </row>
    <row r="196" spans="1:7" ht="13.15">
      <c r="A196" s="16" t="str">
        <f ca="1">IFERROR(__xludf.DUMMYFUNCTION("""COMPUTED_VALUE"""),"5")</f>
        <v>5</v>
      </c>
      <c r="B196" s="17" t="str">
        <f ca="1">IFERROR(__xludf.DUMMYFUNCTION("""COMPUTED_VALUE"""),"You Wouldn't Want to Live Without Gravity!")</f>
        <v>You Wouldn't Want to Live Without Gravity!</v>
      </c>
      <c r="C196" s="16" t="str">
        <f ca="1">IFERROR(__xludf.DUMMYFUNCTION("""COMPUTED_VALUE"""),"N")</f>
        <v>N</v>
      </c>
      <c r="D196" s="17" t="str">
        <f ca="1">IFERROR(__xludf.DUMMYFUNCTION("""COMPUTED_VALUE"""),"Rooney, Anne")</f>
        <v>Rooney, Anne</v>
      </c>
      <c r="E196" s="18">
        <f ca="1">IFERROR(__xludf.DUMMYFUNCTION("""COMPUTED_VALUE"""),9780531224373)</f>
        <v>9780531224373</v>
      </c>
      <c r="F196" s="19"/>
      <c r="G196" s="19"/>
    </row>
    <row r="197" spans="1:7" ht="13.15">
      <c r="A197" s="16" t="str">
        <f ca="1">IFERROR(__xludf.DUMMYFUNCTION("""COMPUTED_VALUE"""),"5")</f>
        <v>5</v>
      </c>
      <c r="B197" s="17" t="str">
        <f ca="1">IFERROR(__xludf.DUMMYFUNCTION("""COMPUTED_VALUE"""),"You Wouldn't Want to Live Without Sleep!")</f>
        <v>You Wouldn't Want to Live Without Sleep!</v>
      </c>
      <c r="C197" s="16" t="str">
        <f ca="1">IFERROR(__xludf.DUMMYFUNCTION("""COMPUTED_VALUE"""),"N")</f>
        <v>N</v>
      </c>
      <c r="D197" s="17" t="str">
        <f ca="1">IFERROR(__xludf.DUMMYFUNCTION("""COMPUTED_VALUE"""),"Pipe, Jim")</f>
        <v>Pipe, Jim</v>
      </c>
      <c r="E197" s="18">
        <f ca="1">IFERROR(__xludf.DUMMYFUNCTION("""COMPUTED_VALUE"""),9780531224427)</f>
        <v>9780531224427</v>
      </c>
      <c r="F197" s="19"/>
      <c r="G197" s="19"/>
    </row>
    <row r="198" spans="1:7" ht="13.15">
      <c r="A198" s="16" t="str">
        <f ca="1">IFERROR(__xludf.DUMMYFUNCTION("""COMPUTED_VALUE"""),"5")</f>
        <v>5</v>
      </c>
      <c r="B198" s="17" t="str">
        <f ca="1">IFERROR(__xludf.DUMMYFUNCTION("""COMPUTED_VALUE"""),"Zebra Forest")</f>
        <v>Zebra Forest</v>
      </c>
      <c r="C198" s="16" t="str">
        <f ca="1">IFERROR(__xludf.DUMMYFUNCTION("""COMPUTED_VALUE"""),"F")</f>
        <v>F</v>
      </c>
      <c r="D198" s="17" t="str">
        <f ca="1">IFERROR(__xludf.DUMMYFUNCTION("""COMPUTED_VALUE"""),"Gewirtz, Adina Rishe")</f>
        <v>Gewirtz, Adina Rishe</v>
      </c>
      <c r="E198" s="18">
        <f ca="1">IFERROR(__xludf.DUMMYFUNCTION("""COMPUTED_VALUE"""),9780763671662)</f>
        <v>9780763671662</v>
      </c>
      <c r="F198" s="19"/>
      <c r="G198" s="19"/>
    </row>
    <row r="199" spans="1:7" ht="13.15">
      <c r="A199" s="16" t="str">
        <f ca="1">IFERROR(__xludf.DUMMYFUNCTION("""COMPUTED_VALUE"""),"5")</f>
        <v>5</v>
      </c>
      <c r="B199" s="17" t="str">
        <f ca="1">IFERROR(__xludf.DUMMYFUNCTION("""COMPUTED_VALUE"""),"Zora and Me")</f>
        <v>Zora and Me</v>
      </c>
      <c r="C199" s="16" t="str">
        <f ca="1">IFERROR(__xludf.DUMMYFUNCTION("""COMPUTED_VALUE"""),"F")</f>
        <v>F</v>
      </c>
      <c r="D199" s="17" t="str">
        <f ca="1">IFERROR(__xludf.DUMMYFUNCTION("""COMPUTED_VALUE"""),"Bond, Victoria &amp; T. R. Simon")</f>
        <v>Bond, Victoria &amp; T. R. Simon</v>
      </c>
      <c r="E199" s="18">
        <f ca="1">IFERROR(__xludf.DUMMYFUNCTION("""COMPUTED_VALUE"""),9780763658144)</f>
        <v>9780763658144</v>
      </c>
      <c r="F199" s="19"/>
      <c r="G199" s="19"/>
    </row>
  </sheetData>
  <mergeCells count="1">
    <mergeCell ref="A1:G1"/>
  </mergeCells>
  <conditionalFormatting sqref="A2">
    <cfRule type="expression" dxfId="2" priority="1">
      <formula>B2=""</formula>
    </cfRule>
  </conditionalFormatting>
  <conditionalFormatting sqref="B2:B608">
    <cfRule type="expression" dxfId="1" priority="3">
      <formula>D2=""</formula>
    </cfRule>
  </conditionalFormatting>
  <conditionalFormatting sqref="C2:C608">
    <cfRule type="beginsWith" dxfId="0" priority="2" operator="beginsWith" text="N">
      <formula>LEFT((C2),LEN("N"))=("N")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CE7A-2FB8-4B63-8535-2D317D900882}">
  <sheetPr>
    <tabColor theme="5"/>
  </sheetPr>
  <dimension ref="A1:C112"/>
  <sheetViews>
    <sheetView workbookViewId="0">
      <selection activeCell="A151" sqref="A151"/>
    </sheetView>
  </sheetViews>
  <sheetFormatPr defaultRowHeight="13.15"/>
  <cols>
    <col min="1" max="1" width="14.140625" style="20" bestFit="1" customWidth="1"/>
    <col min="2" max="2" width="67.28515625" style="20" bestFit="1" customWidth="1"/>
    <col min="3" max="3" width="39.140625" style="20" bestFit="1" customWidth="1"/>
    <col min="4" max="251" width="8.85546875" style="20"/>
    <col min="252" max="252" width="10.140625" style="20" bestFit="1" customWidth="1"/>
    <col min="253" max="253" width="7.7109375" style="20" bestFit="1" customWidth="1"/>
    <col min="254" max="254" width="14.140625" style="20" bestFit="1" customWidth="1"/>
    <col min="255" max="255" width="67.28515625" style="20" bestFit="1" customWidth="1"/>
    <col min="256" max="256" width="39.140625" style="20" bestFit="1" customWidth="1"/>
    <col min="257" max="257" width="8.85546875" style="20" bestFit="1" customWidth="1"/>
    <col min="258" max="258" width="9.7109375" style="20" bestFit="1" customWidth="1"/>
    <col min="259" max="259" width="13.85546875" style="20" bestFit="1" customWidth="1"/>
    <col min="260" max="507" width="8.85546875" style="20"/>
    <col min="508" max="508" width="10.140625" style="20" bestFit="1" customWidth="1"/>
    <col min="509" max="509" width="7.7109375" style="20" bestFit="1" customWidth="1"/>
    <col min="510" max="510" width="14.140625" style="20" bestFit="1" customWidth="1"/>
    <col min="511" max="511" width="67.28515625" style="20" bestFit="1" customWidth="1"/>
    <col min="512" max="512" width="39.140625" style="20" bestFit="1" customWidth="1"/>
    <col min="513" max="513" width="8.85546875" style="20" bestFit="1" customWidth="1"/>
    <col min="514" max="514" width="9.7109375" style="20" bestFit="1" customWidth="1"/>
    <col min="515" max="515" width="13.85546875" style="20" bestFit="1" customWidth="1"/>
    <col min="516" max="763" width="8.85546875" style="20"/>
    <col min="764" max="764" width="10.140625" style="20" bestFit="1" customWidth="1"/>
    <col min="765" max="765" width="7.7109375" style="20" bestFit="1" customWidth="1"/>
    <col min="766" max="766" width="14.140625" style="20" bestFit="1" customWidth="1"/>
    <col min="767" max="767" width="67.28515625" style="20" bestFit="1" customWidth="1"/>
    <col min="768" max="768" width="39.140625" style="20" bestFit="1" customWidth="1"/>
    <col min="769" max="769" width="8.85546875" style="20" bestFit="1" customWidth="1"/>
    <col min="770" max="770" width="9.7109375" style="20" bestFit="1" customWidth="1"/>
    <col min="771" max="771" width="13.85546875" style="20" bestFit="1" customWidth="1"/>
    <col min="772" max="1019" width="8.85546875" style="20"/>
    <col min="1020" max="1020" width="10.140625" style="20" bestFit="1" customWidth="1"/>
    <col min="1021" max="1021" width="7.7109375" style="20" bestFit="1" customWidth="1"/>
    <col min="1022" max="1022" width="14.140625" style="20" bestFit="1" customWidth="1"/>
    <col min="1023" max="1023" width="67.28515625" style="20" bestFit="1" customWidth="1"/>
    <col min="1024" max="1024" width="39.140625" style="20" bestFit="1" customWidth="1"/>
    <col min="1025" max="1025" width="8.85546875" style="20" bestFit="1" customWidth="1"/>
    <col min="1026" max="1026" width="9.7109375" style="20" bestFit="1" customWidth="1"/>
    <col min="1027" max="1027" width="13.85546875" style="20" bestFit="1" customWidth="1"/>
    <col min="1028" max="1275" width="8.85546875" style="20"/>
    <col min="1276" max="1276" width="10.140625" style="20" bestFit="1" customWidth="1"/>
    <col min="1277" max="1277" width="7.7109375" style="20" bestFit="1" customWidth="1"/>
    <col min="1278" max="1278" width="14.140625" style="20" bestFit="1" customWidth="1"/>
    <col min="1279" max="1279" width="67.28515625" style="20" bestFit="1" customWidth="1"/>
    <col min="1280" max="1280" width="39.140625" style="20" bestFit="1" customWidth="1"/>
    <col min="1281" max="1281" width="8.85546875" style="20" bestFit="1" customWidth="1"/>
    <col min="1282" max="1282" width="9.7109375" style="20" bestFit="1" customWidth="1"/>
    <col min="1283" max="1283" width="13.85546875" style="20" bestFit="1" customWidth="1"/>
    <col min="1284" max="1531" width="8.85546875" style="20"/>
    <col min="1532" max="1532" width="10.140625" style="20" bestFit="1" customWidth="1"/>
    <col min="1533" max="1533" width="7.7109375" style="20" bestFit="1" customWidth="1"/>
    <col min="1534" max="1534" width="14.140625" style="20" bestFit="1" customWidth="1"/>
    <col min="1535" max="1535" width="67.28515625" style="20" bestFit="1" customWidth="1"/>
    <col min="1536" max="1536" width="39.140625" style="20" bestFit="1" customWidth="1"/>
    <col min="1537" max="1537" width="8.85546875" style="20" bestFit="1" customWidth="1"/>
    <col min="1538" max="1538" width="9.7109375" style="20" bestFit="1" customWidth="1"/>
    <col min="1539" max="1539" width="13.85546875" style="20" bestFit="1" customWidth="1"/>
    <col min="1540" max="1787" width="8.85546875" style="20"/>
    <col min="1788" max="1788" width="10.140625" style="20" bestFit="1" customWidth="1"/>
    <col min="1789" max="1789" width="7.7109375" style="20" bestFit="1" customWidth="1"/>
    <col min="1790" max="1790" width="14.140625" style="20" bestFit="1" customWidth="1"/>
    <col min="1791" max="1791" width="67.28515625" style="20" bestFit="1" customWidth="1"/>
    <col min="1792" max="1792" width="39.140625" style="20" bestFit="1" customWidth="1"/>
    <col min="1793" max="1793" width="8.85546875" style="20" bestFit="1" customWidth="1"/>
    <col min="1794" max="1794" width="9.7109375" style="20" bestFit="1" customWidth="1"/>
    <col min="1795" max="1795" width="13.85546875" style="20" bestFit="1" customWidth="1"/>
    <col min="1796" max="2043" width="8.85546875" style="20"/>
    <col min="2044" max="2044" width="10.140625" style="20" bestFit="1" customWidth="1"/>
    <col min="2045" max="2045" width="7.7109375" style="20" bestFit="1" customWidth="1"/>
    <col min="2046" max="2046" width="14.140625" style="20" bestFit="1" customWidth="1"/>
    <col min="2047" max="2047" width="67.28515625" style="20" bestFit="1" customWidth="1"/>
    <col min="2048" max="2048" width="39.140625" style="20" bestFit="1" customWidth="1"/>
    <col min="2049" max="2049" width="8.85546875" style="20" bestFit="1" customWidth="1"/>
    <col min="2050" max="2050" width="9.7109375" style="20" bestFit="1" customWidth="1"/>
    <col min="2051" max="2051" width="13.85546875" style="20" bestFit="1" customWidth="1"/>
    <col min="2052" max="2299" width="8.85546875" style="20"/>
    <col min="2300" max="2300" width="10.140625" style="20" bestFit="1" customWidth="1"/>
    <col min="2301" max="2301" width="7.7109375" style="20" bestFit="1" customWidth="1"/>
    <col min="2302" max="2302" width="14.140625" style="20" bestFit="1" customWidth="1"/>
    <col min="2303" max="2303" width="67.28515625" style="20" bestFit="1" customWidth="1"/>
    <col min="2304" max="2304" width="39.140625" style="20" bestFit="1" customWidth="1"/>
    <col min="2305" max="2305" width="8.85546875" style="20" bestFit="1" customWidth="1"/>
    <col min="2306" max="2306" width="9.7109375" style="20" bestFit="1" customWidth="1"/>
    <col min="2307" max="2307" width="13.85546875" style="20" bestFit="1" customWidth="1"/>
    <col min="2308" max="2555" width="8.85546875" style="20"/>
    <col min="2556" max="2556" width="10.140625" style="20" bestFit="1" customWidth="1"/>
    <col min="2557" max="2557" width="7.7109375" style="20" bestFit="1" customWidth="1"/>
    <col min="2558" max="2558" width="14.140625" style="20" bestFit="1" customWidth="1"/>
    <col min="2559" max="2559" width="67.28515625" style="20" bestFit="1" customWidth="1"/>
    <col min="2560" max="2560" width="39.140625" style="20" bestFit="1" customWidth="1"/>
    <col min="2561" max="2561" width="8.85546875" style="20" bestFit="1" customWidth="1"/>
    <col min="2562" max="2562" width="9.7109375" style="20" bestFit="1" customWidth="1"/>
    <col min="2563" max="2563" width="13.85546875" style="20" bestFit="1" customWidth="1"/>
    <col min="2564" max="2811" width="8.85546875" style="20"/>
    <col min="2812" max="2812" width="10.140625" style="20" bestFit="1" customWidth="1"/>
    <col min="2813" max="2813" width="7.7109375" style="20" bestFit="1" customWidth="1"/>
    <col min="2814" max="2814" width="14.140625" style="20" bestFit="1" customWidth="1"/>
    <col min="2815" max="2815" width="67.28515625" style="20" bestFit="1" customWidth="1"/>
    <col min="2816" max="2816" width="39.140625" style="20" bestFit="1" customWidth="1"/>
    <col min="2817" max="2817" width="8.85546875" style="20" bestFit="1" customWidth="1"/>
    <col min="2818" max="2818" width="9.7109375" style="20" bestFit="1" customWidth="1"/>
    <col min="2819" max="2819" width="13.85546875" style="20" bestFit="1" customWidth="1"/>
    <col min="2820" max="3067" width="8.85546875" style="20"/>
    <col min="3068" max="3068" width="10.140625" style="20" bestFit="1" customWidth="1"/>
    <col min="3069" max="3069" width="7.7109375" style="20" bestFit="1" customWidth="1"/>
    <col min="3070" max="3070" width="14.140625" style="20" bestFit="1" customWidth="1"/>
    <col min="3071" max="3071" width="67.28515625" style="20" bestFit="1" customWidth="1"/>
    <col min="3072" max="3072" width="39.140625" style="20" bestFit="1" customWidth="1"/>
    <col min="3073" max="3073" width="8.85546875" style="20" bestFit="1" customWidth="1"/>
    <col min="3074" max="3074" width="9.7109375" style="20" bestFit="1" customWidth="1"/>
    <col min="3075" max="3075" width="13.85546875" style="20" bestFit="1" customWidth="1"/>
    <col min="3076" max="3323" width="8.85546875" style="20"/>
    <col min="3324" max="3324" width="10.140625" style="20" bestFit="1" customWidth="1"/>
    <col min="3325" max="3325" width="7.7109375" style="20" bestFit="1" customWidth="1"/>
    <col min="3326" max="3326" width="14.140625" style="20" bestFit="1" customWidth="1"/>
    <col min="3327" max="3327" width="67.28515625" style="20" bestFit="1" customWidth="1"/>
    <col min="3328" max="3328" width="39.140625" style="20" bestFit="1" customWidth="1"/>
    <col min="3329" max="3329" width="8.85546875" style="20" bestFit="1" customWidth="1"/>
    <col min="3330" max="3330" width="9.7109375" style="20" bestFit="1" customWidth="1"/>
    <col min="3331" max="3331" width="13.85546875" style="20" bestFit="1" customWidth="1"/>
    <col min="3332" max="3579" width="8.85546875" style="20"/>
    <col min="3580" max="3580" width="10.140625" style="20" bestFit="1" customWidth="1"/>
    <col min="3581" max="3581" width="7.7109375" style="20" bestFit="1" customWidth="1"/>
    <col min="3582" max="3582" width="14.140625" style="20" bestFit="1" customWidth="1"/>
    <col min="3583" max="3583" width="67.28515625" style="20" bestFit="1" customWidth="1"/>
    <col min="3584" max="3584" width="39.140625" style="20" bestFit="1" customWidth="1"/>
    <col min="3585" max="3585" width="8.85546875" style="20" bestFit="1" customWidth="1"/>
    <col min="3586" max="3586" width="9.7109375" style="20" bestFit="1" customWidth="1"/>
    <col min="3587" max="3587" width="13.85546875" style="20" bestFit="1" customWidth="1"/>
    <col min="3588" max="3835" width="8.85546875" style="20"/>
    <col min="3836" max="3836" width="10.140625" style="20" bestFit="1" customWidth="1"/>
    <col min="3837" max="3837" width="7.7109375" style="20" bestFit="1" customWidth="1"/>
    <col min="3838" max="3838" width="14.140625" style="20" bestFit="1" customWidth="1"/>
    <col min="3839" max="3839" width="67.28515625" style="20" bestFit="1" customWidth="1"/>
    <col min="3840" max="3840" width="39.140625" style="20" bestFit="1" customWidth="1"/>
    <col min="3841" max="3841" width="8.85546875" style="20" bestFit="1" customWidth="1"/>
    <col min="3842" max="3842" width="9.7109375" style="20" bestFit="1" customWidth="1"/>
    <col min="3843" max="3843" width="13.85546875" style="20" bestFit="1" customWidth="1"/>
    <col min="3844" max="4091" width="8.85546875" style="20"/>
    <col min="4092" max="4092" width="10.140625" style="20" bestFit="1" customWidth="1"/>
    <col min="4093" max="4093" width="7.7109375" style="20" bestFit="1" customWidth="1"/>
    <col min="4094" max="4094" width="14.140625" style="20" bestFit="1" customWidth="1"/>
    <col min="4095" max="4095" width="67.28515625" style="20" bestFit="1" customWidth="1"/>
    <col min="4096" max="4096" width="39.140625" style="20" bestFit="1" customWidth="1"/>
    <col min="4097" max="4097" width="8.85546875" style="20" bestFit="1" customWidth="1"/>
    <col min="4098" max="4098" width="9.7109375" style="20" bestFit="1" customWidth="1"/>
    <col min="4099" max="4099" width="13.85546875" style="20" bestFit="1" customWidth="1"/>
    <col min="4100" max="4347" width="8.85546875" style="20"/>
    <col min="4348" max="4348" width="10.140625" style="20" bestFit="1" customWidth="1"/>
    <col min="4349" max="4349" width="7.7109375" style="20" bestFit="1" customWidth="1"/>
    <col min="4350" max="4350" width="14.140625" style="20" bestFit="1" customWidth="1"/>
    <col min="4351" max="4351" width="67.28515625" style="20" bestFit="1" customWidth="1"/>
    <col min="4352" max="4352" width="39.140625" style="20" bestFit="1" customWidth="1"/>
    <col min="4353" max="4353" width="8.85546875" style="20" bestFit="1" customWidth="1"/>
    <col min="4354" max="4354" width="9.7109375" style="20" bestFit="1" customWidth="1"/>
    <col min="4355" max="4355" width="13.85546875" style="20" bestFit="1" customWidth="1"/>
    <col min="4356" max="4603" width="8.85546875" style="20"/>
    <col min="4604" max="4604" width="10.140625" style="20" bestFit="1" customWidth="1"/>
    <col min="4605" max="4605" width="7.7109375" style="20" bestFit="1" customWidth="1"/>
    <col min="4606" max="4606" width="14.140625" style="20" bestFit="1" customWidth="1"/>
    <col min="4607" max="4607" width="67.28515625" style="20" bestFit="1" customWidth="1"/>
    <col min="4608" max="4608" width="39.140625" style="20" bestFit="1" customWidth="1"/>
    <col min="4609" max="4609" width="8.85546875" style="20" bestFit="1" customWidth="1"/>
    <col min="4610" max="4610" width="9.7109375" style="20" bestFit="1" customWidth="1"/>
    <col min="4611" max="4611" width="13.85546875" style="20" bestFit="1" customWidth="1"/>
    <col min="4612" max="4859" width="8.85546875" style="20"/>
    <col min="4860" max="4860" width="10.140625" style="20" bestFit="1" customWidth="1"/>
    <col min="4861" max="4861" width="7.7109375" style="20" bestFit="1" customWidth="1"/>
    <col min="4862" max="4862" width="14.140625" style="20" bestFit="1" customWidth="1"/>
    <col min="4863" max="4863" width="67.28515625" style="20" bestFit="1" customWidth="1"/>
    <col min="4864" max="4864" width="39.140625" style="20" bestFit="1" customWidth="1"/>
    <col min="4865" max="4865" width="8.85546875" style="20" bestFit="1" customWidth="1"/>
    <col min="4866" max="4866" width="9.7109375" style="20" bestFit="1" customWidth="1"/>
    <col min="4867" max="4867" width="13.85546875" style="20" bestFit="1" customWidth="1"/>
    <col min="4868" max="5115" width="8.85546875" style="20"/>
    <col min="5116" max="5116" width="10.140625" style="20" bestFit="1" customWidth="1"/>
    <col min="5117" max="5117" width="7.7109375" style="20" bestFit="1" customWidth="1"/>
    <col min="5118" max="5118" width="14.140625" style="20" bestFit="1" customWidth="1"/>
    <col min="5119" max="5119" width="67.28515625" style="20" bestFit="1" customWidth="1"/>
    <col min="5120" max="5120" width="39.140625" style="20" bestFit="1" customWidth="1"/>
    <col min="5121" max="5121" width="8.85546875" style="20" bestFit="1" customWidth="1"/>
    <col min="5122" max="5122" width="9.7109375" style="20" bestFit="1" customWidth="1"/>
    <col min="5123" max="5123" width="13.85546875" style="20" bestFit="1" customWidth="1"/>
    <col min="5124" max="5371" width="8.85546875" style="20"/>
    <col min="5372" max="5372" width="10.140625" style="20" bestFit="1" customWidth="1"/>
    <col min="5373" max="5373" width="7.7109375" style="20" bestFit="1" customWidth="1"/>
    <col min="5374" max="5374" width="14.140625" style="20" bestFit="1" customWidth="1"/>
    <col min="5375" max="5375" width="67.28515625" style="20" bestFit="1" customWidth="1"/>
    <col min="5376" max="5376" width="39.140625" style="20" bestFit="1" customWidth="1"/>
    <col min="5377" max="5377" width="8.85546875" style="20" bestFit="1" customWidth="1"/>
    <col min="5378" max="5378" width="9.7109375" style="20" bestFit="1" customWidth="1"/>
    <col min="5379" max="5379" width="13.85546875" style="20" bestFit="1" customWidth="1"/>
    <col min="5380" max="5627" width="8.85546875" style="20"/>
    <col min="5628" max="5628" width="10.140625" style="20" bestFit="1" customWidth="1"/>
    <col min="5629" max="5629" width="7.7109375" style="20" bestFit="1" customWidth="1"/>
    <col min="5630" max="5630" width="14.140625" style="20" bestFit="1" customWidth="1"/>
    <col min="5631" max="5631" width="67.28515625" style="20" bestFit="1" customWidth="1"/>
    <col min="5632" max="5632" width="39.140625" style="20" bestFit="1" customWidth="1"/>
    <col min="5633" max="5633" width="8.85546875" style="20" bestFit="1" customWidth="1"/>
    <col min="5634" max="5634" width="9.7109375" style="20" bestFit="1" customWidth="1"/>
    <col min="5635" max="5635" width="13.85546875" style="20" bestFit="1" customWidth="1"/>
    <col min="5636" max="5883" width="8.85546875" style="20"/>
    <col min="5884" max="5884" width="10.140625" style="20" bestFit="1" customWidth="1"/>
    <col min="5885" max="5885" width="7.7109375" style="20" bestFit="1" customWidth="1"/>
    <col min="5886" max="5886" width="14.140625" style="20" bestFit="1" customWidth="1"/>
    <col min="5887" max="5887" width="67.28515625" style="20" bestFit="1" customWidth="1"/>
    <col min="5888" max="5888" width="39.140625" style="20" bestFit="1" customWidth="1"/>
    <col min="5889" max="5889" width="8.85546875" style="20" bestFit="1" customWidth="1"/>
    <col min="5890" max="5890" width="9.7109375" style="20" bestFit="1" customWidth="1"/>
    <col min="5891" max="5891" width="13.85546875" style="20" bestFit="1" customWidth="1"/>
    <col min="5892" max="6139" width="8.85546875" style="20"/>
    <col min="6140" max="6140" width="10.140625" style="20" bestFit="1" customWidth="1"/>
    <col min="6141" max="6141" width="7.7109375" style="20" bestFit="1" customWidth="1"/>
    <col min="6142" max="6142" width="14.140625" style="20" bestFit="1" customWidth="1"/>
    <col min="6143" max="6143" width="67.28515625" style="20" bestFit="1" customWidth="1"/>
    <col min="6144" max="6144" width="39.140625" style="20" bestFit="1" customWidth="1"/>
    <col min="6145" max="6145" width="8.85546875" style="20" bestFit="1" customWidth="1"/>
    <col min="6146" max="6146" width="9.7109375" style="20" bestFit="1" customWidth="1"/>
    <col min="6147" max="6147" width="13.85546875" style="20" bestFit="1" customWidth="1"/>
    <col min="6148" max="6395" width="8.85546875" style="20"/>
    <col min="6396" max="6396" width="10.140625" style="20" bestFit="1" customWidth="1"/>
    <col min="6397" max="6397" width="7.7109375" style="20" bestFit="1" customWidth="1"/>
    <col min="6398" max="6398" width="14.140625" style="20" bestFit="1" customWidth="1"/>
    <col min="6399" max="6399" width="67.28515625" style="20" bestFit="1" customWidth="1"/>
    <col min="6400" max="6400" width="39.140625" style="20" bestFit="1" customWidth="1"/>
    <col min="6401" max="6401" width="8.85546875" style="20" bestFit="1" customWidth="1"/>
    <col min="6402" max="6402" width="9.7109375" style="20" bestFit="1" customWidth="1"/>
    <col min="6403" max="6403" width="13.85546875" style="20" bestFit="1" customWidth="1"/>
    <col min="6404" max="6651" width="8.85546875" style="20"/>
    <col min="6652" max="6652" width="10.140625" style="20" bestFit="1" customWidth="1"/>
    <col min="6653" max="6653" width="7.7109375" style="20" bestFit="1" customWidth="1"/>
    <col min="6654" max="6654" width="14.140625" style="20" bestFit="1" customWidth="1"/>
    <col min="6655" max="6655" width="67.28515625" style="20" bestFit="1" customWidth="1"/>
    <col min="6656" max="6656" width="39.140625" style="20" bestFit="1" customWidth="1"/>
    <col min="6657" max="6657" width="8.85546875" style="20" bestFit="1" customWidth="1"/>
    <col min="6658" max="6658" width="9.7109375" style="20" bestFit="1" customWidth="1"/>
    <col min="6659" max="6659" width="13.85546875" style="20" bestFit="1" customWidth="1"/>
    <col min="6660" max="6907" width="8.85546875" style="20"/>
    <col min="6908" max="6908" width="10.140625" style="20" bestFit="1" customWidth="1"/>
    <col min="6909" max="6909" width="7.7109375" style="20" bestFit="1" customWidth="1"/>
    <col min="6910" max="6910" width="14.140625" style="20" bestFit="1" customWidth="1"/>
    <col min="6911" max="6911" width="67.28515625" style="20" bestFit="1" customWidth="1"/>
    <col min="6912" max="6912" width="39.140625" style="20" bestFit="1" customWidth="1"/>
    <col min="6913" max="6913" width="8.85546875" style="20" bestFit="1" customWidth="1"/>
    <col min="6914" max="6914" width="9.7109375" style="20" bestFit="1" customWidth="1"/>
    <col min="6915" max="6915" width="13.85546875" style="20" bestFit="1" customWidth="1"/>
    <col min="6916" max="7163" width="8.85546875" style="20"/>
    <col min="7164" max="7164" width="10.140625" style="20" bestFit="1" customWidth="1"/>
    <col min="7165" max="7165" width="7.7109375" style="20" bestFit="1" customWidth="1"/>
    <col min="7166" max="7166" width="14.140625" style="20" bestFit="1" customWidth="1"/>
    <col min="7167" max="7167" width="67.28515625" style="20" bestFit="1" customWidth="1"/>
    <col min="7168" max="7168" width="39.140625" style="20" bestFit="1" customWidth="1"/>
    <col min="7169" max="7169" width="8.85546875" style="20" bestFit="1" customWidth="1"/>
    <col min="7170" max="7170" width="9.7109375" style="20" bestFit="1" customWidth="1"/>
    <col min="7171" max="7171" width="13.85546875" style="20" bestFit="1" customWidth="1"/>
    <col min="7172" max="7419" width="8.85546875" style="20"/>
    <col min="7420" max="7420" width="10.140625" style="20" bestFit="1" customWidth="1"/>
    <col min="7421" max="7421" width="7.7109375" style="20" bestFit="1" customWidth="1"/>
    <col min="7422" max="7422" width="14.140625" style="20" bestFit="1" customWidth="1"/>
    <col min="7423" max="7423" width="67.28515625" style="20" bestFit="1" customWidth="1"/>
    <col min="7424" max="7424" width="39.140625" style="20" bestFit="1" customWidth="1"/>
    <col min="7425" max="7425" width="8.85546875" style="20" bestFit="1" customWidth="1"/>
    <col min="7426" max="7426" width="9.7109375" style="20" bestFit="1" customWidth="1"/>
    <col min="7427" max="7427" width="13.85546875" style="20" bestFit="1" customWidth="1"/>
    <col min="7428" max="7675" width="8.85546875" style="20"/>
    <col min="7676" max="7676" width="10.140625" style="20" bestFit="1" customWidth="1"/>
    <col min="7677" max="7677" width="7.7109375" style="20" bestFit="1" customWidth="1"/>
    <col min="7678" max="7678" width="14.140625" style="20" bestFit="1" customWidth="1"/>
    <col min="7679" max="7679" width="67.28515625" style="20" bestFit="1" customWidth="1"/>
    <col min="7680" max="7680" width="39.140625" style="20" bestFit="1" customWidth="1"/>
    <col min="7681" max="7681" width="8.85546875" style="20" bestFit="1" customWidth="1"/>
    <col min="7682" max="7682" width="9.7109375" style="20" bestFit="1" customWidth="1"/>
    <col min="7683" max="7683" width="13.85546875" style="20" bestFit="1" customWidth="1"/>
    <col min="7684" max="7931" width="8.85546875" style="20"/>
    <col min="7932" max="7932" width="10.140625" style="20" bestFit="1" customWidth="1"/>
    <col min="7933" max="7933" width="7.7109375" style="20" bestFit="1" customWidth="1"/>
    <col min="7934" max="7934" width="14.140625" style="20" bestFit="1" customWidth="1"/>
    <col min="7935" max="7935" width="67.28515625" style="20" bestFit="1" customWidth="1"/>
    <col min="7936" max="7936" width="39.140625" style="20" bestFit="1" customWidth="1"/>
    <col min="7937" max="7937" width="8.85546875" style="20" bestFit="1" customWidth="1"/>
    <col min="7938" max="7938" width="9.7109375" style="20" bestFit="1" customWidth="1"/>
    <col min="7939" max="7939" width="13.85546875" style="20" bestFit="1" customWidth="1"/>
    <col min="7940" max="8187" width="8.85546875" style="20"/>
    <col min="8188" max="8188" width="10.140625" style="20" bestFit="1" customWidth="1"/>
    <col min="8189" max="8189" width="7.7109375" style="20" bestFit="1" customWidth="1"/>
    <col min="8190" max="8190" width="14.140625" style="20" bestFit="1" customWidth="1"/>
    <col min="8191" max="8191" width="67.28515625" style="20" bestFit="1" customWidth="1"/>
    <col min="8192" max="8192" width="39.140625" style="20" bestFit="1" customWidth="1"/>
    <col min="8193" max="8193" width="8.85546875" style="20" bestFit="1" customWidth="1"/>
    <col min="8194" max="8194" width="9.7109375" style="20" bestFit="1" customWidth="1"/>
    <col min="8195" max="8195" width="13.85546875" style="20" bestFit="1" customWidth="1"/>
    <col min="8196" max="8443" width="8.85546875" style="20"/>
    <col min="8444" max="8444" width="10.140625" style="20" bestFit="1" customWidth="1"/>
    <col min="8445" max="8445" width="7.7109375" style="20" bestFit="1" customWidth="1"/>
    <col min="8446" max="8446" width="14.140625" style="20" bestFit="1" customWidth="1"/>
    <col min="8447" max="8447" width="67.28515625" style="20" bestFit="1" customWidth="1"/>
    <col min="8448" max="8448" width="39.140625" style="20" bestFit="1" customWidth="1"/>
    <col min="8449" max="8449" width="8.85546875" style="20" bestFit="1" customWidth="1"/>
    <col min="8450" max="8450" width="9.7109375" style="20" bestFit="1" customWidth="1"/>
    <col min="8451" max="8451" width="13.85546875" style="20" bestFit="1" customWidth="1"/>
    <col min="8452" max="8699" width="8.85546875" style="20"/>
    <col min="8700" max="8700" width="10.140625" style="20" bestFit="1" customWidth="1"/>
    <col min="8701" max="8701" width="7.7109375" style="20" bestFit="1" customWidth="1"/>
    <col min="8702" max="8702" width="14.140625" style="20" bestFit="1" customWidth="1"/>
    <col min="8703" max="8703" width="67.28515625" style="20" bestFit="1" customWidth="1"/>
    <col min="8704" max="8704" width="39.140625" style="20" bestFit="1" customWidth="1"/>
    <col min="8705" max="8705" width="8.85546875" style="20" bestFit="1" customWidth="1"/>
    <col min="8706" max="8706" width="9.7109375" style="20" bestFit="1" customWidth="1"/>
    <col min="8707" max="8707" width="13.85546875" style="20" bestFit="1" customWidth="1"/>
    <col min="8708" max="8955" width="8.85546875" style="20"/>
    <col min="8956" max="8956" width="10.140625" style="20" bestFit="1" customWidth="1"/>
    <col min="8957" max="8957" width="7.7109375" style="20" bestFit="1" customWidth="1"/>
    <col min="8958" max="8958" width="14.140625" style="20" bestFit="1" customWidth="1"/>
    <col min="8959" max="8959" width="67.28515625" style="20" bestFit="1" customWidth="1"/>
    <col min="8960" max="8960" width="39.140625" style="20" bestFit="1" customWidth="1"/>
    <col min="8961" max="8961" width="8.85546875" style="20" bestFit="1" customWidth="1"/>
    <col min="8962" max="8962" width="9.7109375" style="20" bestFit="1" customWidth="1"/>
    <col min="8963" max="8963" width="13.85546875" style="20" bestFit="1" customWidth="1"/>
    <col min="8964" max="9211" width="8.85546875" style="20"/>
    <col min="9212" max="9212" width="10.140625" style="20" bestFit="1" customWidth="1"/>
    <col min="9213" max="9213" width="7.7109375" style="20" bestFit="1" customWidth="1"/>
    <col min="9214" max="9214" width="14.140625" style="20" bestFit="1" customWidth="1"/>
    <col min="9215" max="9215" width="67.28515625" style="20" bestFit="1" customWidth="1"/>
    <col min="9216" max="9216" width="39.140625" style="20" bestFit="1" customWidth="1"/>
    <col min="9217" max="9217" width="8.85546875" style="20" bestFit="1" customWidth="1"/>
    <col min="9218" max="9218" width="9.7109375" style="20" bestFit="1" customWidth="1"/>
    <col min="9219" max="9219" width="13.85546875" style="20" bestFit="1" customWidth="1"/>
    <col min="9220" max="9467" width="8.85546875" style="20"/>
    <col min="9468" max="9468" width="10.140625" style="20" bestFit="1" customWidth="1"/>
    <col min="9469" max="9469" width="7.7109375" style="20" bestFit="1" customWidth="1"/>
    <col min="9470" max="9470" width="14.140625" style="20" bestFit="1" customWidth="1"/>
    <col min="9471" max="9471" width="67.28515625" style="20" bestFit="1" customWidth="1"/>
    <col min="9472" max="9472" width="39.140625" style="20" bestFit="1" customWidth="1"/>
    <col min="9473" max="9473" width="8.85546875" style="20" bestFit="1" customWidth="1"/>
    <col min="9474" max="9474" width="9.7109375" style="20" bestFit="1" customWidth="1"/>
    <col min="9475" max="9475" width="13.85546875" style="20" bestFit="1" customWidth="1"/>
    <col min="9476" max="9723" width="8.85546875" style="20"/>
    <col min="9724" max="9724" width="10.140625" style="20" bestFit="1" customWidth="1"/>
    <col min="9725" max="9725" width="7.7109375" style="20" bestFit="1" customWidth="1"/>
    <col min="9726" max="9726" width="14.140625" style="20" bestFit="1" customWidth="1"/>
    <col min="9727" max="9727" width="67.28515625" style="20" bestFit="1" customWidth="1"/>
    <col min="9728" max="9728" width="39.140625" style="20" bestFit="1" customWidth="1"/>
    <col min="9729" max="9729" width="8.85546875" style="20" bestFit="1" customWidth="1"/>
    <col min="9730" max="9730" width="9.7109375" style="20" bestFit="1" customWidth="1"/>
    <col min="9731" max="9731" width="13.85546875" style="20" bestFit="1" customWidth="1"/>
    <col min="9732" max="9979" width="8.85546875" style="20"/>
    <col min="9980" max="9980" width="10.140625" style="20" bestFit="1" customWidth="1"/>
    <col min="9981" max="9981" width="7.7109375" style="20" bestFit="1" customWidth="1"/>
    <col min="9982" max="9982" width="14.140625" style="20" bestFit="1" customWidth="1"/>
    <col min="9983" max="9983" width="67.28515625" style="20" bestFit="1" customWidth="1"/>
    <col min="9984" max="9984" width="39.140625" style="20" bestFit="1" customWidth="1"/>
    <col min="9985" max="9985" width="8.85546875" style="20" bestFit="1" customWidth="1"/>
    <col min="9986" max="9986" width="9.7109375" style="20" bestFit="1" customWidth="1"/>
    <col min="9987" max="9987" width="13.85546875" style="20" bestFit="1" customWidth="1"/>
    <col min="9988" max="10235" width="8.85546875" style="20"/>
    <col min="10236" max="10236" width="10.140625" style="20" bestFit="1" customWidth="1"/>
    <col min="10237" max="10237" width="7.7109375" style="20" bestFit="1" customWidth="1"/>
    <col min="10238" max="10238" width="14.140625" style="20" bestFit="1" customWidth="1"/>
    <col min="10239" max="10239" width="67.28515625" style="20" bestFit="1" customWidth="1"/>
    <col min="10240" max="10240" width="39.140625" style="20" bestFit="1" customWidth="1"/>
    <col min="10241" max="10241" width="8.85546875" style="20" bestFit="1" customWidth="1"/>
    <col min="10242" max="10242" width="9.7109375" style="20" bestFit="1" customWidth="1"/>
    <col min="10243" max="10243" width="13.85546875" style="20" bestFit="1" customWidth="1"/>
    <col min="10244" max="10491" width="8.85546875" style="20"/>
    <col min="10492" max="10492" width="10.140625" style="20" bestFit="1" customWidth="1"/>
    <col min="10493" max="10493" width="7.7109375" style="20" bestFit="1" customWidth="1"/>
    <col min="10494" max="10494" width="14.140625" style="20" bestFit="1" customWidth="1"/>
    <col min="10495" max="10495" width="67.28515625" style="20" bestFit="1" customWidth="1"/>
    <col min="10496" max="10496" width="39.140625" style="20" bestFit="1" customWidth="1"/>
    <col min="10497" max="10497" width="8.85546875" style="20" bestFit="1" customWidth="1"/>
    <col min="10498" max="10498" width="9.7109375" style="20" bestFit="1" customWidth="1"/>
    <col min="10499" max="10499" width="13.85546875" style="20" bestFit="1" customWidth="1"/>
    <col min="10500" max="10747" width="8.85546875" style="20"/>
    <col min="10748" max="10748" width="10.140625" style="20" bestFit="1" customWidth="1"/>
    <col min="10749" max="10749" width="7.7109375" style="20" bestFit="1" customWidth="1"/>
    <col min="10750" max="10750" width="14.140625" style="20" bestFit="1" customWidth="1"/>
    <col min="10751" max="10751" width="67.28515625" style="20" bestFit="1" customWidth="1"/>
    <col min="10752" max="10752" width="39.140625" style="20" bestFit="1" customWidth="1"/>
    <col min="10753" max="10753" width="8.85546875" style="20" bestFit="1" customWidth="1"/>
    <col min="10754" max="10754" width="9.7109375" style="20" bestFit="1" customWidth="1"/>
    <col min="10755" max="10755" width="13.85546875" style="20" bestFit="1" customWidth="1"/>
    <col min="10756" max="11003" width="8.85546875" style="20"/>
    <col min="11004" max="11004" width="10.140625" style="20" bestFit="1" customWidth="1"/>
    <col min="11005" max="11005" width="7.7109375" style="20" bestFit="1" customWidth="1"/>
    <col min="11006" max="11006" width="14.140625" style="20" bestFit="1" customWidth="1"/>
    <col min="11007" max="11007" width="67.28515625" style="20" bestFit="1" customWidth="1"/>
    <col min="11008" max="11008" width="39.140625" style="20" bestFit="1" customWidth="1"/>
    <col min="11009" max="11009" width="8.85546875" style="20" bestFit="1" customWidth="1"/>
    <col min="11010" max="11010" width="9.7109375" style="20" bestFit="1" customWidth="1"/>
    <col min="11011" max="11011" width="13.85546875" style="20" bestFit="1" customWidth="1"/>
    <col min="11012" max="11259" width="8.85546875" style="20"/>
    <col min="11260" max="11260" width="10.140625" style="20" bestFit="1" customWidth="1"/>
    <col min="11261" max="11261" width="7.7109375" style="20" bestFit="1" customWidth="1"/>
    <col min="11262" max="11262" width="14.140625" style="20" bestFit="1" customWidth="1"/>
    <col min="11263" max="11263" width="67.28515625" style="20" bestFit="1" customWidth="1"/>
    <col min="11264" max="11264" width="39.140625" style="20" bestFit="1" customWidth="1"/>
    <col min="11265" max="11265" width="8.85546875" style="20" bestFit="1" customWidth="1"/>
    <col min="11266" max="11266" width="9.7109375" style="20" bestFit="1" customWidth="1"/>
    <col min="11267" max="11267" width="13.85546875" style="20" bestFit="1" customWidth="1"/>
    <col min="11268" max="11515" width="8.85546875" style="20"/>
    <col min="11516" max="11516" width="10.140625" style="20" bestFit="1" customWidth="1"/>
    <col min="11517" max="11517" width="7.7109375" style="20" bestFit="1" customWidth="1"/>
    <col min="11518" max="11518" width="14.140625" style="20" bestFit="1" customWidth="1"/>
    <col min="11519" max="11519" width="67.28515625" style="20" bestFit="1" customWidth="1"/>
    <col min="11520" max="11520" width="39.140625" style="20" bestFit="1" customWidth="1"/>
    <col min="11521" max="11521" width="8.85546875" style="20" bestFit="1" customWidth="1"/>
    <col min="11522" max="11522" width="9.7109375" style="20" bestFit="1" customWidth="1"/>
    <col min="11523" max="11523" width="13.85546875" style="20" bestFit="1" customWidth="1"/>
    <col min="11524" max="11771" width="8.85546875" style="20"/>
    <col min="11772" max="11772" width="10.140625" style="20" bestFit="1" customWidth="1"/>
    <col min="11773" max="11773" width="7.7109375" style="20" bestFit="1" customWidth="1"/>
    <col min="11774" max="11774" width="14.140625" style="20" bestFit="1" customWidth="1"/>
    <col min="11775" max="11775" width="67.28515625" style="20" bestFit="1" customWidth="1"/>
    <col min="11776" max="11776" width="39.140625" style="20" bestFit="1" customWidth="1"/>
    <col min="11777" max="11777" width="8.85546875" style="20" bestFit="1" customWidth="1"/>
    <col min="11778" max="11778" width="9.7109375" style="20" bestFit="1" customWidth="1"/>
    <col min="11779" max="11779" width="13.85546875" style="20" bestFit="1" customWidth="1"/>
    <col min="11780" max="12027" width="8.85546875" style="20"/>
    <col min="12028" max="12028" width="10.140625" style="20" bestFit="1" customWidth="1"/>
    <col min="12029" max="12029" width="7.7109375" style="20" bestFit="1" customWidth="1"/>
    <col min="12030" max="12030" width="14.140625" style="20" bestFit="1" customWidth="1"/>
    <col min="12031" max="12031" width="67.28515625" style="20" bestFit="1" customWidth="1"/>
    <col min="12032" max="12032" width="39.140625" style="20" bestFit="1" customWidth="1"/>
    <col min="12033" max="12033" width="8.85546875" style="20" bestFit="1" customWidth="1"/>
    <col min="12034" max="12034" width="9.7109375" style="20" bestFit="1" customWidth="1"/>
    <col min="12035" max="12035" width="13.85546875" style="20" bestFit="1" customWidth="1"/>
    <col min="12036" max="12283" width="8.85546875" style="20"/>
    <col min="12284" max="12284" width="10.140625" style="20" bestFit="1" customWidth="1"/>
    <col min="12285" max="12285" width="7.7109375" style="20" bestFit="1" customWidth="1"/>
    <col min="12286" max="12286" width="14.140625" style="20" bestFit="1" customWidth="1"/>
    <col min="12287" max="12287" width="67.28515625" style="20" bestFit="1" customWidth="1"/>
    <col min="12288" max="12288" width="39.140625" style="20" bestFit="1" customWidth="1"/>
    <col min="12289" max="12289" width="8.85546875" style="20" bestFit="1" customWidth="1"/>
    <col min="12290" max="12290" width="9.7109375" style="20" bestFit="1" customWidth="1"/>
    <col min="12291" max="12291" width="13.85546875" style="20" bestFit="1" customWidth="1"/>
    <col min="12292" max="12539" width="8.85546875" style="20"/>
    <col min="12540" max="12540" width="10.140625" style="20" bestFit="1" customWidth="1"/>
    <col min="12541" max="12541" width="7.7109375" style="20" bestFit="1" customWidth="1"/>
    <col min="12542" max="12542" width="14.140625" style="20" bestFit="1" customWidth="1"/>
    <col min="12543" max="12543" width="67.28515625" style="20" bestFit="1" customWidth="1"/>
    <col min="12544" max="12544" width="39.140625" style="20" bestFit="1" customWidth="1"/>
    <col min="12545" max="12545" width="8.85546875" style="20" bestFit="1" customWidth="1"/>
    <col min="12546" max="12546" width="9.7109375" style="20" bestFit="1" customWidth="1"/>
    <col min="12547" max="12547" width="13.85546875" style="20" bestFit="1" customWidth="1"/>
    <col min="12548" max="12795" width="8.85546875" style="20"/>
    <col min="12796" max="12796" width="10.140625" style="20" bestFit="1" customWidth="1"/>
    <col min="12797" max="12797" width="7.7109375" style="20" bestFit="1" customWidth="1"/>
    <col min="12798" max="12798" width="14.140625" style="20" bestFit="1" customWidth="1"/>
    <col min="12799" max="12799" width="67.28515625" style="20" bestFit="1" customWidth="1"/>
    <col min="12800" max="12800" width="39.140625" style="20" bestFit="1" customWidth="1"/>
    <col min="12801" max="12801" width="8.85546875" style="20" bestFit="1" customWidth="1"/>
    <col min="12802" max="12802" width="9.7109375" style="20" bestFit="1" customWidth="1"/>
    <col min="12803" max="12803" width="13.85546875" style="20" bestFit="1" customWidth="1"/>
    <col min="12804" max="13051" width="8.85546875" style="20"/>
    <col min="13052" max="13052" width="10.140625" style="20" bestFit="1" customWidth="1"/>
    <col min="13053" max="13053" width="7.7109375" style="20" bestFit="1" customWidth="1"/>
    <col min="13054" max="13054" width="14.140625" style="20" bestFit="1" customWidth="1"/>
    <col min="13055" max="13055" width="67.28515625" style="20" bestFit="1" customWidth="1"/>
    <col min="13056" max="13056" width="39.140625" style="20" bestFit="1" customWidth="1"/>
    <col min="13057" max="13057" width="8.85546875" style="20" bestFit="1" customWidth="1"/>
    <col min="13058" max="13058" width="9.7109375" style="20" bestFit="1" customWidth="1"/>
    <col min="13059" max="13059" width="13.85546875" style="20" bestFit="1" customWidth="1"/>
    <col min="13060" max="13307" width="8.85546875" style="20"/>
    <col min="13308" max="13308" width="10.140625" style="20" bestFit="1" customWidth="1"/>
    <col min="13309" max="13309" width="7.7109375" style="20" bestFit="1" customWidth="1"/>
    <col min="13310" max="13310" width="14.140625" style="20" bestFit="1" customWidth="1"/>
    <col min="13311" max="13311" width="67.28515625" style="20" bestFit="1" customWidth="1"/>
    <col min="13312" max="13312" width="39.140625" style="20" bestFit="1" customWidth="1"/>
    <col min="13313" max="13313" width="8.85546875" style="20" bestFit="1" customWidth="1"/>
    <col min="13314" max="13314" width="9.7109375" style="20" bestFit="1" customWidth="1"/>
    <col min="13315" max="13315" width="13.85546875" style="20" bestFit="1" customWidth="1"/>
    <col min="13316" max="13563" width="8.85546875" style="20"/>
    <col min="13564" max="13564" width="10.140625" style="20" bestFit="1" customWidth="1"/>
    <col min="13565" max="13565" width="7.7109375" style="20" bestFit="1" customWidth="1"/>
    <col min="13566" max="13566" width="14.140625" style="20" bestFit="1" customWidth="1"/>
    <col min="13567" max="13567" width="67.28515625" style="20" bestFit="1" customWidth="1"/>
    <col min="13568" max="13568" width="39.140625" style="20" bestFit="1" customWidth="1"/>
    <col min="13569" max="13569" width="8.85546875" style="20" bestFit="1" customWidth="1"/>
    <col min="13570" max="13570" width="9.7109375" style="20" bestFit="1" customWidth="1"/>
    <col min="13571" max="13571" width="13.85546875" style="20" bestFit="1" customWidth="1"/>
    <col min="13572" max="13819" width="8.85546875" style="20"/>
    <col min="13820" max="13820" width="10.140625" style="20" bestFit="1" customWidth="1"/>
    <col min="13821" max="13821" width="7.7109375" style="20" bestFit="1" customWidth="1"/>
    <col min="13822" max="13822" width="14.140625" style="20" bestFit="1" customWidth="1"/>
    <col min="13823" max="13823" width="67.28515625" style="20" bestFit="1" customWidth="1"/>
    <col min="13824" max="13824" width="39.140625" style="20" bestFit="1" customWidth="1"/>
    <col min="13825" max="13825" width="8.85546875" style="20" bestFit="1" customWidth="1"/>
    <col min="13826" max="13826" width="9.7109375" style="20" bestFit="1" customWidth="1"/>
    <col min="13827" max="13827" width="13.85546875" style="20" bestFit="1" customWidth="1"/>
    <col min="13828" max="14075" width="8.85546875" style="20"/>
    <col min="14076" max="14076" width="10.140625" style="20" bestFit="1" customWidth="1"/>
    <col min="14077" max="14077" width="7.7109375" style="20" bestFit="1" customWidth="1"/>
    <col min="14078" max="14078" width="14.140625" style="20" bestFit="1" customWidth="1"/>
    <col min="14079" max="14079" width="67.28515625" style="20" bestFit="1" customWidth="1"/>
    <col min="14080" max="14080" width="39.140625" style="20" bestFit="1" customWidth="1"/>
    <col min="14081" max="14081" width="8.85546875" style="20" bestFit="1" customWidth="1"/>
    <col min="14082" max="14082" width="9.7109375" style="20" bestFit="1" customWidth="1"/>
    <col min="14083" max="14083" width="13.85546875" style="20" bestFit="1" customWidth="1"/>
    <col min="14084" max="14331" width="8.85546875" style="20"/>
    <col min="14332" max="14332" width="10.140625" style="20" bestFit="1" customWidth="1"/>
    <col min="14333" max="14333" width="7.7109375" style="20" bestFit="1" customWidth="1"/>
    <col min="14334" max="14334" width="14.140625" style="20" bestFit="1" customWidth="1"/>
    <col min="14335" max="14335" width="67.28515625" style="20" bestFit="1" customWidth="1"/>
    <col min="14336" max="14336" width="39.140625" style="20" bestFit="1" customWidth="1"/>
    <col min="14337" max="14337" width="8.85546875" style="20" bestFit="1" customWidth="1"/>
    <col min="14338" max="14338" width="9.7109375" style="20" bestFit="1" customWidth="1"/>
    <col min="14339" max="14339" width="13.85546875" style="20" bestFit="1" customWidth="1"/>
    <col min="14340" max="14587" width="8.85546875" style="20"/>
    <col min="14588" max="14588" width="10.140625" style="20" bestFit="1" customWidth="1"/>
    <col min="14589" max="14589" width="7.7109375" style="20" bestFit="1" customWidth="1"/>
    <col min="14590" max="14590" width="14.140625" style="20" bestFit="1" customWidth="1"/>
    <col min="14591" max="14591" width="67.28515625" style="20" bestFit="1" customWidth="1"/>
    <col min="14592" max="14592" width="39.140625" style="20" bestFit="1" customWidth="1"/>
    <col min="14593" max="14593" width="8.85546875" style="20" bestFit="1" customWidth="1"/>
    <col min="14594" max="14594" width="9.7109375" style="20" bestFit="1" customWidth="1"/>
    <col min="14595" max="14595" width="13.85546875" style="20" bestFit="1" customWidth="1"/>
    <col min="14596" max="14843" width="8.85546875" style="20"/>
    <col min="14844" max="14844" width="10.140625" style="20" bestFit="1" customWidth="1"/>
    <col min="14845" max="14845" width="7.7109375" style="20" bestFit="1" customWidth="1"/>
    <col min="14846" max="14846" width="14.140625" style="20" bestFit="1" customWidth="1"/>
    <col min="14847" max="14847" width="67.28515625" style="20" bestFit="1" customWidth="1"/>
    <col min="14848" max="14848" width="39.140625" style="20" bestFit="1" customWidth="1"/>
    <col min="14849" max="14849" width="8.85546875" style="20" bestFit="1" customWidth="1"/>
    <col min="14850" max="14850" width="9.7109375" style="20" bestFit="1" customWidth="1"/>
    <col min="14851" max="14851" width="13.85546875" style="20" bestFit="1" customWidth="1"/>
    <col min="14852" max="15099" width="8.85546875" style="20"/>
    <col min="15100" max="15100" width="10.140625" style="20" bestFit="1" customWidth="1"/>
    <col min="15101" max="15101" width="7.7109375" style="20" bestFit="1" customWidth="1"/>
    <col min="15102" max="15102" width="14.140625" style="20" bestFit="1" customWidth="1"/>
    <col min="15103" max="15103" width="67.28515625" style="20" bestFit="1" customWidth="1"/>
    <col min="15104" max="15104" width="39.140625" style="20" bestFit="1" customWidth="1"/>
    <col min="15105" max="15105" width="8.85546875" style="20" bestFit="1" customWidth="1"/>
    <col min="15106" max="15106" width="9.7109375" style="20" bestFit="1" customWidth="1"/>
    <col min="15107" max="15107" width="13.85546875" style="20" bestFit="1" customWidth="1"/>
    <col min="15108" max="15355" width="8.85546875" style="20"/>
    <col min="15356" max="15356" width="10.140625" style="20" bestFit="1" customWidth="1"/>
    <col min="15357" max="15357" width="7.7109375" style="20" bestFit="1" customWidth="1"/>
    <col min="15358" max="15358" width="14.140625" style="20" bestFit="1" customWidth="1"/>
    <col min="15359" max="15359" width="67.28515625" style="20" bestFit="1" customWidth="1"/>
    <col min="15360" max="15360" width="39.140625" style="20" bestFit="1" customWidth="1"/>
    <col min="15361" max="15361" width="8.85546875" style="20" bestFit="1" customWidth="1"/>
    <col min="15362" max="15362" width="9.7109375" style="20" bestFit="1" customWidth="1"/>
    <col min="15363" max="15363" width="13.85546875" style="20" bestFit="1" customWidth="1"/>
    <col min="15364" max="15611" width="8.85546875" style="20"/>
    <col min="15612" max="15612" width="10.140625" style="20" bestFit="1" customWidth="1"/>
    <col min="15613" max="15613" width="7.7109375" style="20" bestFit="1" customWidth="1"/>
    <col min="15614" max="15614" width="14.140625" style="20" bestFit="1" customWidth="1"/>
    <col min="15615" max="15615" width="67.28515625" style="20" bestFit="1" customWidth="1"/>
    <col min="15616" max="15616" width="39.140625" style="20" bestFit="1" customWidth="1"/>
    <col min="15617" max="15617" width="8.85546875" style="20" bestFit="1" customWidth="1"/>
    <col min="15618" max="15618" width="9.7109375" style="20" bestFit="1" customWidth="1"/>
    <col min="15619" max="15619" width="13.85546875" style="20" bestFit="1" customWidth="1"/>
    <col min="15620" max="15867" width="8.85546875" style="20"/>
    <col min="15868" max="15868" width="10.140625" style="20" bestFit="1" customWidth="1"/>
    <col min="15869" max="15869" width="7.7109375" style="20" bestFit="1" customWidth="1"/>
    <col min="15870" max="15870" width="14.140625" style="20" bestFit="1" customWidth="1"/>
    <col min="15871" max="15871" width="67.28515625" style="20" bestFit="1" customWidth="1"/>
    <col min="15872" max="15872" width="39.140625" style="20" bestFit="1" customWidth="1"/>
    <col min="15873" max="15873" width="8.85546875" style="20" bestFit="1" customWidth="1"/>
    <col min="15874" max="15874" width="9.7109375" style="20" bestFit="1" customWidth="1"/>
    <col min="15875" max="15875" width="13.85546875" style="20" bestFit="1" customWidth="1"/>
    <col min="15876" max="16123" width="8.85546875" style="20"/>
    <col min="16124" max="16124" width="10.140625" style="20" bestFit="1" customWidth="1"/>
    <col min="16125" max="16125" width="7.7109375" style="20" bestFit="1" customWidth="1"/>
    <col min="16126" max="16126" width="14.140625" style="20" bestFit="1" customWidth="1"/>
    <col min="16127" max="16127" width="67.28515625" style="20" bestFit="1" customWidth="1"/>
    <col min="16128" max="16128" width="39.140625" style="20" bestFit="1" customWidth="1"/>
    <col min="16129" max="16129" width="8.85546875" style="20" bestFit="1" customWidth="1"/>
    <col min="16130" max="16130" width="9.7109375" style="20" bestFit="1" customWidth="1"/>
    <col min="16131" max="16131" width="13.85546875" style="20" bestFit="1" customWidth="1"/>
    <col min="16132" max="16384" width="8.85546875" style="20"/>
  </cols>
  <sheetData>
    <row r="1" spans="1:3" ht="15.6">
      <c r="A1" s="24" t="s">
        <v>1081</v>
      </c>
      <c r="B1" s="24"/>
      <c r="C1" s="24"/>
    </row>
    <row r="2" spans="1:3">
      <c r="A2" s="20" t="s">
        <v>5</v>
      </c>
      <c r="B2" s="20" t="s">
        <v>8</v>
      </c>
      <c r="C2" s="20" t="s">
        <v>4</v>
      </c>
    </row>
    <row r="3" spans="1:3">
      <c r="A3" s="20" t="s">
        <v>1082</v>
      </c>
      <c r="B3" s="20" t="s">
        <v>1083</v>
      </c>
    </row>
    <row r="4" spans="1:3">
      <c r="B4" s="20" t="s">
        <v>11</v>
      </c>
    </row>
    <row r="5" spans="1:3">
      <c r="A5" s="20" t="s">
        <v>1084</v>
      </c>
      <c r="B5" s="20" t="s">
        <v>1085</v>
      </c>
      <c r="C5" s="20" t="s">
        <v>1086</v>
      </c>
    </row>
    <row r="6" spans="1:3">
      <c r="A6" s="20" t="s">
        <v>1087</v>
      </c>
      <c r="B6" s="20" t="s">
        <v>1088</v>
      </c>
      <c r="C6" s="20" t="s">
        <v>1089</v>
      </c>
    </row>
    <row r="7" spans="1:3">
      <c r="A7" s="20" t="s">
        <v>1090</v>
      </c>
      <c r="B7" s="20" t="s">
        <v>1091</v>
      </c>
      <c r="C7" s="20" t="s">
        <v>1092</v>
      </c>
    </row>
    <row r="8" spans="1:3">
      <c r="A8" s="20" t="s">
        <v>1093</v>
      </c>
      <c r="B8" s="20" t="s">
        <v>1094</v>
      </c>
      <c r="C8" s="20" t="s">
        <v>635</v>
      </c>
    </row>
    <row r="9" spans="1:3">
      <c r="A9" s="20" t="s">
        <v>1095</v>
      </c>
      <c r="B9" s="20" t="s">
        <v>1096</v>
      </c>
      <c r="C9" s="20" t="s">
        <v>1097</v>
      </c>
    </row>
    <row r="10" spans="1:3">
      <c r="A10" s="20" t="s">
        <v>1098</v>
      </c>
      <c r="B10" s="20" t="s">
        <v>1099</v>
      </c>
      <c r="C10" s="20" t="s">
        <v>1100</v>
      </c>
    </row>
    <row r="11" spans="1:3">
      <c r="A11" s="20" t="s">
        <v>1101</v>
      </c>
      <c r="B11" s="20" t="s">
        <v>1102</v>
      </c>
      <c r="C11" s="20" t="s">
        <v>1103</v>
      </c>
    </row>
    <row r="12" spans="1:3">
      <c r="A12" s="20" t="s">
        <v>1104</v>
      </c>
      <c r="B12" s="20" t="s">
        <v>1105</v>
      </c>
      <c r="C12" s="20" t="s">
        <v>1106</v>
      </c>
    </row>
    <row r="13" spans="1:3">
      <c r="A13" s="20" t="s">
        <v>1107</v>
      </c>
      <c r="B13" s="20" t="s">
        <v>1108</v>
      </c>
      <c r="C13" s="20" t="s">
        <v>1109</v>
      </c>
    </row>
    <row r="14" spans="1:3">
      <c r="B14" s="20" t="s">
        <v>42</v>
      </c>
    </row>
    <row r="15" spans="1:3">
      <c r="A15" s="20" t="s">
        <v>1110</v>
      </c>
      <c r="B15" s="20" t="s">
        <v>1111</v>
      </c>
      <c r="C15" s="20" t="s">
        <v>1112</v>
      </c>
    </row>
    <row r="16" spans="1:3">
      <c r="A16" s="20" t="s">
        <v>1113</v>
      </c>
      <c r="B16" s="20" t="s">
        <v>1114</v>
      </c>
      <c r="C16" s="20" t="s">
        <v>72</v>
      </c>
    </row>
    <row r="17" spans="1:3">
      <c r="A17" s="20" t="s">
        <v>1115</v>
      </c>
      <c r="B17" s="20" t="s">
        <v>1116</v>
      </c>
      <c r="C17" s="20" t="s">
        <v>1117</v>
      </c>
    </row>
    <row r="18" spans="1:3">
      <c r="A18" s="20" t="s">
        <v>1118</v>
      </c>
      <c r="B18" s="20" t="s">
        <v>1119</v>
      </c>
      <c r="C18" s="20" t="s">
        <v>1120</v>
      </c>
    </row>
    <row r="19" spans="1:3">
      <c r="A19" s="20" t="s">
        <v>1121</v>
      </c>
      <c r="B19" s="20" t="s">
        <v>1122</v>
      </c>
      <c r="C19" s="20" t="s">
        <v>1123</v>
      </c>
    </row>
    <row r="20" spans="1:3">
      <c r="A20" s="20" t="s">
        <v>1124</v>
      </c>
      <c r="B20" s="20" t="s">
        <v>1125</v>
      </c>
      <c r="C20" s="20" t="s">
        <v>658</v>
      </c>
    </row>
    <row r="21" spans="1:3">
      <c r="A21" s="20" t="s">
        <v>1126</v>
      </c>
      <c r="B21" s="20" t="s">
        <v>1127</v>
      </c>
      <c r="C21" s="20" t="s">
        <v>1128</v>
      </c>
    </row>
    <row r="22" spans="1:3">
      <c r="A22" s="20" t="s">
        <v>1129</v>
      </c>
      <c r="B22" s="20" t="s">
        <v>1130</v>
      </c>
      <c r="C22" s="20" t="s">
        <v>1131</v>
      </c>
    </row>
    <row r="23" spans="1:3">
      <c r="A23" s="20" t="s">
        <v>1132</v>
      </c>
      <c r="B23" s="20" t="s">
        <v>1133</v>
      </c>
      <c r="C23" s="20" t="s">
        <v>1131</v>
      </c>
    </row>
    <row r="24" spans="1:3">
      <c r="A24" s="20" t="s">
        <v>1134</v>
      </c>
      <c r="B24" s="20" t="s">
        <v>1135</v>
      </c>
      <c r="C24" s="20" t="s">
        <v>914</v>
      </c>
    </row>
    <row r="25" spans="1:3">
      <c r="B25" s="20" t="s">
        <v>73</v>
      </c>
    </row>
    <row r="26" spans="1:3">
      <c r="A26" s="20" t="s">
        <v>1136</v>
      </c>
      <c r="B26" s="20" t="s">
        <v>1137</v>
      </c>
      <c r="C26" s="20" t="s">
        <v>1138</v>
      </c>
    </row>
    <row r="27" spans="1:3">
      <c r="A27" s="20" t="s">
        <v>1139</v>
      </c>
      <c r="B27" s="20" t="s">
        <v>1140</v>
      </c>
      <c r="C27" s="20" t="s">
        <v>1141</v>
      </c>
    </row>
    <row r="28" spans="1:3">
      <c r="A28" s="20" t="s">
        <v>1142</v>
      </c>
      <c r="B28" s="20" t="s">
        <v>1143</v>
      </c>
      <c r="C28" s="20" t="s">
        <v>1144</v>
      </c>
    </row>
    <row r="29" spans="1:3">
      <c r="A29" s="20" t="s">
        <v>1145</v>
      </c>
      <c r="B29" s="20" t="s">
        <v>1146</v>
      </c>
      <c r="C29" s="20" t="s">
        <v>1147</v>
      </c>
    </row>
    <row r="30" spans="1:3">
      <c r="A30" s="20" t="s">
        <v>1148</v>
      </c>
      <c r="B30" s="20" t="s">
        <v>1149</v>
      </c>
      <c r="C30" s="20" t="s">
        <v>1150</v>
      </c>
    </row>
    <row r="31" spans="1:3">
      <c r="A31" s="20" t="s">
        <v>1151</v>
      </c>
      <c r="B31" s="20" t="s">
        <v>1152</v>
      </c>
      <c r="C31" s="20" t="s">
        <v>1153</v>
      </c>
    </row>
    <row r="32" spans="1:3">
      <c r="A32" s="20" t="s">
        <v>1154</v>
      </c>
      <c r="B32" s="20" t="s">
        <v>1155</v>
      </c>
      <c r="C32" s="20" t="s">
        <v>1156</v>
      </c>
    </row>
    <row r="33" spans="1:3">
      <c r="A33" s="20" t="s">
        <v>1157</v>
      </c>
      <c r="B33" s="20" t="s">
        <v>1158</v>
      </c>
      <c r="C33" s="20" t="s">
        <v>1159</v>
      </c>
    </row>
    <row r="34" spans="1:3">
      <c r="A34" s="20" t="s">
        <v>1160</v>
      </c>
      <c r="B34" s="20" t="s">
        <v>1161</v>
      </c>
      <c r="C34" s="20" t="s">
        <v>1162</v>
      </c>
    </row>
    <row r="35" spans="1:3">
      <c r="A35" s="20" t="s">
        <v>1163</v>
      </c>
      <c r="B35" s="20" t="s">
        <v>1164</v>
      </c>
      <c r="C35" s="20" t="s">
        <v>1165</v>
      </c>
    </row>
    <row r="36" spans="1:3">
      <c r="B36" s="20" t="s">
        <v>103</v>
      </c>
    </row>
    <row r="37" spans="1:3">
      <c r="A37" s="20" t="s">
        <v>1166</v>
      </c>
      <c r="B37" s="20" t="s">
        <v>1167</v>
      </c>
      <c r="C37" s="20" t="s">
        <v>1168</v>
      </c>
    </row>
    <row r="38" spans="1:3">
      <c r="A38" s="20" t="s">
        <v>1169</v>
      </c>
      <c r="B38" s="20" t="s">
        <v>1170</v>
      </c>
      <c r="C38" s="20" t="s">
        <v>1171</v>
      </c>
    </row>
    <row r="39" spans="1:3">
      <c r="A39" s="20" t="s">
        <v>1172</v>
      </c>
      <c r="B39" s="20" t="s">
        <v>1173</v>
      </c>
      <c r="C39" s="20" t="s">
        <v>1174</v>
      </c>
    </row>
    <row r="40" spans="1:3">
      <c r="A40" s="20" t="s">
        <v>1175</v>
      </c>
      <c r="B40" s="20" t="s">
        <v>1176</v>
      </c>
      <c r="C40" s="20" t="s">
        <v>1177</v>
      </c>
    </row>
    <row r="41" spans="1:3">
      <c r="A41" s="20" t="s">
        <v>1178</v>
      </c>
      <c r="B41" s="20" t="s">
        <v>1179</v>
      </c>
      <c r="C41" s="20" t="s">
        <v>860</v>
      </c>
    </row>
    <row r="42" spans="1:3">
      <c r="A42" s="20" t="s">
        <v>1180</v>
      </c>
      <c r="B42" s="20" t="s">
        <v>1181</v>
      </c>
      <c r="C42" s="20" t="s">
        <v>1150</v>
      </c>
    </row>
    <row r="43" spans="1:3">
      <c r="A43" s="20" t="s">
        <v>1182</v>
      </c>
      <c r="B43" s="20" t="s">
        <v>1183</v>
      </c>
      <c r="C43" s="20" t="s">
        <v>1184</v>
      </c>
    </row>
    <row r="44" spans="1:3">
      <c r="A44" s="20" t="s">
        <v>1185</v>
      </c>
      <c r="B44" s="20" t="s">
        <v>1186</v>
      </c>
      <c r="C44" s="20" t="s">
        <v>1187</v>
      </c>
    </row>
    <row r="45" spans="1:3">
      <c r="A45" s="20" t="s">
        <v>1188</v>
      </c>
      <c r="B45" s="20" t="s">
        <v>1189</v>
      </c>
      <c r="C45" s="20" t="s">
        <v>1190</v>
      </c>
    </row>
    <row r="46" spans="1:3">
      <c r="A46" s="20" t="s">
        <v>1191</v>
      </c>
      <c r="B46" s="20" t="s">
        <v>1192</v>
      </c>
      <c r="C46" s="20" t="s">
        <v>1193</v>
      </c>
    </row>
    <row r="47" spans="1:3">
      <c r="B47" s="20" t="s">
        <v>134</v>
      </c>
    </row>
    <row r="48" spans="1:3">
      <c r="A48" s="20" t="s">
        <v>1194</v>
      </c>
      <c r="B48" s="20" t="s">
        <v>1195</v>
      </c>
      <c r="C48" s="20" t="s">
        <v>1196</v>
      </c>
    </row>
    <row r="49" spans="1:3">
      <c r="A49" s="20" t="s">
        <v>1197</v>
      </c>
      <c r="B49" s="20" t="s">
        <v>1198</v>
      </c>
      <c r="C49" s="20" t="s">
        <v>1199</v>
      </c>
    </row>
    <row r="50" spans="1:3">
      <c r="A50" s="20" t="s">
        <v>1200</v>
      </c>
      <c r="B50" s="20" t="s">
        <v>1201</v>
      </c>
      <c r="C50" s="20" t="s">
        <v>1202</v>
      </c>
    </row>
    <row r="51" spans="1:3">
      <c r="A51" s="20" t="s">
        <v>1203</v>
      </c>
      <c r="B51" s="20" t="s">
        <v>1204</v>
      </c>
      <c r="C51" s="20" t="s">
        <v>1205</v>
      </c>
    </row>
    <row r="52" spans="1:3">
      <c r="A52" s="20" t="s">
        <v>1206</v>
      </c>
      <c r="B52" s="20" t="s">
        <v>1207</v>
      </c>
      <c r="C52" s="20" t="s">
        <v>1208</v>
      </c>
    </row>
    <row r="53" spans="1:3">
      <c r="A53" s="20" t="s">
        <v>1209</v>
      </c>
      <c r="B53" s="20" t="s">
        <v>1210</v>
      </c>
      <c r="C53" s="20" t="s">
        <v>1211</v>
      </c>
    </row>
    <row r="54" spans="1:3">
      <c r="A54" s="20" t="s">
        <v>1212</v>
      </c>
      <c r="B54" s="20" t="s">
        <v>1213</v>
      </c>
      <c r="C54" s="20" t="s">
        <v>137</v>
      </c>
    </row>
    <row r="55" spans="1:3">
      <c r="A55" s="20" t="s">
        <v>1214</v>
      </c>
      <c r="B55" s="20" t="s">
        <v>1215</v>
      </c>
      <c r="C55" s="20" t="s">
        <v>1196</v>
      </c>
    </row>
    <row r="56" spans="1:3">
      <c r="A56" s="20" t="s">
        <v>1216</v>
      </c>
      <c r="B56" s="20" t="s">
        <v>1217</v>
      </c>
      <c r="C56" s="20" t="s">
        <v>1218</v>
      </c>
    </row>
    <row r="57" spans="1:3">
      <c r="A57" s="20" t="s">
        <v>1219</v>
      </c>
      <c r="B57" s="20" t="s">
        <v>1220</v>
      </c>
      <c r="C57" s="20" t="s">
        <v>1218</v>
      </c>
    </row>
    <row r="58" spans="1:3">
      <c r="B58" s="20" t="s">
        <v>164</v>
      </c>
    </row>
    <row r="59" spans="1:3">
      <c r="A59" s="20" t="s">
        <v>1221</v>
      </c>
      <c r="B59" s="20" t="s">
        <v>1222</v>
      </c>
      <c r="C59" s="20" t="s">
        <v>655</v>
      </c>
    </row>
    <row r="60" spans="1:3">
      <c r="A60" s="20" t="s">
        <v>1223</v>
      </c>
      <c r="B60" s="20" t="s">
        <v>1224</v>
      </c>
      <c r="C60" s="20" t="s">
        <v>1225</v>
      </c>
    </row>
    <row r="61" spans="1:3">
      <c r="A61" s="20" t="s">
        <v>1226</v>
      </c>
      <c r="B61" s="20" t="s">
        <v>1227</v>
      </c>
      <c r="C61" s="20" t="s">
        <v>1228</v>
      </c>
    </row>
    <row r="62" spans="1:3">
      <c r="A62" s="20" t="s">
        <v>1229</v>
      </c>
      <c r="B62" s="20" t="s">
        <v>1230</v>
      </c>
      <c r="C62" s="20" t="s">
        <v>1231</v>
      </c>
    </row>
    <row r="63" spans="1:3">
      <c r="A63" s="20" t="s">
        <v>1232</v>
      </c>
      <c r="B63" s="20" t="s">
        <v>1233</v>
      </c>
      <c r="C63" s="20" t="s">
        <v>1234</v>
      </c>
    </row>
    <row r="64" spans="1:3">
      <c r="A64" s="20" t="s">
        <v>1235</v>
      </c>
      <c r="B64" s="20" t="s">
        <v>1236</v>
      </c>
      <c r="C64" s="20" t="s">
        <v>1237</v>
      </c>
    </row>
    <row r="65" spans="1:3">
      <c r="A65" s="20" t="s">
        <v>1238</v>
      </c>
      <c r="B65" s="20" t="s">
        <v>1239</v>
      </c>
      <c r="C65" s="20" t="s">
        <v>1240</v>
      </c>
    </row>
    <row r="66" spans="1:3">
      <c r="A66" s="20" t="s">
        <v>1241</v>
      </c>
      <c r="B66" s="20" t="s">
        <v>1242</v>
      </c>
      <c r="C66" s="20" t="s">
        <v>1243</v>
      </c>
    </row>
    <row r="67" spans="1:3">
      <c r="A67" s="20" t="s">
        <v>1244</v>
      </c>
      <c r="B67" s="20" t="s">
        <v>1245</v>
      </c>
      <c r="C67" s="20" t="s">
        <v>1246</v>
      </c>
    </row>
    <row r="68" spans="1:3">
      <c r="A68" s="20" t="s">
        <v>1247</v>
      </c>
      <c r="B68" s="20" t="s">
        <v>1248</v>
      </c>
      <c r="C68" s="20" t="s">
        <v>1249</v>
      </c>
    </row>
    <row r="69" spans="1:3">
      <c r="B69" s="20" t="s">
        <v>193</v>
      </c>
    </row>
    <row r="70" spans="1:3">
      <c r="A70" s="20" t="s">
        <v>1250</v>
      </c>
      <c r="B70" s="20" t="s">
        <v>1251</v>
      </c>
      <c r="C70" s="20" t="s">
        <v>1252</v>
      </c>
    </row>
    <row r="71" spans="1:3">
      <c r="A71" s="20" t="s">
        <v>1253</v>
      </c>
      <c r="B71" s="20" t="s">
        <v>1254</v>
      </c>
      <c r="C71" s="20" t="s">
        <v>1252</v>
      </c>
    </row>
    <row r="72" spans="1:3">
      <c r="A72" s="20" t="s">
        <v>1255</v>
      </c>
      <c r="B72" s="20" t="s">
        <v>1256</v>
      </c>
      <c r="C72" s="20" t="s">
        <v>1257</v>
      </c>
    </row>
    <row r="73" spans="1:3">
      <c r="A73" s="20" t="s">
        <v>1258</v>
      </c>
      <c r="B73" s="20" t="s">
        <v>1259</v>
      </c>
      <c r="C73" s="20" t="s">
        <v>1260</v>
      </c>
    </row>
    <row r="74" spans="1:3">
      <c r="A74" s="20" t="s">
        <v>1261</v>
      </c>
      <c r="B74" s="20" t="s">
        <v>1262</v>
      </c>
      <c r="C74" s="20" t="s">
        <v>1263</v>
      </c>
    </row>
    <row r="75" spans="1:3">
      <c r="A75" s="20" t="s">
        <v>1264</v>
      </c>
      <c r="B75" s="20" t="s">
        <v>1265</v>
      </c>
      <c r="C75" s="20" t="s">
        <v>808</v>
      </c>
    </row>
    <row r="76" spans="1:3">
      <c r="A76" s="20" t="s">
        <v>1266</v>
      </c>
      <c r="B76" s="20" t="s">
        <v>1267</v>
      </c>
      <c r="C76" s="20" t="s">
        <v>772</v>
      </c>
    </row>
    <row r="77" spans="1:3">
      <c r="A77" s="20" t="s">
        <v>1268</v>
      </c>
      <c r="B77" s="20" t="s">
        <v>1269</v>
      </c>
      <c r="C77" s="20" t="s">
        <v>1270</v>
      </c>
    </row>
    <row r="78" spans="1:3">
      <c r="A78" s="20" t="s">
        <v>1271</v>
      </c>
      <c r="B78" s="20" t="s">
        <v>1272</v>
      </c>
      <c r="C78" s="20" t="s">
        <v>207</v>
      </c>
    </row>
    <row r="79" spans="1:3">
      <c r="A79" s="20" t="s">
        <v>1273</v>
      </c>
      <c r="B79" s="20" t="s">
        <v>1274</v>
      </c>
      <c r="C79" s="20" t="s">
        <v>1275</v>
      </c>
    </row>
    <row r="80" spans="1:3">
      <c r="B80" s="20" t="s">
        <v>222</v>
      </c>
    </row>
    <row r="81" spans="1:3">
      <c r="A81" s="20" t="s">
        <v>1276</v>
      </c>
      <c r="B81" s="20" t="s">
        <v>1277</v>
      </c>
      <c r="C81" s="20" t="s">
        <v>1278</v>
      </c>
    </row>
    <row r="82" spans="1:3">
      <c r="A82" s="20" t="s">
        <v>1279</v>
      </c>
      <c r="B82" s="20" t="s">
        <v>1280</v>
      </c>
      <c r="C82" s="20" t="s">
        <v>1281</v>
      </c>
    </row>
    <row r="83" spans="1:3">
      <c r="A83" s="20" t="s">
        <v>1282</v>
      </c>
      <c r="B83" s="20" t="s">
        <v>1283</v>
      </c>
      <c r="C83" s="20" t="s">
        <v>1284</v>
      </c>
    </row>
    <row r="84" spans="1:3">
      <c r="A84" s="20" t="s">
        <v>1285</v>
      </c>
      <c r="B84" s="20" t="s">
        <v>1286</v>
      </c>
      <c r="C84" s="20" t="s">
        <v>1287</v>
      </c>
    </row>
    <row r="85" spans="1:3">
      <c r="A85" s="20" t="s">
        <v>1288</v>
      </c>
      <c r="B85" s="20" t="s">
        <v>1289</v>
      </c>
      <c r="C85" s="20" t="s">
        <v>1290</v>
      </c>
    </row>
    <row r="86" spans="1:3">
      <c r="A86" s="20" t="s">
        <v>1291</v>
      </c>
      <c r="B86" s="20" t="s">
        <v>1292</v>
      </c>
      <c r="C86" s="20" t="s">
        <v>1293</v>
      </c>
    </row>
    <row r="87" spans="1:3">
      <c r="A87" s="20" t="s">
        <v>1294</v>
      </c>
      <c r="B87" s="20" t="s">
        <v>1295</v>
      </c>
      <c r="C87" s="20" t="s">
        <v>1193</v>
      </c>
    </row>
    <row r="88" spans="1:3">
      <c r="A88" s="20" t="s">
        <v>1296</v>
      </c>
      <c r="B88" s="20" t="s">
        <v>1297</v>
      </c>
      <c r="C88" s="20" t="s">
        <v>1298</v>
      </c>
    </row>
    <row r="89" spans="1:3">
      <c r="A89" s="20" t="s">
        <v>1299</v>
      </c>
      <c r="B89" s="20" t="s">
        <v>1300</v>
      </c>
      <c r="C89" s="20" t="s">
        <v>1301</v>
      </c>
    </row>
    <row r="90" spans="1:3">
      <c r="A90" s="20" t="s">
        <v>1302</v>
      </c>
      <c r="B90" s="20" t="s">
        <v>1303</v>
      </c>
      <c r="C90" s="20" t="s">
        <v>1304</v>
      </c>
    </row>
    <row r="91" spans="1:3">
      <c r="B91" s="20" t="s">
        <v>252</v>
      </c>
    </row>
    <row r="92" spans="1:3">
      <c r="A92" s="20" t="s">
        <v>1305</v>
      </c>
      <c r="B92" s="20" t="s">
        <v>1306</v>
      </c>
      <c r="C92" s="20" t="s">
        <v>1307</v>
      </c>
    </row>
    <row r="93" spans="1:3">
      <c r="A93" s="20" t="s">
        <v>1308</v>
      </c>
      <c r="B93" s="20" t="s">
        <v>1309</v>
      </c>
      <c r="C93" s="20" t="s">
        <v>1310</v>
      </c>
    </row>
    <row r="94" spans="1:3">
      <c r="A94" s="20" t="s">
        <v>1311</v>
      </c>
      <c r="B94" s="20" t="s">
        <v>1312</v>
      </c>
      <c r="C94" s="20" t="s">
        <v>1313</v>
      </c>
    </row>
    <row r="95" spans="1:3">
      <c r="A95" s="20" t="s">
        <v>1314</v>
      </c>
      <c r="B95" s="20" t="s">
        <v>1315</v>
      </c>
      <c r="C95" s="20" t="s">
        <v>1310</v>
      </c>
    </row>
    <row r="96" spans="1:3">
      <c r="A96" s="20" t="s">
        <v>1316</v>
      </c>
      <c r="B96" s="20" t="s">
        <v>1317</v>
      </c>
      <c r="C96" s="20" t="s">
        <v>1318</v>
      </c>
    </row>
    <row r="97" spans="1:3">
      <c r="A97" s="20" t="s">
        <v>1319</v>
      </c>
      <c r="B97" s="20" t="s">
        <v>1320</v>
      </c>
      <c r="C97" s="20" t="s">
        <v>1321</v>
      </c>
    </row>
    <row r="98" spans="1:3">
      <c r="A98" s="20" t="s">
        <v>1322</v>
      </c>
      <c r="B98" s="20" t="s">
        <v>1323</v>
      </c>
      <c r="C98" s="20" t="s">
        <v>1034</v>
      </c>
    </row>
    <row r="99" spans="1:3">
      <c r="A99" s="20" t="s">
        <v>1324</v>
      </c>
      <c r="B99" s="20" t="s">
        <v>1325</v>
      </c>
      <c r="C99" s="20" t="s">
        <v>1326</v>
      </c>
    </row>
    <row r="100" spans="1:3">
      <c r="A100" s="20" t="s">
        <v>1327</v>
      </c>
      <c r="B100" s="20" t="s">
        <v>1328</v>
      </c>
      <c r="C100" s="20" t="s">
        <v>1329</v>
      </c>
    </row>
    <row r="101" spans="1:3">
      <c r="A101" s="20" t="s">
        <v>1330</v>
      </c>
      <c r="B101" s="20" t="s">
        <v>1331</v>
      </c>
      <c r="C101" s="20" t="s">
        <v>1332</v>
      </c>
    </row>
    <row r="102" spans="1:3">
      <c r="B102" s="20" t="s">
        <v>283</v>
      </c>
    </row>
    <row r="103" spans="1:3">
      <c r="A103" s="20" t="s">
        <v>1333</v>
      </c>
      <c r="B103" s="20" t="s">
        <v>1334</v>
      </c>
      <c r="C103" s="20" t="s">
        <v>1335</v>
      </c>
    </row>
    <row r="104" spans="1:3">
      <c r="A104" s="20" t="s">
        <v>1336</v>
      </c>
      <c r="B104" s="20" t="s">
        <v>1337</v>
      </c>
      <c r="C104" s="20" t="s">
        <v>1338</v>
      </c>
    </row>
    <row r="105" spans="1:3">
      <c r="A105" s="20" t="s">
        <v>1339</v>
      </c>
      <c r="B105" s="20" t="s">
        <v>1340</v>
      </c>
      <c r="C105" s="20" t="s">
        <v>1341</v>
      </c>
    </row>
    <row r="106" spans="1:3">
      <c r="A106" s="20" t="s">
        <v>1342</v>
      </c>
      <c r="B106" s="20" t="s">
        <v>1343</v>
      </c>
      <c r="C106" s="20" t="s">
        <v>1344</v>
      </c>
    </row>
    <row r="107" spans="1:3">
      <c r="A107" s="20" t="s">
        <v>1345</v>
      </c>
      <c r="B107" s="20" t="s">
        <v>1346</v>
      </c>
      <c r="C107" s="20" t="s">
        <v>1347</v>
      </c>
    </row>
    <row r="108" spans="1:3">
      <c r="A108" s="20" t="s">
        <v>1348</v>
      </c>
      <c r="B108" s="20" t="s">
        <v>1349</v>
      </c>
      <c r="C108" s="20" t="s">
        <v>1350</v>
      </c>
    </row>
    <row r="109" spans="1:3">
      <c r="A109" s="20" t="s">
        <v>1351</v>
      </c>
      <c r="B109" s="20" t="s">
        <v>1352</v>
      </c>
      <c r="C109" s="20" t="s">
        <v>1353</v>
      </c>
    </row>
    <row r="110" spans="1:3">
      <c r="A110" s="20" t="s">
        <v>1354</v>
      </c>
      <c r="B110" s="20" t="s">
        <v>1355</v>
      </c>
      <c r="C110" s="20" t="s">
        <v>1356</v>
      </c>
    </row>
    <row r="111" spans="1:3">
      <c r="A111" s="20" t="s">
        <v>1357</v>
      </c>
      <c r="B111" s="20" t="s">
        <v>1358</v>
      </c>
      <c r="C111" s="20" t="s">
        <v>1359</v>
      </c>
    </row>
    <row r="112" spans="1:3">
      <c r="A112" s="20" t="s">
        <v>1360</v>
      </c>
      <c r="B112" s="20" t="s">
        <v>1361</v>
      </c>
      <c r="C112" s="20" t="s">
        <v>1362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0109-6FE6-471B-94BE-7DB901F29F19}">
  <sheetPr>
    <tabColor theme="5"/>
  </sheetPr>
  <dimension ref="A1:C112"/>
  <sheetViews>
    <sheetView tabSelected="1" workbookViewId="0">
      <selection activeCell="G51" sqref="G51"/>
    </sheetView>
  </sheetViews>
  <sheetFormatPr defaultColWidth="9.28515625" defaultRowHeight="13.15"/>
  <cols>
    <col min="1" max="1" width="14.140625" style="20" bestFit="1" customWidth="1"/>
    <col min="2" max="2" width="77.7109375" style="20" bestFit="1" customWidth="1"/>
    <col min="3" max="3" width="36.85546875" style="20" bestFit="1" customWidth="1"/>
    <col min="4" max="251" width="9.28515625" style="20"/>
    <col min="252" max="252" width="10.140625" style="20" bestFit="1" customWidth="1"/>
    <col min="253" max="253" width="7.7109375" style="20" bestFit="1" customWidth="1"/>
    <col min="254" max="254" width="14.140625" style="20" bestFit="1" customWidth="1"/>
    <col min="255" max="255" width="77.7109375" style="20" bestFit="1" customWidth="1"/>
    <col min="256" max="256" width="36.85546875" style="20" bestFit="1" customWidth="1"/>
    <col min="257" max="257" width="8.85546875" style="20" bestFit="1" customWidth="1"/>
    <col min="258" max="258" width="9.7109375" style="20" bestFit="1" customWidth="1"/>
    <col min="259" max="259" width="13.85546875" style="20" bestFit="1" customWidth="1"/>
    <col min="260" max="507" width="9.28515625" style="20"/>
    <col min="508" max="508" width="10.140625" style="20" bestFit="1" customWidth="1"/>
    <col min="509" max="509" width="7.7109375" style="20" bestFit="1" customWidth="1"/>
    <col min="510" max="510" width="14.140625" style="20" bestFit="1" customWidth="1"/>
    <col min="511" max="511" width="77.7109375" style="20" bestFit="1" customWidth="1"/>
    <col min="512" max="512" width="36.85546875" style="20" bestFit="1" customWidth="1"/>
    <col min="513" max="513" width="8.85546875" style="20" bestFit="1" customWidth="1"/>
    <col min="514" max="514" width="9.7109375" style="20" bestFit="1" customWidth="1"/>
    <col min="515" max="515" width="13.85546875" style="20" bestFit="1" customWidth="1"/>
    <col min="516" max="763" width="9.28515625" style="20"/>
    <col min="764" max="764" width="10.140625" style="20" bestFit="1" customWidth="1"/>
    <col min="765" max="765" width="7.7109375" style="20" bestFit="1" customWidth="1"/>
    <col min="766" max="766" width="14.140625" style="20" bestFit="1" customWidth="1"/>
    <col min="767" max="767" width="77.7109375" style="20" bestFit="1" customWidth="1"/>
    <col min="768" max="768" width="36.85546875" style="20" bestFit="1" customWidth="1"/>
    <col min="769" max="769" width="8.85546875" style="20" bestFit="1" customWidth="1"/>
    <col min="770" max="770" width="9.7109375" style="20" bestFit="1" customWidth="1"/>
    <col min="771" max="771" width="13.85546875" style="20" bestFit="1" customWidth="1"/>
    <col min="772" max="1019" width="9.28515625" style="20"/>
    <col min="1020" max="1020" width="10.140625" style="20" bestFit="1" customWidth="1"/>
    <col min="1021" max="1021" width="7.7109375" style="20" bestFit="1" customWidth="1"/>
    <col min="1022" max="1022" width="14.140625" style="20" bestFit="1" customWidth="1"/>
    <col min="1023" max="1023" width="77.7109375" style="20" bestFit="1" customWidth="1"/>
    <col min="1024" max="1024" width="36.85546875" style="20" bestFit="1" customWidth="1"/>
    <col min="1025" max="1025" width="8.85546875" style="20" bestFit="1" customWidth="1"/>
    <col min="1026" max="1026" width="9.7109375" style="20" bestFit="1" customWidth="1"/>
    <col min="1027" max="1027" width="13.85546875" style="20" bestFit="1" customWidth="1"/>
    <col min="1028" max="1275" width="9.28515625" style="20"/>
    <col min="1276" max="1276" width="10.140625" style="20" bestFit="1" customWidth="1"/>
    <col min="1277" max="1277" width="7.7109375" style="20" bestFit="1" customWidth="1"/>
    <col min="1278" max="1278" width="14.140625" style="20" bestFit="1" customWidth="1"/>
    <col min="1279" max="1279" width="77.7109375" style="20" bestFit="1" customWidth="1"/>
    <col min="1280" max="1280" width="36.85546875" style="20" bestFit="1" customWidth="1"/>
    <col min="1281" max="1281" width="8.85546875" style="20" bestFit="1" customWidth="1"/>
    <col min="1282" max="1282" width="9.7109375" style="20" bestFit="1" customWidth="1"/>
    <col min="1283" max="1283" width="13.85546875" style="20" bestFit="1" customWidth="1"/>
    <col min="1284" max="1531" width="9.28515625" style="20"/>
    <col min="1532" max="1532" width="10.140625" style="20" bestFit="1" customWidth="1"/>
    <col min="1533" max="1533" width="7.7109375" style="20" bestFit="1" customWidth="1"/>
    <col min="1534" max="1534" width="14.140625" style="20" bestFit="1" customWidth="1"/>
    <col min="1535" max="1535" width="77.7109375" style="20" bestFit="1" customWidth="1"/>
    <col min="1536" max="1536" width="36.85546875" style="20" bestFit="1" customWidth="1"/>
    <col min="1537" max="1537" width="8.85546875" style="20" bestFit="1" customWidth="1"/>
    <col min="1538" max="1538" width="9.7109375" style="20" bestFit="1" customWidth="1"/>
    <col min="1539" max="1539" width="13.85546875" style="20" bestFit="1" customWidth="1"/>
    <col min="1540" max="1787" width="9.28515625" style="20"/>
    <col min="1788" max="1788" width="10.140625" style="20" bestFit="1" customWidth="1"/>
    <col min="1789" max="1789" width="7.7109375" style="20" bestFit="1" customWidth="1"/>
    <col min="1790" max="1790" width="14.140625" style="20" bestFit="1" customWidth="1"/>
    <col min="1791" max="1791" width="77.7109375" style="20" bestFit="1" customWidth="1"/>
    <col min="1792" max="1792" width="36.85546875" style="20" bestFit="1" customWidth="1"/>
    <col min="1793" max="1793" width="8.85546875" style="20" bestFit="1" customWidth="1"/>
    <col min="1794" max="1794" width="9.7109375" style="20" bestFit="1" customWidth="1"/>
    <col min="1795" max="1795" width="13.85546875" style="20" bestFit="1" customWidth="1"/>
    <col min="1796" max="2043" width="9.28515625" style="20"/>
    <col min="2044" max="2044" width="10.140625" style="20" bestFit="1" customWidth="1"/>
    <col min="2045" max="2045" width="7.7109375" style="20" bestFit="1" customWidth="1"/>
    <col min="2046" max="2046" width="14.140625" style="20" bestFit="1" customWidth="1"/>
    <col min="2047" max="2047" width="77.7109375" style="20" bestFit="1" customWidth="1"/>
    <col min="2048" max="2048" width="36.85546875" style="20" bestFit="1" customWidth="1"/>
    <col min="2049" max="2049" width="8.85546875" style="20" bestFit="1" customWidth="1"/>
    <col min="2050" max="2050" width="9.7109375" style="20" bestFit="1" customWidth="1"/>
    <col min="2051" max="2051" width="13.85546875" style="20" bestFit="1" customWidth="1"/>
    <col min="2052" max="2299" width="9.28515625" style="20"/>
    <col min="2300" max="2300" width="10.140625" style="20" bestFit="1" customWidth="1"/>
    <col min="2301" max="2301" width="7.7109375" style="20" bestFit="1" customWidth="1"/>
    <col min="2302" max="2302" width="14.140625" style="20" bestFit="1" customWidth="1"/>
    <col min="2303" max="2303" width="77.7109375" style="20" bestFit="1" customWidth="1"/>
    <col min="2304" max="2304" width="36.85546875" style="20" bestFit="1" customWidth="1"/>
    <col min="2305" max="2305" width="8.85546875" style="20" bestFit="1" customWidth="1"/>
    <col min="2306" max="2306" width="9.7109375" style="20" bestFit="1" customWidth="1"/>
    <col min="2307" max="2307" width="13.85546875" style="20" bestFit="1" customWidth="1"/>
    <col min="2308" max="2555" width="9.28515625" style="20"/>
    <col min="2556" max="2556" width="10.140625" style="20" bestFit="1" customWidth="1"/>
    <col min="2557" max="2557" width="7.7109375" style="20" bestFit="1" customWidth="1"/>
    <col min="2558" max="2558" width="14.140625" style="20" bestFit="1" customWidth="1"/>
    <col min="2559" max="2559" width="77.7109375" style="20" bestFit="1" customWidth="1"/>
    <col min="2560" max="2560" width="36.85546875" style="20" bestFit="1" customWidth="1"/>
    <col min="2561" max="2561" width="8.85546875" style="20" bestFit="1" customWidth="1"/>
    <col min="2562" max="2562" width="9.7109375" style="20" bestFit="1" customWidth="1"/>
    <col min="2563" max="2563" width="13.85546875" style="20" bestFit="1" customWidth="1"/>
    <col min="2564" max="2811" width="9.28515625" style="20"/>
    <col min="2812" max="2812" width="10.140625" style="20" bestFit="1" customWidth="1"/>
    <col min="2813" max="2813" width="7.7109375" style="20" bestFit="1" customWidth="1"/>
    <col min="2814" max="2814" width="14.140625" style="20" bestFit="1" customWidth="1"/>
    <col min="2815" max="2815" width="77.7109375" style="20" bestFit="1" customWidth="1"/>
    <col min="2816" max="2816" width="36.85546875" style="20" bestFit="1" customWidth="1"/>
    <col min="2817" max="2817" width="8.85546875" style="20" bestFit="1" customWidth="1"/>
    <col min="2818" max="2818" width="9.7109375" style="20" bestFit="1" customWidth="1"/>
    <col min="2819" max="2819" width="13.85546875" style="20" bestFit="1" customWidth="1"/>
    <col min="2820" max="3067" width="9.28515625" style="20"/>
    <col min="3068" max="3068" width="10.140625" style="20" bestFit="1" customWidth="1"/>
    <col min="3069" max="3069" width="7.7109375" style="20" bestFit="1" customWidth="1"/>
    <col min="3070" max="3070" width="14.140625" style="20" bestFit="1" customWidth="1"/>
    <col min="3071" max="3071" width="77.7109375" style="20" bestFit="1" customWidth="1"/>
    <col min="3072" max="3072" width="36.85546875" style="20" bestFit="1" customWidth="1"/>
    <col min="3073" max="3073" width="8.85546875" style="20" bestFit="1" customWidth="1"/>
    <col min="3074" max="3074" width="9.7109375" style="20" bestFit="1" customWidth="1"/>
    <col min="3075" max="3075" width="13.85546875" style="20" bestFit="1" customWidth="1"/>
    <col min="3076" max="3323" width="9.28515625" style="20"/>
    <col min="3324" max="3324" width="10.140625" style="20" bestFit="1" customWidth="1"/>
    <col min="3325" max="3325" width="7.7109375" style="20" bestFit="1" customWidth="1"/>
    <col min="3326" max="3326" width="14.140625" style="20" bestFit="1" customWidth="1"/>
    <col min="3327" max="3327" width="77.7109375" style="20" bestFit="1" customWidth="1"/>
    <col min="3328" max="3328" width="36.85546875" style="20" bestFit="1" customWidth="1"/>
    <col min="3329" max="3329" width="8.85546875" style="20" bestFit="1" customWidth="1"/>
    <col min="3330" max="3330" width="9.7109375" style="20" bestFit="1" customWidth="1"/>
    <col min="3331" max="3331" width="13.85546875" style="20" bestFit="1" customWidth="1"/>
    <col min="3332" max="3579" width="9.28515625" style="20"/>
    <col min="3580" max="3580" width="10.140625" style="20" bestFit="1" customWidth="1"/>
    <col min="3581" max="3581" width="7.7109375" style="20" bestFit="1" customWidth="1"/>
    <col min="3582" max="3582" width="14.140625" style="20" bestFit="1" customWidth="1"/>
    <col min="3583" max="3583" width="77.7109375" style="20" bestFit="1" customWidth="1"/>
    <col min="3584" max="3584" width="36.85546875" style="20" bestFit="1" customWidth="1"/>
    <col min="3585" max="3585" width="8.85546875" style="20" bestFit="1" customWidth="1"/>
    <col min="3586" max="3586" width="9.7109375" style="20" bestFit="1" customWidth="1"/>
    <col min="3587" max="3587" width="13.85546875" style="20" bestFit="1" customWidth="1"/>
    <col min="3588" max="3835" width="9.28515625" style="20"/>
    <col min="3836" max="3836" width="10.140625" style="20" bestFit="1" customWidth="1"/>
    <col min="3837" max="3837" width="7.7109375" style="20" bestFit="1" customWidth="1"/>
    <col min="3838" max="3838" width="14.140625" style="20" bestFit="1" customWidth="1"/>
    <col min="3839" max="3839" width="77.7109375" style="20" bestFit="1" customWidth="1"/>
    <col min="3840" max="3840" width="36.85546875" style="20" bestFit="1" customWidth="1"/>
    <col min="3841" max="3841" width="8.85546875" style="20" bestFit="1" customWidth="1"/>
    <col min="3842" max="3842" width="9.7109375" style="20" bestFit="1" customWidth="1"/>
    <col min="3843" max="3843" width="13.85546875" style="20" bestFit="1" customWidth="1"/>
    <col min="3844" max="4091" width="9.28515625" style="20"/>
    <col min="4092" max="4092" width="10.140625" style="20" bestFit="1" customWidth="1"/>
    <col min="4093" max="4093" width="7.7109375" style="20" bestFit="1" customWidth="1"/>
    <col min="4094" max="4094" width="14.140625" style="20" bestFit="1" customWidth="1"/>
    <col min="4095" max="4095" width="77.7109375" style="20" bestFit="1" customWidth="1"/>
    <col min="4096" max="4096" width="36.85546875" style="20" bestFit="1" customWidth="1"/>
    <col min="4097" max="4097" width="8.85546875" style="20" bestFit="1" customWidth="1"/>
    <col min="4098" max="4098" width="9.7109375" style="20" bestFit="1" customWidth="1"/>
    <col min="4099" max="4099" width="13.85546875" style="20" bestFit="1" customWidth="1"/>
    <col min="4100" max="4347" width="9.28515625" style="20"/>
    <col min="4348" max="4348" width="10.140625" style="20" bestFit="1" customWidth="1"/>
    <col min="4349" max="4349" width="7.7109375" style="20" bestFit="1" customWidth="1"/>
    <col min="4350" max="4350" width="14.140625" style="20" bestFit="1" customWidth="1"/>
    <col min="4351" max="4351" width="77.7109375" style="20" bestFit="1" customWidth="1"/>
    <col min="4352" max="4352" width="36.85546875" style="20" bestFit="1" customWidth="1"/>
    <col min="4353" max="4353" width="8.85546875" style="20" bestFit="1" customWidth="1"/>
    <col min="4354" max="4354" width="9.7109375" style="20" bestFit="1" customWidth="1"/>
    <col min="4355" max="4355" width="13.85546875" style="20" bestFit="1" customWidth="1"/>
    <col min="4356" max="4603" width="9.28515625" style="20"/>
    <col min="4604" max="4604" width="10.140625" style="20" bestFit="1" customWidth="1"/>
    <col min="4605" max="4605" width="7.7109375" style="20" bestFit="1" customWidth="1"/>
    <col min="4606" max="4606" width="14.140625" style="20" bestFit="1" customWidth="1"/>
    <col min="4607" max="4607" width="77.7109375" style="20" bestFit="1" customWidth="1"/>
    <col min="4608" max="4608" width="36.85546875" style="20" bestFit="1" customWidth="1"/>
    <col min="4609" max="4609" width="8.85546875" style="20" bestFit="1" customWidth="1"/>
    <col min="4610" max="4610" width="9.7109375" style="20" bestFit="1" customWidth="1"/>
    <col min="4611" max="4611" width="13.85546875" style="20" bestFit="1" customWidth="1"/>
    <col min="4612" max="4859" width="9.28515625" style="20"/>
    <col min="4860" max="4860" width="10.140625" style="20" bestFit="1" customWidth="1"/>
    <col min="4861" max="4861" width="7.7109375" style="20" bestFit="1" customWidth="1"/>
    <col min="4862" max="4862" width="14.140625" style="20" bestFit="1" customWidth="1"/>
    <col min="4863" max="4863" width="77.7109375" style="20" bestFit="1" customWidth="1"/>
    <col min="4864" max="4864" width="36.85546875" style="20" bestFit="1" customWidth="1"/>
    <col min="4865" max="4865" width="8.85546875" style="20" bestFit="1" customWidth="1"/>
    <col min="4866" max="4866" width="9.7109375" style="20" bestFit="1" customWidth="1"/>
    <col min="4867" max="4867" width="13.85546875" style="20" bestFit="1" customWidth="1"/>
    <col min="4868" max="5115" width="9.28515625" style="20"/>
    <col min="5116" max="5116" width="10.140625" style="20" bestFit="1" customWidth="1"/>
    <col min="5117" max="5117" width="7.7109375" style="20" bestFit="1" customWidth="1"/>
    <col min="5118" max="5118" width="14.140625" style="20" bestFit="1" customWidth="1"/>
    <col min="5119" max="5119" width="77.7109375" style="20" bestFit="1" customWidth="1"/>
    <col min="5120" max="5120" width="36.85546875" style="20" bestFit="1" customWidth="1"/>
    <col min="5121" max="5121" width="8.85546875" style="20" bestFit="1" customWidth="1"/>
    <col min="5122" max="5122" width="9.7109375" style="20" bestFit="1" customWidth="1"/>
    <col min="5123" max="5123" width="13.85546875" style="20" bestFit="1" customWidth="1"/>
    <col min="5124" max="5371" width="9.28515625" style="20"/>
    <col min="5372" max="5372" width="10.140625" style="20" bestFit="1" customWidth="1"/>
    <col min="5373" max="5373" width="7.7109375" style="20" bestFit="1" customWidth="1"/>
    <col min="5374" max="5374" width="14.140625" style="20" bestFit="1" customWidth="1"/>
    <col min="5375" max="5375" width="77.7109375" style="20" bestFit="1" customWidth="1"/>
    <col min="5376" max="5376" width="36.85546875" style="20" bestFit="1" customWidth="1"/>
    <col min="5377" max="5377" width="8.85546875" style="20" bestFit="1" customWidth="1"/>
    <col min="5378" max="5378" width="9.7109375" style="20" bestFit="1" customWidth="1"/>
    <col min="5379" max="5379" width="13.85546875" style="20" bestFit="1" customWidth="1"/>
    <col min="5380" max="5627" width="9.28515625" style="20"/>
    <col min="5628" max="5628" width="10.140625" style="20" bestFit="1" customWidth="1"/>
    <col min="5629" max="5629" width="7.7109375" style="20" bestFit="1" customWidth="1"/>
    <col min="5630" max="5630" width="14.140625" style="20" bestFit="1" customWidth="1"/>
    <col min="5631" max="5631" width="77.7109375" style="20" bestFit="1" customWidth="1"/>
    <col min="5632" max="5632" width="36.85546875" style="20" bestFit="1" customWidth="1"/>
    <col min="5633" max="5633" width="8.85546875" style="20" bestFit="1" customWidth="1"/>
    <col min="5634" max="5634" width="9.7109375" style="20" bestFit="1" customWidth="1"/>
    <col min="5635" max="5635" width="13.85546875" style="20" bestFit="1" customWidth="1"/>
    <col min="5636" max="5883" width="9.28515625" style="20"/>
    <col min="5884" max="5884" width="10.140625" style="20" bestFit="1" customWidth="1"/>
    <col min="5885" max="5885" width="7.7109375" style="20" bestFit="1" customWidth="1"/>
    <col min="5886" max="5886" width="14.140625" style="20" bestFit="1" customWidth="1"/>
    <col min="5887" max="5887" width="77.7109375" style="20" bestFit="1" customWidth="1"/>
    <col min="5888" max="5888" width="36.85546875" style="20" bestFit="1" customWidth="1"/>
    <col min="5889" max="5889" width="8.85546875" style="20" bestFit="1" customWidth="1"/>
    <col min="5890" max="5890" width="9.7109375" style="20" bestFit="1" customWidth="1"/>
    <col min="5891" max="5891" width="13.85546875" style="20" bestFit="1" customWidth="1"/>
    <col min="5892" max="6139" width="9.28515625" style="20"/>
    <col min="6140" max="6140" width="10.140625" style="20" bestFit="1" customWidth="1"/>
    <col min="6141" max="6141" width="7.7109375" style="20" bestFit="1" customWidth="1"/>
    <col min="6142" max="6142" width="14.140625" style="20" bestFit="1" customWidth="1"/>
    <col min="6143" max="6143" width="77.7109375" style="20" bestFit="1" customWidth="1"/>
    <col min="6144" max="6144" width="36.85546875" style="20" bestFit="1" customWidth="1"/>
    <col min="6145" max="6145" width="8.85546875" style="20" bestFit="1" customWidth="1"/>
    <col min="6146" max="6146" width="9.7109375" style="20" bestFit="1" customWidth="1"/>
    <col min="6147" max="6147" width="13.85546875" style="20" bestFit="1" customWidth="1"/>
    <col min="6148" max="6395" width="9.28515625" style="20"/>
    <col min="6396" max="6396" width="10.140625" style="20" bestFit="1" customWidth="1"/>
    <col min="6397" max="6397" width="7.7109375" style="20" bestFit="1" customWidth="1"/>
    <col min="6398" max="6398" width="14.140625" style="20" bestFit="1" customWidth="1"/>
    <col min="6399" max="6399" width="77.7109375" style="20" bestFit="1" customWidth="1"/>
    <col min="6400" max="6400" width="36.85546875" style="20" bestFit="1" customWidth="1"/>
    <col min="6401" max="6401" width="8.85546875" style="20" bestFit="1" customWidth="1"/>
    <col min="6402" max="6402" width="9.7109375" style="20" bestFit="1" customWidth="1"/>
    <col min="6403" max="6403" width="13.85546875" style="20" bestFit="1" customWidth="1"/>
    <col min="6404" max="6651" width="9.28515625" style="20"/>
    <col min="6652" max="6652" width="10.140625" style="20" bestFit="1" customWidth="1"/>
    <col min="6653" max="6653" width="7.7109375" style="20" bestFit="1" customWidth="1"/>
    <col min="6654" max="6654" width="14.140625" style="20" bestFit="1" customWidth="1"/>
    <col min="6655" max="6655" width="77.7109375" style="20" bestFit="1" customWidth="1"/>
    <col min="6656" max="6656" width="36.85546875" style="20" bestFit="1" customWidth="1"/>
    <col min="6657" max="6657" width="8.85546875" style="20" bestFit="1" customWidth="1"/>
    <col min="6658" max="6658" width="9.7109375" style="20" bestFit="1" customWidth="1"/>
    <col min="6659" max="6659" width="13.85546875" style="20" bestFit="1" customWidth="1"/>
    <col min="6660" max="6907" width="9.28515625" style="20"/>
    <col min="6908" max="6908" width="10.140625" style="20" bestFit="1" customWidth="1"/>
    <col min="6909" max="6909" width="7.7109375" style="20" bestFit="1" customWidth="1"/>
    <col min="6910" max="6910" width="14.140625" style="20" bestFit="1" customWidth="1"/>
    <col min="6911" max="6911" width="77.7109375" style="20" bestFit="1" customWidth="1"/>
    <col min="6912" max="6912" width="36.85546875" style="20" bestFit="1" customWidth="1"/>
    <col min="6913" max="6913" width="8.85546875" style="20" bestFit="1" customWidth="1"/>
    <col min="6914" max="6914" width="9.7109375" style="20" bestFit="1" customWidth="1"/>
    <col min="6915" max="6915" width="13.85546875" style="20" bestFit="1" customWidth="1"/>
    <col min="6916" max="7163" width="9.28515625" style="20"/>
    <col min="7164" max="7164" width="10.140625" style="20" bestFit="1" customWidth="1"/>
    <col min="7165" max="7165" width="7.7109375" style="20" bestFit="1" customWidth="1"/>
    <col min="7166" max="7166" width="14.140625" style="20" bestFit="1" customWidth="1"/>
    <col min="7167" max="7167" width="77.7109375" style="20" bestFit="1" customWidth="1"/>
    <col min="7168" max="7168" width="36.85546875" style="20" bestFit="1" customWidth="1"/>
    <col min="7169" max="7169" width="8.85546875" style="20" bestFit="1" customWidth="1"/>
    <col min="7170" max="7170" width="9.7109375" style="20" bestFit="1" customWidth="1"/>
    <col min="7171" max="7171" width="13.85546875" style="20" bestFit="1" customWidth="1"/>
    <col min="7172" max="7419" width="9.28515625" style="20"/>
    <col min="7420" max="7420" width="10.140625" style="20" bestFit="1" customWidth="1"/>
    <col min="7421" max="7421" width="7.7109375" style="20" bestFit="1" customWidth="1"/>
    <col min="7422" max="7422" width="14.140625" style="20" bestFit="1" customWidth="1"/>
    <col min="7423" max="7423" width="77.7109375" style="20" bestFit="1" customWidth="1"/>
    <col min="7424" max="7424" width="36.85546875" style="20" bestFit="1" customWidth="1"/>
    <col min="7425" max="7425" width="8.85546875" style="20" bestFit="1" customWidth="1"/>
    <col min="7426" max="7426" width="9.7109375" style="20" bestFit="1" customWidth="1"/>
    <col min="7427" max="7427" width="13.85546875" style="20" bestFit="1" customWidth="1"/>
    <col min="7428" max="7675" width="9.28515625" style="20"/>
    <col min="7676" max="7676" width="10.140625" style="20" bestFit="1" customWidth="1"/>
    <col min="7677" max="7677" width="7.7109375" style="20" bestFit="1" customWidth="1"/>
    <col min="7678" max="7678" width="14.140625" style="20" bestFit="1" customWidth="1"/>
    <col min="7679" max="7679" width="77.7109375" style="20" bestFit="1" customWidth="1"/>
    <col min="7680" max="7680" width="36.85546875" style="20" bestFit="1" customWidth="1"/>
    <col min="7681" max="7681" width="8.85546875" style="20" bestFit="1" customWidth="1"/>
    <col min="7682" max="7682" width="9.7109375" style="20" bestFit="1" customWidth="1"/>
    <col min="7683" max="7683" width="13.85546875" style="20" bestFit="1" customWidth="1"/>
    <col min="7684" max="7931" width="9.28515625" style="20"/>
    <col min="7932" max="7932" width="10.140625" style="20" bestFit="1" customWidth="1"/>
    <col min="7933" max="7933" width="7.7109375" style="20" bestFit="1" customWidth="1"/>
    <col min="7934" max="7934" width="14.140625" style="20" bestFit="1" customWidth="1"/>
    <col min="7935" max="7935" width="77.7109375" style="20" bestFit="1" customWidth="1"/>
    <col min="7936" max="7936" width="36.85546875" style="20" bestFit="1" customWidth="1"/>
    <col min="7937" max="7937" width="8.85546875" style="20" bestFit="1" customWidth="1"/>
    <col min="7938" max="7938" width="9.7109375" style="20" bestFit="1" customWidth="1"/>
    <col min="7939" max="7939" width="13.85546875" style="20" bestFit="1" customWidth="1"/>
    <col min="7940" max="8187" width="9.28515625" style="20"/>
    <col min="8188" max="8188" width="10.140625" style="20" bestFit="1" customWidth="1"/>
    <col min="8189" max="8189" width="7.7109375" style="20" bestFit="1" customWidth="1"/>
    <col min="8190" max="8190" width="14.140625" style="20" bestFit="1" customWidth="1"/>
    <col min="8191" max="8191" width="77.7109375" style="20" bestFit="1" customWidth="1"/>
    <col min="8192" max="8192" width="36.85546875" style="20" bestFit="1" customWidth="1"/>
    <col min="8193" max="8193" width="8.85546875" style="20" bestFit="1" customWidth="1"/>
    <col min="8194" max="8194" width="9.7109375" style="20" bestFit="1" customWidth="1"/>
    <col min="8195" max="8195" width="13.85546875" style="20" bestFit="1" customWidth="1"/>
    <col min="8196" max="8443" width="9.28515625" style="20"/>
    <col min="8444" max="8444" width="10.140625" style="20" bestFit="1" customWidth="1"/>
    <col min="8445" max="8445" width="7.7109375" style="20" bestFit="1" customWidth="1"/>
    <col min="8446" max="8446" width="14.140625" style="20" bestFit="1" customWidth="1"/>
    <col min="8447" max="8447" width="77.7109375" style="20" bestFit="1" customWidth="1"/>
    <col min="8448" max="8448" width="36.85546875" style="20" bestFit="1" customWidth="1"/>
    <col min="8449" max="8449" width="8.85546875" style="20" bestFit="1" customWidth="1"/>
    <col min="8450" max="8450" width="9.7109375" style="20" bestFit="1" customWidth="1"/>
    <col min="8451" max="8451" width="13.85546875" style="20" bestFit="1" customWidth="1"/>
    <col min="8452" max="8699" width="9.28515625" style="20"/>
    <col min="8700" max="8700" width="10.140625" style="20" bestFit="1" customWidth="1"/>
    <col min="8701" max="8701" width="7.7109375" style="20" bestFit="1" customWidth="1"/>
    <col min="8702" max="8702" width="14.140625" style="20" bestFit="1" customWidth="1"/>
    <col min="8703" max="8703" width="77.7109375" style="20" bestFit="1" customWidth="1"/>
    <col min="8704" max="8704" width="36.85546875" style="20" bestFit="1" customWidth="1"/>
    <col min="8705" max="8705" width="8.85546875" style="20" bestFit="1" customWidth="1"/>
    <col min="8706" max="8706" width="9.7109375" style="20" bestFit="1" customWidth="1"/>
    <col min="8707" max="8707" width="13.85546875" style="20" bestFit="1" customWidth="1"/>
    <col min="8708" max="8955" width="9.28515625" style="20"/>
    <col min="8956" max="8956" width="10.140625" style="20" bestFit="1" customWidth="1"/>
    <col min="8957" max="8957" width="7.7109375" style="20" bestFit="1" customWidth="1"/>
    <col min="8958" max="8958" width="14.140625" style="20" bestFit="1" customWidth="1"/>
    <col min="8959" max="8959" width="77.7109375" style="20" bestFit="1" customWidth="1"/>
    <col min="8960" max="8960" width="36.85546875" style="20" bestFit="1" customWidth="1"/>
    <col min="8961" max="8961" width="8.85546875" style="20" bestFit="1" customWidth="1"/>
    <col min="8962" max="8962" width="9.7109375" style="20" bestFit="1" customWidth="1"/>
    <col min="8963" max="8963" width="13.85546875" style="20" bestFit="1" customWidth="1"/>
    <col min="8964" max="9211" width="9.28515625" style="20"/>
    <col min="9212" max="9212" width="10.140625" style="20" bestFit="1" customWidth="1"/>
    <col min="9213" max="9213" width="7.7109375" style="20" bestFit="1" customWidth="1"/>
    <col min="9214" max="9214" width="14.140625" style="20" bestFit="1" customWidth="1"/>
    <col min="9215" max="9215" width="77.7109375" style="20" bestFit="1" customWidth="1"/>
    <col min="9216" max="9216" width="36.85546875" style="20" bestFit="1" customWidth="1"/>
    <col min="9217" max="9217" width="8.85546875" style="20" bestFit="1" customWidth="1"/>
    <col min="9218" max="9218" width="9.7109375" style="20" bestFit="1" customWidth="1"/>
    <col min="9219" max="9219" width="13.85546875" style="20" bestFit="1" customWidth="1"/>
    <col min="9220" max="9467" width="9.28515625" style="20"/>
    <col min="9468" max="9468" width="10.140625" style="20" bestFit="1" customWidth="1"/>
    <col min="9469" max="9469" width="7.7109375" style="20" bestFit="1" customWidth="1"/>
    <col min="9470" max="9470" width="14.140625" style="20" bestFit="1" customWidth="1"/>
    <col min="9471" max="9471" width="77.7109375" style="20" bestFit="1" customWidth="1"/>
    <col min="9472" max="9472" width="36.85546875" style="20" bestFit="1" customWidth="1"/>
    <col min="9473" max="9473" width="8.85546875" style="20" bestFit="1" customWidth="1"/>
    <col min="9474" max="9474" width="9.7109375" style="20" bestFit="1" customWidth="1"/>
    <col min="9475" max="9475" width="13.85546875" style="20" bestFit="1" customWidth="1"/>
    <col min="9476" max="9723" width="9.28515625" style="20"/>
    <col min="9724" max="9724" width="10.140625" style="20" bestFit="1" customWidth="1"/>
    <col min="9725" max="9725" width="7.7109375" style="20" bestFit="1" customWidth="1"/>
    <col min="9726" max="9726" width="14.140625" style="20" bestFit="1" customWidth="1"/>
    <col min="9727" max="9727" width="77.7109375" style="20" bestFit="1" customWidth="1"/>
    <col min="9728" max="9728" width="36.85546875" style="20" bestFit="1" customWidth="1"/>
    <col min="9729" max="9729" width="8.85546875" style="20" bestFit="1" customWidth="1"/>
    <col min="9730" max="9730" width="9.7109375" style="20" bestFit="1" customWidth="1"/>
    <col min="9731" max="9731" width="13.85546875" style="20" bestFit="1" customWidth="1"/>
    <col min="9732" max="9979" width="9.28515625" style="20"/>
    <col min="9980" max="9980" width="10.140625" style="20" bestFit="1" customWidth="1"/>
    <col min="9981" max="9981" width="7.7109375" style="20" bestFit="1" customWidth="1"/>
    <col min="9982" max="9982" width="14.140625" style="20" bestFit="1" customWidth="1"/>
    <col min="9983" max="9983" width="77.7109375" style="20" bestFit="1" customWidth="1"/>
    <col min="9984" max="9984" width="36.85546875" style="20" bestFit="1" customWidth="1"/>
    <col min="9985" max="9985" width="8.85546875" style="20" bestFit="1" customWidth="1"/>
    <col min="9986" max="9986" width="9.7109375" style="20" bestFit="1" customWidth="1"/>
    <col min="9987" max="9987" width="13.85546875" style="20" bestFit="1" customWidth="1"/>
    <col min="9988" max="10235" width="9.28515625" style="20"/>
    <col min="10236" max="10236" width="10.140625" style="20" bestFit="1" customWidth="1"/>
    <col min="10237" max="10237" width="7.7109375" style="20" bestFit="1" customWidth="1"/>
    <col min="10238" max="10238" width="14.140625" style="20" bestFit="1" customWidth="1"/>
    <col min="10239" max="10239" width="77.7109375" style="20" bestFit="1" customWidth="1"/>
    <col min="10240" max="10240" width="36.85546875" style="20" bestFit="1" customWidth="1"/>
    <col min="10241" max="10241" width="8.85546875" style="20" bestFit="1" customWidth="1"/>
    <col min="10242" max="10242" width="9.7109375" style="20" bestFit="1" customWidth="1"/>
    <col min="10243" max="10243" width="13.85546875" style="20" bestFit="1" customWidth="1"/>
    <col min="10244" max="10491" width="9.28515625" style="20"/>
    <col min="10492" max="10492" width="10.140625" style="20" bestFit="1" customWidth="1"/>
    <col min="10493" max="10493" width="7.7109375" style="20" bestFit="1" customWidth="1"/>
    <col min="10494" max="10494" width="14.140625" style="20" bestFit="1" customWidth="1"/>
    <col min="10495" max="10495" width="77.7109375" style="20" bestFit="1" customWidth="1"/>
    <col min="10496" max="10496" width="36.85546875" style="20" bestFit="1" customWidth="1"/>
    <col min="10497" max="10497" width="8.85546875" style="20" bestFit="1" customWidth="1"/>
    <col min="10498" max="10498" width="9.7109375" style="20" bestFit="1" customWidth="1"/>
    <col min="10499" max="10499" width="13.85546875" style="20" bestFit="1" customWidth="1"/>
    <col min="10500" max="10747" width="9.28515625" style="20"/>
    <col min="10748" max="10748" width="10.140625" style="20" bestFit="1" customWidth="1"/>
    <col min="10749" max="10749" width="7.7109375" style="20" bestFit="1" customWidth="1"/>
    <col min="10750" max="10750" width="14.140625" style="20" bestFit="1" customWidth="1"/>
    <col min="10751" max="10751" width="77.7109375" style="20" bestFit="1" customWidth="1"/>
    <col min="10752" max="10752" width="36.85546875" style="20" bestFit="1" customWidth="1"/>
    <col min="10753" max="10753" width="8.85546875" style="20" bestFit="1" customWidth="1"/>
    <col min="10754" max="10754" width="9.7109375" style="20" bestFit="1" customWidth="1"/>
    <col min="10755" max="10755" width="13.85546875" style="20" bestFit="1" customWidth="1"/>
    <col min="10756" max="11003" width="9.28515625" style="20"/>
    <col min="11004" max="11004" width="10.140625" style="20" bestFit="1" customWidth="1"/>
    <col min="11005" max="11005" width="7.7109375" style="20" bestFit="1" customWidth="1"/>
    <col min="11006" max="11006" width="14.140625" style="20" bestFit="1" customWidth="1"/>
    <col min="11007" max="11007" width="77.7109375" style="20" bestFit="1" customWidth="1"/>
    <col min="11008" max="11008" width="36.85546875" style="20" bestFit="1" customWidth="1"/>
    <col min="11009" max="11009" width="8.85546875" style="20" bestFit="1" customWidth="1"/>
    <col min="11010" max="11010" width="9.7109375" style="20" bestFit="1" customWidth="1"/>
    <col min="11011" max="11011" width="13.85546875" style="20" bestFit="1" customWidth="1"/>
    <col min="11012" max="11259" width="9.28515625" style="20"/>
    <col min="11260" max="11260" width="10.140625" style="20" bestFit="1" customWidth="1"/>
    <col min="11261" max="11261" width="7.7109375" style="20" bestFit="1" customWidth="1"/>
    <col min="11262" max="11262" width="14.140625" style="20" bestFit="1" customWidth="1"/>
    <col min="11263" max="11263" width="77.7109375" style="20" bestFit="1" customWidth="1"/>
    <col min="11264" max="11264" width="36.85546875" style="20" bestFit="1" customWidth="1"/>
    <col min="11265" max="11265" width="8.85546875" style="20" bestFit="1" customWidth="1"/>
    <col min="11266" max="11266" width="9.7109375" style="20" bestFit="1" customWidth="1"/>
    <col min="11267" max="11267" width="13.85546875" style="20" bestFit="1" customWidth="1"/>
    <col min="11268" max="11515" width="9.28515625" style="20"/>
    <col min="11516" max="11516" width="10.140625" style="20" bestFit="1" customWidth="1"/>
    <col min="11517" max="11517" width="7.7109375" style="20" bestFit="1" customWidth="1"/>
    <col min="11518" max="11518" width="14.140625" style="20" bestFit="1" customWidth="1"/>
    <col min="11519" max="11519" width="77.7109375" style="20" bestFit="1" customWidth="1"/>
    <col min="11520" max="11520" width="36.85546875" style="20" bestFit="1" customWidth="1"/>
    <col min="11521" max="11521" width="8.85546875" style="20" bestFit="1" customWidth="1"/>
    <col min="11522" max="11522" width="9.7109375" style="20" bestFit="1" customWidth="1"/>
    <col min="11523" max="11523" width="13.85546875" style="20" bestFit="1" customWidth="1"/>
    <col min="11524" max="11771" width="9.28515625" style="20"/>
    <col min="11772" max="11772" width="10.140625" style="20" bestFit="1" customWidth="1"/>
    <col min="11773" max="11773" width="7.7109375" style="20" bestFit="1" customWidth="1"/>
    <col min="11774" max="11774" width="14.140625" style="20" bestFit="1" customWidth="1"/>
    <col min="11775" max="11775" width="77.7109375" style="20" bestFit="1" customWidth="1"/>
    <col min="11776" max="11776" width="36.85546875" style="20" bestFit="1" customWidth="1"/>
    <col min="11777" max="11777" width="8.85546875" style="20" bestFit="1" customWidth="1"/>
    <col min="11778" max="11778" width="9.7109375" style="20" bestFit="1" customWidth="1"/>
    <col min="11779" max="11779" width="13.85546875" style="20" bestFit="1" customWidth="1"/>
    <col min="11780" max="12027" width="9.28515625" style="20"/>
    <col min="12028" max="12028" width="10.140625" style="20" bestFit="1" customWidth="1"/>
    <col min="12029" max="12029" width="7.7109375" style="20" bestFit="1" customWidth="1"/>
    <col min="12030" max="12030" width="14.140625" style="20" bestFit="1" customWidth="1"/>
    <col min="12031" max="12031" width="77.7109375" style="20" bestFit="1" customWidth="1"/>
    <col min="12032" max="12032" width="36.85546875" style="20" bestFit="1" customWidth="1"/>
    <col min="12033" max="12033" width="8.85546875" style="20" bestFit="1" customWidth="1"/>
    <col min="12034" max="12034" width="9.7109375" style="20" bestFit="1" customWidth="1"/>
    <col min="12035" max="12035" width="13.85546875" style="20" bestFit="1" customWidth="1"/>
    <col min="12036" max="12283" width="9.28515625" style="20"/>
    <col min="12284" max="12284" width="10.140625" style="20" bestFit="1" customWidth="1"/>
    <col min="12285" max="12285" width="7.7109375" style="20" bestFit="1" customWidth="1"/>
    <col min="12286" max="12286" width="14.140625" style="20" bestFit="1" customWidth="1"/>
    <col min="12287" max="12287" width="77.7109375" style="20" bestFit="1" customWidth="1"/>
    <col min="12288" max="12288" width="36.85546875" style="20" bestFit="1" customWidth="1"/>
    <col min="12289" max="12289" width="8.85546875" style="20" bestFit="1" customWidth="1"/>
    <col min="12290" max="12290" width="9.7109375" style="20" bestFit="1" customWidth="1"/>
    <col min="12291" max="12291" width="13.85546875" style="20" bestFit="1" customWidth="1"/>
    <col min="12292" max="12539" width="9.28515625" style="20"/>
    <col min="12540" max="12540" width="10.140625" style="20" bestFit="1" customWidth="1"/>
    <col min="12541" max="12541" width="7.7109375" style="20" bestFit="1" customWidth="1"/>
    <col min="12542" max="12542" width="14.140625" style="20" bestFit="1" customWidth="1"/>
    <col min="12543" max="12543" width="77.7109375" style="20" bestFit="1" customWidth="1"/>
    <col min="12544" max="12544" width="36.85546875" style="20" bestFit="1" customWidth="1"/>
    <col min="12545" max="12545" width="8.85546875" style="20" bestFit="1" customWidth="1"/>
    <col min="12546" max="12546" width="9.7109375" style="20" bestFit="1" customWidth="1"/>
    <col min="12547" max="12547" width="13.85546875" style="20" bestFit="1" customWidth="1"/>
    <col min="12548" max="12795" width="9.28515625" style="20"/>
    <col min="12796" max="12796" width="10.140625" style="20" bestFit="1" customWidth="1"/>
    <col min="12797" max="12797" width="7.7109375" style="20" bestFit="1" customWidth="1"/>
    <col min="12798" max="12798" width="14.140625" style="20" bestFit="1" customWidth="1"/>
    <col min="12799" max="12799" width="77.7109375" style="20" bestFit="1" customWidth="1"/>
    <col min="12800" max="12800" width="36.85546875" style="20" bestFit="1" customWidth="1"/>
    <col min="12801" max="12801" width="8.85546875" style="20" bestFit="1" customWidth="1"/>
    <col min="12802" max="12802" width="9.7109375" style="20" bestFit="1" customWidth="1"/>
    <col min="12803" max="12803" width="13.85546875" style="20" bestFit="1" customWidth="1"/>
    <col min="12804" max="13051" width="9.28515625" style="20"/>
    <col min="13052" max="13052" width="10.140625" style="20" bestFit="1" customWidth="1"/>
    <col min="13053" max="13053" width="7.7109375" style="20" bestFit="1" customWidth="1"/>
    <col min="13054" max="13054" width="14.140625" style="20" bestFit="1" customWidth="1"/>
    <col min="13055" max="13055" width="77.7109375" style="20" bestFit="1" customWidth="1"/>
    <col min="13056" max="13056" width="36.85546875" style="20" bestFit="1" customWidth="1"/>
    <col min="13057" max="13057" width="8.85546875" style="20" bestFit="1" customWidth="1"/>
    <col min="13058" max="13058" width="9.7109375" style="20" bestFit="1" customWidth="1"/>
    <col min="13059" max="13059" width="13.85546875" style="20" bestFit="1" customWidth="1"/>
    <col min="13060" max="13307" width="9.28515625" style="20"/>
    <col min="13308" max="13308" width="10.140625" style="20" bestFit="1" customWidth="1"/>
    <col min="13309" max="13309" width="7.7109375" style="20" bestFit="1" customWidth="1"/>
    <col min="13310" max="13310" width="14.140625" style="20" bestFit="1" customWidth="1"/>
    <col min="13311" max="13311" width="77.7109375" style="20" bestFit="1" customWidth="1"/>
    <col min="13312" max="13312" width="36.85546875" style="20" bestFit="1" customWidth="1"/>
    <col min="13313" max="13313" width="8.85546875" style="20" bestFit="1" customWidth="1"/>
    <col min="13314" max="13314" width="9.7109375" style="20" bestFit="1" customWidth="1"/>
    <col min="13315" max="13315" width="13.85546875" style="20" bestFit="1" customWidth="1"/>
    <col min="13316" max="13563" width="9.28515625" style="20"/>
    <col min="13564" max="13564" width="10.140625" style="20" bestFit="1" customWidth="1"/>
    <col min="13565" max="13565" width="7.7109375" style="20" bestFit="1" customWidth="1"/>
    <col min="13566" max="13566" width="14.140625" style="20" bestFit="1" customWidth="1"/>
    <col min="13567" max="13567" width="77.7109375" style="20" bestFit="1" customWidth="1"/>
    <col min="13568" max="13568" width="36.85546875" style="20" bestFit="1" customWidth="1"/>
    <col min="13569" max="13569" width="8.85546875" style="20" bestFit="1" customWidth="1"/>
    <col min="13570" max="13570" width="9.7109375" style="20" bestFit="1" customWidth="1"/>
    <col min="13571" max="13571" width="13.85546875" style="20" bestFit="1" customWidth="1"/>
    <col min="13572" max="13819" width="9.28515625" style="20"/>
    <col min="13820" max="13820" width="10.140625" style="20" bestFit="1" customWidth="1"/>
    <col min="13821" max="13821" width="7.7109375" style="20" bestFit="1" customWidth="1"/>
    <col min="13822" max="13822" width="14.140625" style="20" bestFit="1" customWidth="1"/>
    <col min="13823" max="13823" width="77.7109375" style="20" bestFit="1" customWidth="1"/>
    <col min="13824" max="13824" width="36.85546875" style="20" bestFit="1" customWidth="1"/>
    <col min="13825" max="13825" width="8.85546875" style="20" bestFit="1" customWidth="1"/>
    <col min="13826" max="13826" width="9.7109375" style="20" bestFit="1" customWidth="1"/>
    <col min="13827" max="13827" width="13.85546875" style="20" bestFit="1" customWidth="1"/>
    <col min="13828" max="14075" width="9.28515625" style="20"/>
    <col min="14076" max="14076" width="10.140625" style="20" bestFit="1" customWidth="1"/>
    <col min="14077" max="14077" width="7.7109375" style="20" bestFit="1" customWidth="1"/>
    <col min="14078" max="14078" width="14.140625" style="20" bestFit="1" customWidth="1"/>
    <col min="14079" max="14079" width="77.7109375" style="20" bestFit="1" customWidth="1"/>
    <col min="14080" max="14080" width="36.85546875" style="20" bestFit="1" customWidth="1"/>
    <col min="14081" max="14081" width="8.85546875" style="20" bestFit="1" customWidth="1"/>
    <col min="14082" max="14082" width="9.7109375" style="20" bestFit="1" customWidth="1"/>
    <col min="14083" max="14083" width="13.85546875" style="20" bestFit="1" customWidth="1"/>
    <col min="14084" max="14331" width="9.28515625" style="20"/>
    <col min="14332" max="14332" width="10.140625" style="20" bestFit="1" customWidth="1"/>
    <col min="14333" max="14333" width="7.7109375" style="20" bestFit="1" customWidth="1"/>
    <col min="14334" max="14334" width="14.140625" style="20" bestFit="1" customWidth="1"/>
    <col min="14335" max="14335" width="77.7109375" style="20" bestFit="1" customWidth="1"/>
    <col min="14336" max="14336" width="36.85546875" style="20" bestFit="1" customWidth="1"/>
    <col min="14337" max="14337" width="8.85546875" style="20" bestFit="1" customWidth="1"/>
    <col min="14338" max="14338" width="9.7109375" style="20" bestFit="1" customWidth="1"/>
    <col min="14339" max="14339" width="13.85546875" style="20" bestFit="1" customWidth="1"/>
    <col min="14340" max="14587" width="9.28515625" style="20"/>
    <col min="14588" max="14588" width="10.140625" style="20" bestFit="1" customWidth="1"/>
    <col min="14589" max="14589" width="7.7109375" style="20" bestFit="1" customWidth="1"/>
    <col min="14590" max="14590" width="14.140625" style="20" bestFit="1" customWidth="1"/>
    <col min="14591" max="14591" width="77.7109375" style="20" bestFit="1" customWidth="1"/>
    <col min="14592" max="14592" width="36.85546875" style="20" bestFit="1" customWidth="1"/>
    <col min="14593" max="14593" width="8.85546875" style="20" bestFit="1" customWidth="1"/>
    <col min="14594" max="14594" width="9.7109375" style="20" bestFit="1" customWidth="1"/>
    <col min="14595" max="14595" width="13.85546875" style="20" bestFit="1" customWidth="1"/>
    <col min="14596" max="14843" width="9.28515625" style="20"/>
    <col min="14844" max="14844" width="10.140625" style="20" bestFit="1" customWidth="1"/>
    <col min="14845" max="14845" width="7.7109375" style="20" bestFit="1" customWidth="1"/>
    <col min="14846" max="14846" width="14.140625" style="20" bestFit="1" customWidth="1"/>
    <col min="14847" max="14847" width="77.7109375" style="20" bestFit="1" customWidth="1"/>
    <col min="14848" max="14848" width="36.85546875" style="20" bestFit="1" customWidth="1"/>
    <col min="14849" max="14849" width="8.85546875" style="20" bestFit="1" customWidth="1"/>
    <col min="14850" max="14850" width="9.7109375" style="20" bestFit="1" customWidth="1"/>
    <col min="14851" max="14851" width="13.85546875" style="20" bestFit="1" customWidth="1"/>
    <col min="14852" max="15099" width="9.28515625" style="20"/>
    <col min="15100" max="15100" width="10.140625" style="20" bestFit="1" customWidth="1"/>
    <col min="15101" max="15101" width="7.7109375" style="20" bestFit="1" customWidth="1"/>
    <col min="15102" max="15102" width="14.140625" style="20" bestFit="1" customWidth="1"/>
    <col min="15103" max="15103" width="77.7109375" style="20" bestFit="1" customWidth="1"/>
    <col min="15104" max="15104" width="36.85546875" style="20" bestFit="1" customWidth="1"/>
    <col min="15105" max="15105" width="8.85546875" style="20" bestFit="1" customWidth="1"/>
    <col min="15106" max="15106" width="9.7109375" style="20" bestFit="1" customWidth="1"/>
    <col min="15107" max="15107" width="13.85546875" style="20" bestFit="1" customWidth="1"/>
    <col min="15108" max="15355" width="9.28515625" style="20"/>
    <col min="15356" max="15356" width="10.140625" style="20" bestFit="1" customWidth="1"/>
    <col min="15357" max="15357" width="7.7109375" style="20" bestFit="1" customWidth="1"/>
    <col min="15358" max="15358" width="14.140625" style="20" bestFit="1" customWidth="1"/>
    <col min="15359" max="15359" width="77.7109375" style="20" bestFit="1" customWidth="1"/>
    <col min="15360" max="15360" width="36.85546875" style="20" bestFit="1" customWidth="1"/>
    <col min="15361" max="15361" width="8.85546875" style="20" bestFit="1" customWidth="1"/>
    <col min="15362" max="15362" width="9.7109375" style="20" bestFit="1" customWidth="1"/>
    <col min="15363" max="15363" width="13.85546875" style="20" bestFit="1" customWidth="1"/>
    <col min="15364" max="15611" width="9.28515625" style="20"/>
    <col min="15612" max="15612" width="10.140625" style="20" bestFit="1" customWidth="1"/>
    <col min="15613" max="15613" width="7.7109375" style="20" bestFit="1" customWidth="1"/>
    <col min="15614" max="15614" width="14.140625" style="20" bestFit="1" customWidth="1"/>
    <col min="15615" max="15615" width="77.7109375" style="20" bestFit="1" customWidth="1"/>
    <col min="15616" max="15616" width="36.85546875" style="20" bestFit="1" customWidth="1"/>
    <col min="15617" max="15617" width="8.85546875" style="20" bestFit="1" customWidth="1"/>
    <col min="15618" max="15618" width="9.7109375" style="20" bestFit="1" customWidth="1"/>
    <col min="15619" max="15619" width="13.85546875" style="20" bestFit="1" customWidth="1"/>
    <col min="15620" max="15867" width="9.28515625" style="20"/>
    <col min="15868" max="15868" width="10.140625" style="20" bestFit="1" customWidth="1"/>
    <col min="15869" max="15869" width="7.7109375" style="20" bestFit="1" customWidth="1"/>
    <col min="15870" max="15870" width="14.140625" style="20" bestFit="1" customWidth="1"/>
    <col min="15871" max="15871" width="77.7109375" style="20" bestFit="1" customWidth="1"/>
    <col min="15872" max="15872" width="36.85546875" style="20" bestFit="1" customWidth="1"/>
    <col min="15873" max="15873" width="8.85546875" style="20" bestFit="1" customWidth="1"/>
    <col min="15874" max="15874" width="9.7109375" style="20" bestFit="1" customWidth="1"/>
    <col min="15875" max="15875" width="13.85546875" style="20" bestFit="1" customWidth="1"/>
    <col min="15876" max="16123" width="9.28515625" style="20"/>
    <col min="16124" max="16124" width="10.140625" style="20" bestFit="1" customWidth="1"/>
    <col min="16125" max="16125" width="7.7109375" style="20" bestFit="1" customWidth="1"/>
    <col min="16126" max="16126" width="14.140625" style="20" bestFit="1" customWidth="1"/>
    <col min="16127" max="16127" width="77.7109375" style="20" bestFit="1" customWidth="1"/>
    <col min="16128" max="16128" width="36.85546875" style="20" bestFit="1" customWidth="1"/>
    <col min="16129" max="16129" width="8.85546875" style="20" bestFit="1" customWidth="1"/>
    <col min="16130" max="16130" width="9.7109375" style="20" bestFit="1" customWidth="1"/>
    <col min="16131" max="16131" width="13.85546875" style="20" bestFit="1" customWidth="1"/>
    <col min="16132" max="16384" width="9.28515625" style="20"/>
  </cols>
  <sheetData>
    <row r="1" spans="1:3" ht="15.6">
      <c r="A1" s="24" t="s">
        <v>1363</v>
      </c>
      <c r="B1" s="24"/>
      <c r="C1" s="24"/>
    </row>
    <row r="2" spans="1:3">
      <c r="A2" s="20" t="s">
        <v>5</v>
      </c>
      <c r="B2" s="20" t="s">
        <v>8</v>
      </c>
      <c r="C2" s="20" t="s">
        <v>4</v>
      </c>
    </row>
    <row r="3" spans="1:3">
      <c r="A3" s="20" t="s">
        <v>1364</v>
      </c>
      <c r="B3" s="20" t="s">
        <v>1365</v>
      </c>
    </row>
    <row r="4" spans="1:3">
      <c r="B4" s="20" t="s">
        <v>11</v>
      </c>
    </row>
    <row r="5" spans="1:3">
      <c r="A5" s="20" t="s">
        <v>1366</v>
      </c>
      <c r="B5" s="20" t="s">
        <v>1367</v>
      </c>
      <c r="C5" s="20" t="s">
        <v>1368</v>
      </c>
    </row>
    <row r="6" spans="1:3">
      <c r="A6" s="20" t="s">
        <v>1369</v>
      </c>
      <c r="B6" s="20" t="s">
        <v>1370</v>
      </c>
      <c r="C6" s="20" t="s">
        <v>1371</v>
      </c>
    </row>
    <row r="7" spans="1:3">
      <c r="A7" s="20" t="s">
        <v>1372</v>
      </c>
      <c r="B7" s="20" t="s">
        <v>1373</v>
      </c>
      <c r="C7" s="20" t="s">
        <v>1374</v>
      </c>
    </row>
    <row r="8" spans="1:3">
      <c r="A8" s="20" t="s">
        <v>895</v>
      </c>
      <c r="B8" s="20" t="s">
        <v>896</v>
      </c>
      <c r="C8" s="20" t="s">
        <v>626</v>
      </c>
    </row>
    <row r="9" spans="1:3">
      <c r="A9" s="20" t="s">
        <v>1375</v>
      </c>
      <c r="B9" s="20" t="s">
        <v>1376</v>
      </c>
      <c r="C9" s="20" t="s">
        <v>846</v>
      </c>
    </row>
    <row r="10" spans="1:3">
      <c r="A10" s="20" t="s">
        <v>1377</v>
      </c>
      <c r="B10" s="20" t="s">
        <v>1378</v>
      </c>
      <c r="C10" s="20" t="s">
        <v>255</v>
      </c>
    </row>
    <row r="11" spans="1:3">
      <c r="A11" s="20" t="s">
        <v>1379</v>
      </c>
      <c r="B11" s="20" t="s">
        <v>1380</v>
      </c>
      <c r="C11" s="20" t="s">
        <v>1381</v>
      </c>
    </row>
    <row r="12" spans="1:3">
      <c r="A12" s="20" t="s">
        <v>1382</v>
      </c>
      <c r="B12" s="20" t="s">
        <v>1383</v>
      </c>
      <c r="C12" s="20" t="s">
        <v>1384</v>
      </c>
    </row>
    <row r="13" spans="1:3">
      <c r="A13" s="20" t="s">
        <v>1385</v>
      </c>
      <c r="B13" s="20" t="s">
        <v>1386</v>
      </c>
      <c r="C13" s="20" t="s">
        <v>1387</v>
      </c>
    </row>
    <row r="14" spans="1:3">
      <c r="A14" s="20" t="s">
        <v>1388</v>
      </c>
      <c r="B14" s="20" t="s">
        <v>1389</v>
      </c>
      <c r="C14" s="20" t="s">
        <v>1390</v>
      </c>
    </row>
    <row r="15" spans="1:3">
      <c r="B15" s="20" t="s">
        <v>42</v>
      </c>
    </row>
    <row r="16" spans="1:3">
      <c r="A16" s="20" t="s">
        <v>1391</v>
      </c>
      <c r="B16" s="20" t="s">
        <v>1392</v>
      </c>
      <c r="C16" s="20" t="s">
        <v>1393</v>
      </c>
    </row>
    <row r="17" spans="1:3">
      <c r="A17" s="20" t="s">
        <v>1394</v>
      </c>
      <c r="B17" s="20" t="s">
        <v>1395</v>
      </c>
      <c r="C17" s="20" t="s">
        <v>1396</v>
      </c>
    </row>
    <row r="18" spans="1:3">
      <c r="A18" s="20" t="s">
        <v>1397</v>
      </c>
      <c r="B18" s="20" t="s">
        <v>1398</v>
      </c>
      <c r="C18" s="20" t="s">
        <v>1399</v>
      </c>
    </row>
    <row r="19" spans="1:3">
      <c r="A19" s="20" t="s">
        <v>642</v>
      </c>
      <c r="B19" s="20" t="s">
        <v>643</v>
      </c>
      <c r="C19" s="20" t="s">
        <v>644</v>
      </c>
    </row>
    <row r="20" spans="1:3">
      <c r="A20" s="20" t="s">
        <v>1400</v>
      </c>
      <c r="B20" s="20" t="s">
        <v>1401</v>
      </c>
      <c r="C20" s="20" t="s">
        <v>1402</v>
      </c>
    </row>
    <row r="21" spans="1:3">
      <c r="A21" s="20" t="s">
        <v>1403</v>
      </c>
      <c r="B21" s="20" t="s">
        <v>1404</v>
      </c>
      <c r="C21" s="20" t="s">
        <v>1301</v>
      </c>
    </row>
    <row r="22" spans="1:3">
      <c r="A22" s="20" t="s">
        <v>1405</v>
      </c>
      <c r="B22" s="20" t="s">
        <v>1406</v>
      </c>
      <c r="C22" s="20" t="s">
        <v>808</v>
      </c>
    </row>
    <row r="23" spans="1:3">
      <c r="A23" s="20" t="s">
        <v>656</v>
      </c>
      <c r="B23" s="20" t="s">
        <v>657</v>
      </c>
      <c r="C23" s="20" t="s">
        <v>658</v>
      </c>
    </row>
    <row r="24" spans="1:3">
      <c r="A24" s="20" t="s">
        <v>1407</v>
      </c>
      <c r="B24" s="20" t="s">
        <v>1408</v>
      </c>
      <c r="C24" s="20" t="s">
        <v>1409</v>
      </c>
    </row>
    <row r="25" spans="1:3">
      <c r="B25" s="20" t="s">
        <v>73</v>
      </c>
    </row>
    <row r="26" spans="1:3">
      <c r="A26" s="20" t="s">
        <v>1410</v>
      </c>
      <c r="B26" s="20" t="s">
        <v>1411</v>
      </c>
      <c r="C26" s="20" t="s">
        <v>1412</v>
      </c>
    </row>
    <row r="27" spans="1:3">
      <c r="A27" s="20" t="s">
        <v>1413</v>
      </c>
      <c r="B27" s="20" t="s">
        <v>1414</v>
      </c>
      <c r="C27" s="20" t="s">
        <v>1415</v>
      </c>
    </row>
    <row r="28" spans="1:3">
      <c r="A28" s="20" t="s">
        <v>1416</v>
      </c>
      <c r="B28" s="20" t="s">
        <v>1417</v>
      </c>
      <c r="C28" s="20" t="s">
        <v>82</v>
      </c>
    </row>
    <row r="29" spans="1:3">
      <c r="A29" s="20" t="s">
        <v>1418</v>
      </c>
      <c r="B29" s="20" t="s">
        <v>1419</v>
      </c>
      <c r="C29" s="20" t="s">
        <v>664</v>
      </c>
    </row>
    <row r="30" spans="1:3">
      <c r="A30" s="20" t="s">
        <v>1420</v>
      </c>
      <c r="B30" s="20" t="s">
        <v>1421</v>
      </c>
      <c r="C30" s="20" t="s">
        <v>94</v>
      </c>
    </row>
    <row r="31" spans="1:3">
      <c r="A31" s="20" t="s">
        <v>1422</v>
      </c>
      <c r="B31" s="20" t="s">
        <v>1423</v>
      </c>
      <c r="C31" s="20" t="s">
        <v>1424</v>
      </c>
    </row>
    <row r="32" spans="1:3">
      <c r="A32" s="20" t="s">
        <v>674</v>
      </c>
      <c r="B32" s="20" t="s">
        <v>675</v>
      </c>
      <c r="C32" s="20" t="s">
        <v>676</v>
      </c>
    </row>
    <row r="33" spans="1:3">
      <c r="A33" s="20" t="s">
        <v>683</v>
      </c>
      <c r="B33" s="20" t="s">
        <v>684</v>
      </c>
      <c r="C33" s="20" t="s">
        <v>685</v>
      </c>
    </row>
    <row r="34" spans="1:3">
      <c r="A34" s="20" t="s">
        <v>1425</v>
      </c>
      <c r="B34" s="20" t="s">
        <v>1426</v>
      </c>
      <c r="C34" s="20" t="s">
        <v>1427</v>
      </c>
    </row>
    <row r="35" spans="1:3">
      <c r="A35" s="20" t="s">
        <v>1428</v>
      </c>
      <c r="B35" s="20" t="s">
        <v>1429</v>
      </c>
      <c r="C35" s="20" t="s">
        <v>1430</v>
      </c>
    </row>
    <row r="36" spans="1:3">
      <c r="B36" s="20" t="s">
        <v>103</v>
      </c>
    </row>
    <row r="37" spans="1:3">
      <c r="A37" s="20" t="s">
        <v>1431</v>
      </c>
      <c r="B37" s="20" t="s">
        <v>1432</v>
      </c>
      <c r="C37" s="20" t="s">
        <v>1433</v>
      </c>
    </row>
    <row r="38" spans="1:3">
      <c r="A38" s="20" t="s">
        <v>1434</v>
      </c>
      <c r="B38" s="20" t="s">
        <v>1435</v>
      </c>
      <c r="C38" s="20" t="s">
        <v>1436</v>
      </c>
    </row>
    <row r="39" spans="1:3">
      <c r="A39" s="20" t="s">
        <v>1437</v>
      </c>
      <c r="B39" s="20" t="s">
        <v>1438</v>
      </c>
      <c r="C39" s="20" t="s">
        <v>1439</v>
      </c>
    </row>
    <row r="40" spans="1:3">
      <c r="A40" s="20" t="s">
        <v>1440</v>
      </c>
      <c r="B40" s="20" t="s">
        <v>1441</v>
      </c>
      <c r="C40" s="20" t="s">
        <v>1442</v>
      </c>
    </row>
    <row r="41" spans="1:3">
      <c r="A41" s="20" t="s">
        <v>125</v>
      </c>
      <c r="B41" s="20" t="s">
        <v>126</v>
      </c>
      <c r="C41" s="20" t="s">
        <v>127</v>
      </c>
    </row>
    <row r="42" spans="1:3">
      <c r="A42" s="20" t="s">
        <v>1443</v>
      </c>
      <c r="B42" s="20" t="s">
        <v>1444</v>
      </c>
      <c r="C42" s="20" t="s">
        <v>429</v>
      </c>
    </row>
    <row r="43" spans="1:3">
      <c r="A43" s="20" t="s">
        <v>1445</v>
      </c>
      <c r="B43" s="20" t="s">
        <v>1446</v>
      </c>
      <c r="C43" s="20" t="s">
        <v>1447</v>
      </c>
    </row>
    <row r="44" spans="1:3">
      <c r="A44" s="20" t="s">
        <v>705</v>
      </c>
      <c r="B44" s="20" t="s">
        <v>706</v>
      </c>
      <c r="C44" s="20" t="s">
        <v>702</v>
      </c>
    </row>
    <row r="45" spans="1:3">
      <c r="A45" s="20" t="s">
        <v>1448</v>
      </c>
      <c r="B45" s="20" t="s">
        <v>1449</v>
      </c>
      <c r="C45" s="20" t="s">
        <v>1450</v>
      </c>
    </row>
    <row r="46" spans="1:3">
      <c r="A46" s="20" t="s">
        <v>1451</v>
      </c>
      <c r="B46" s="20" t="s">
        <v>1452</v>
      </c>
      <c r="C46" s="20" t="s">
        <v>1326</v>
      </c>
    </row>
    <row r="47" spans="1:3">
      <c r="B47" s="20" t="s">
        <v>134</v>
      </c>
    </row>
    <row r="48" spans="1:3">
      <c r="A48" s="20" t="s">
        <v>1453</v>
      </c>
      <c r="B48" s="20" t="s">
        <v>1454</v>
      </c>
      <c r="C48" s="20" t="s">
        <v>1455</v>
      </c>
    </row>
    <row r="49" spans="1:3">
      <c r="A49" s="20" t="s">
        <v>1456</v>
      </c>
      <c r="B49" s="20" t="s">
        <v>1457</v>
      </c>
      <c r="C49" s="20" t="s">
        <v>1458</v>
      </c>
    </row>
    <row r="50" spans="1:3">
      <c r="A50" s="20" t="s">
        <v>1459</v>
      </c>
      <c r="B50" s="20" t="s">
        <v>1460</v>
      </c>
      <c r="C50" s="20" t="s">
        <v>1461</v>
      </c>
    </row>
    <row r="51" spans="1:3">
      <c r="A51" s="20" t="s">
        <v>1462</v>
      </c>
      <c r="B51" s="20" t="s">
        <v>1463</v>
      </c>
      <c r="C51" s="20" t="s">
        <v>730</v>
      </c>
    </row>
    <row r="52" spans="1:3">
      <c r="A52" s="20" t="s">
        <v>1464</v>
      </c>
      <c r="B52" s="20" t="s">
        <v>1465</v>
      </c>
      <c r="C52" s="20" t="s">
        <v>720</v>
      </c>
    </row>
    <row r="53" spans="1:3">
      <c r="A53" s="20" t="s">
        <v>726</v>
      </c>
      <c r="B53" s="20" t="s">
        <v>727</v>
      </c>
      <c r="C53" s="20" t="s">
        <v>137</v>
      </c>
    </row>
    <row r="54" spans="1:3">
      <c r="A54" s="20" t="s">
        <v>1466</v>
      </c>
      <c r="B54" s="20" t="s">
        <v>1467</v>
      </c>
      <c r="C54" s="20" t="s">
        <v>1468</v>
      </c>
    </row>
    <row r="55" spans="1:3">
      <c r="A55" s="20" t="s">
        <v>162</v>
      </c>
      <c r="B55" s="20" t="s">
        <v>163</v>
      </c>
      <c r="C55" s="20" t="s">
        <v>152</v>
      </c>
    </row>
    <row r="56" spans="1:3">
      <c r="A56" s="20" t="s">
        <v>738</v>
      </c>
      <c r="B56" s="20" t="s">
        <v>739</v>
      </c>
      <c r="C56" s="20" t="s">
        <v>730</v>
      </c>
    </row>
    <row r="57" spans="1:3">
      <c r="A57" s="20" t="s">
        <v>1469</v>
      </c>
      <c r="B57" s="20" t="s">
        <v>1470</v>
      </c>
      <c r="C57" s="20" t="s">
        <v>456</v>
      </c>
    </row>
    <row r="58" spans="1:3">
      <c r="B58" s="20" t="s">
        <v>164</v>
      </c>
    </row>
    <row r="59" spans="1:3">
      <c r="A59" s="20" t="s">
        <v>1471</v>
      </c>
      <c r="B59" s="20" t="s">
        <v>1472</v>
      </c>
      <c r="C59" s="20" t="s">
        <v>489</v>
      </c>
    </row>
    <row r="60" spans="1:3">
      <c r="A60" s="20" t="s">
        <v>1473</v>
      </c>
      <c r="B60" s="20" t="s">
        <v>1474</v>
      </c>
      <c r="C60" s="20" t="s">
        <v>1475</v>
      </c>
    </row>
    <row r="61" spans="1:3">
      <c r="A61" s="20" t="s">
        <v>1476</v>
      </c>
      <c r="B61" s="20" t="s">
        <v>1477</v>
      </c>
      <c r="C61" s="20" t="s">
        <v>82</v>
      </c>
    </row>
    <row r="62" spans="1:3">
      <c r="A62" s="20" t="s">
        <v>1478</v>
      </c>
      <c r="B62" s="20" t="s">
        <v>1479</v>
      </c>
      <c r="C62" s="20" t="s">
        <v>1480</v>
      </c>
    </row>
    <row r="63" spans="1:3">
      <c r="A63" s="20" t="s">
        <v>1481</v>
      </c>
      <c r="B63" s="20" t="s">
        <v>1482</v>
      </c>
      <c r="C63" s="20" t="s">
        <v>1298</v>
      </c>
    </row>
    <row r="64" spans="1:3">
      <c r="A64" s="20" t="s">
        <v>228</v>
      </c>
      <c r="B64" s="20" t="s">
        <v>229</v>
      </c>
      <c r="C64" s="20" t="s">
        <v>230</v>
      </c>
    </row>
    <row r="65" spans="1:3">
      <c r="A65" s="20" t="s">
        <v>1483</v>
      </c>
      <c r="B65" s="20" t="s">
        <v>1484</v>
      </c>
      <c r="C65" s="20" t="s">
        <v>745</v>
      </c>
    </row>
    <row r="66" spans="1:3">
      <c r="A66" s="20" t="s">
        <v>1485</v>
      </c>
      <c r="B66" s="20" t="s">
        <v>1486</v>
      </c>
      <c r="C66" s="20" t="s">
        <v>1487</v>
      </c>
    </row>
    <row r="67" spans="1:3">
      <c r="A67" s="20" t="s">
        <v>1488</v>
      </c>
      <c r="B67" s="20" t="s">
        <v>1489</v>
      </c>
      <c r="C67" s="20" t="s">
        <v>1490</v>
      </c>
    </row>
    <row r="68" spans="1:3">
      <c r="A68" s="20" t="s">
        <v>761</v>
      </c>
      <c r="B68" s="20" t="s">
        <v>762</v>
      </c>
      <c r="C68" s="20" t="s">
        <v>763</v>
      </c>
    </row>
    <row r="69" spans="1:3">
      <c r="B69" s="20" t="s">
        <v>193</v>
      </c>
    </row>
    <row r="70" spans="1:3">
      <c r="A70" s="20" t="s">
        <v>770</v>
      </c>
      <c r="B70" s="20" t="s">
        <v>771</v>
      </c>
      <c r="C70" s="20" t="s">
        <v>772</v>
      </c>
    </row>
    <row r="71" spans="1:3">
      <c r="A71" s="20" t="s">
        <v>1491</v>
      </c>
      <c r="B71" s="20" t="s">
        <v>1492</v>
      </c>
      <c r="C71" s="20" t="s">
        <v>1493</v>
      </c>
    </row>
    <row r="72" spans="1:3">
      <c r="A72" s="20" t="s">
        <v>1494</v>
      </c>
      <c r="B72" s="20" t="s">
        <v>1495</v>
      </c>
      <c r="C72" s="20" t="s">
        <v>1496</v>
      </c>
    </row>
    <row r="73" spans="1:3">
      <c r="A73" s="20" t="s">
        <v>213</v>
      </c>
      <c r="B73" s="20" t="s">
        <v>214</v>
      </c>
      <c r="C73" s="20" t="s">
        <v>215</v>
      </c>
    </row>
    <row r="74" spans="1:3">
      <c r="A74" s="20" t="s">
        <v>1497</v>
      </c>
      <c r="B74" s="20" t="s">
        <v>1498</v>
      </c>
      <c r="C74" s="20" t="s">
        <v>207</v>
      </c>
    </row>
    <row r="75" spans="1:3">
      <c r="A75" s="20" t="s">
        <v>1499</v>
      </c>
      <c r="B75" s="20" t="s">
        <v>1500</v>
      </c>
      <c r="C75" s="20" t="s">
        <v>1501</v>
      </c>
    </row>
    <row r="76" spans="1:3">
      <c r="A76" s="20" t="s">
        <v>788</v>
      </c>
      <c r="B76" s="20" t="s">
        <v>789</v>
      </c>
      <c r="C76" s="20" t="s">
        <v>790</v>
      </c>
    </row>
    <row r="77" spans="1:3">
      <c r="A77" s="20" t="s">
        <v>1502</v>
      </c>
      <c r="B77" s="20" t="s">
        <v>1503</v>
      </c>
      <c r="C77" s="20" t="s">
        <v>202</v>
      </c>
    </row>
    <row r="78" spans="1:3">
      <c r="A78" s="20" t="s">
        <v>219</v>
      </c>
      <c r="B78" s="20" t="s">
        <v>220</v>
      </c>
      <c r="C78" s="20" t="s">
        <v>221</v>
      </c>
    </row>
    <row r="79" spans="1:3">
      <c r="A79" s="20" t="s">
        <v>1504</v>
      </c>
      <c r="B79" s="20" t="s">
        <v>1505</v>
      </c>
      <c r="C79" s="20" t="s">
        <v>1263</v>
      </c>
    </row>
    <row r="80" spans="1:3">
      <c r="B80" s="20" t="s">
        <v>222</v>
      </c>
    </row>
    <row r="81" spans="1:3">
      <c r="A81" s="20" t="s">
        <v>1506</v>
      </c>
      <c r="B81" s="20" t="s">
        <v>1507</v>
      </c>
      <c r="C81" s="20" t="s">
        <v>1508</v>
      </c>
    </row>
    <row r="82" spans="1:3">
      <c r="A82" s="20" t="s">
        <v>1509</v>
      </c>
      <c r="B82" s="20" t="s">
        <v>1510</v>
      </c>
      <c r="C82" s="20" t="s">
        <v>230</v>
      </c>
    </row>
    <row r="83" spans="1:3">
      <c r="A83" s="20" t="s">
        <v>809</v>
      </c>
      <c r="B83" s="20" t="s">
        <v>810</v>
      </c>
      <c r="C83" s="20" t="s">
        <v>811</v>
      </c>
    </row>
    <row r="84" spans="1:3">
      <c r="A84" s="20" t="s">
        <v>1511</v>
      </c>
      <c r="B84" s="20" t="s">
        <v>1512</v>
      </c>
      <c r="C84" s="20" t="s">
        <v>1513</v>
      </c>
    </row>
    <row r="85" spans="1:3">
      <c r="A85" s="20" t="s">
        <v>1514</v>
      </c>
      <c r="B85" s="20" t="s">
        <v>1515</v>
      </c>
      <c r="C85" s="20" t="s">
        <v>1516</v>
      </c>
    </row>
    <row r="86" spans="1:3">
      <c r="A86" s="20" t="s">
        <v>1517</v>
      </c>
      <c r="B86" s="20" t="s">
        <v>1518</v>
      </c>
      <c r="C86" s="20" t="s">
        <v>1519</v>
      </c>
    </row>
    <row r="87" spans="1:3">
      <c r="A87" s="20" t="s">
        <v>1019</v>
      </c>
      <c r="B87" s="20" t="s">
        <v>1020</v>
      </c>
      <c r="C87" s="20" t="s">
        <v>814</v>
      </c>
    </row>
    <row r="88" spans="1:3">
      <c r="A88" s="20" t="s">
        <v>1520</v>
      </c>
      <c r="B88" s="20" t="s">
        <v>1521</v>
      </c>
      <c r="C88" s="20" t="s">
        <v>115</v>
      </c>
    </row>
    <row r="89" spans="1:3">
      <c r="A89" s="20" t="s">
        <v>827</v>
      </c>
      <c r="B89" s="20" t="s">
        <v>828</v>
      </c>
      <c r="C89" s="20" t="s">
        <v>829</v>
      </c>
    </row>
    <row r="90" spans="1:3">
      <c r="A90" s="20" t="s">
        <v>1522</v>
      </c>
      <c r="B90" s="20" t="s">
        <v>1523</v>
      </c>
      <c r="C90" s="20" t="s">
        <v>1508</v>
      </c>
    </row>
    <row r="91" spans="1:3">
      <c r="B91" s="20" t="s">
        <v>252</v>
      </c>
    </row>
    <row r="92" spans="1:3">
      <c r="A92" s="20" t="s">
        <v>1524</v>
      </c>
      <c r="B92" s="20" t="s">
        <v>1525</v>
      </c>
      <c r="C92" s="20" t="s">
        <v>1526</v>
      </c>
    </row>
    <row r="93" spans="1:3">
      <c r="A93" s="20" t="s">
        <v>1527</v>
      </c>
      <c r="B93" s="20" t="s">
        <v>1528</v>
      </c>
      <c r="C93" s="20" t="s">
        <v>1529</v>
      </c>
    </row>
    <row r="94" spans="1:3">
      <c r="A94" s="20" t="s">
        <v>1530</v>
      </c>
      <c r="B94" s="20" t="s">
        <v>1531</v>
      </c>
      <c r="C94" s="20" t="s">
        <v>1532</v>
      </c>
    </row>
    <row r="95" spans="1:3">
      <c r="A95" s="20" t="s">
        <v>1533</v>
      </c>
      <c r="B95" s="20" t="s">
        <v>1534</v>
      </c>
      <c r="C95" s="20" t="s">
        <v>1393</v>
      </c>
    </row>
    <row r="96" spans="1:3">
      <c r="A96" s="20" t="s">
        <v>1535</v>
      </c>
      <c r="B96" s="20" t="s">
        <v>1536</v>
      </c>
      <c r="C96" s="20" t="s">
        <v>854</v>
      </c>
    </row>
    <row r="97" spans="1:3">
      <c r="A97" s="20" t="s">
        <v>1537</v>
      </c>
      <c r="B97" s="20" t="s">
        <v>1538</v>
      </c>
      <c r="C97" s="20" t="s">
        <v>835</v>
      </c>
    </row>
    <row r="98" spans="1:3">
      <c r="A98" s="20" t="s">
        <v>1539</v>
      </c>
      <c r="B98" s="20" t="s">
        <v>1540</v>
      </c>
      <c r="C98" s="20" t="s">
        <v>1541</v>
      </c>
    </row>
    <row r="99" spans="1:3">
      <c r="A99" s="20" t="s">
        <v>1542</v>
      </c>
      <c r="B99" s="20" t="s">
        <v>1543</v>
      </c>
      <c r="C99" s="20" t="s">
        <v>1541</v>
      </c>
    </row>
    <row r="100" spans="1:3">
      <c r="A100" s="20" t="s">
        <v>1544</v>
      </c>
      <c r="B100" s="20" t="s">
        <v>1545</v>
      </c>
      <c r="C100" s="20" t="s">
        <v>1546</v>
      </c>
    </row>
    <row r="101" spans="1:3">
      <c r="A101" s="20" t="s">
        <v>1547</v>
      </c>
      <c r="B101" s="20" t="s">
        <v>1548</v>
      </c>
      <c r="C101" s="20" t="s">
        <v>1549</v>
      </c>
    </row>
    <row r="102" spans="1:3">
      <c r="B102" s="20" t="s">
        <v>283</v>
      </c>
    </row>
    <row r="103" spans="1:3">
      <c r="A103" s="20" t="s">
        <v>1550</v>
      </c>
      <c r="B103" s="20" t="s">
        <v>1551</v>
      </c>
      <c r="C103" s="20" t="s">
        <v>1552</v>
      </c>
    </row>
    <row r="104" spans="1:3">
      <c r="A104" s="20" t="s">
        <v>1553</v>
      </c>
      <c r="B104" s="20" t="s">
        <v>1554</v>
      </c>
      <c r="C104" s="20" t="s">
        <v>1555</v>
      </c>
    </row>
    <row r="105" spans="1:3">
      <c r="A105" s="20" t="s">
        <v>1556</v>
      </c>
      <c r="B105" s="20" t="s">
        <v>1557</v>
      </c>
      <c r="C105" s="20" t="s">
        <v>1558</v>
      </c>
    </row>
    <row r="106" spans="1:3">
      <c r="A106" s="20" t="s">
        <v>1559</v>
      </c>
      <c r="B106" s="20" t="s">
        <v>1560</v>
      </c>
      <c r="C106" s="20" t="s">
        <v>1561</v>
      </c>
    </row>
    <row r="107" spans="1:3">
      <c r="A107" s="20" t="s">
        <v>1562</v>
      </c>
      <c r="B107" s="20" t="s">
        <v>1563</v>
      </c>
      <c r="C107" s="20" t="s">
        <v>1564</v>
      </c>
    </row>
    <row r="108" spans="1:3">
      <c r="A108" s="20" t="s">
        <v>1565</v>
      </c>
      <c r="B108" s="20" t="s">
        <v>1566</v>
      </c>
      <c r="C108" s="20" t="s">
        <v>1567</v>
      </c>
    </row>
    <row r="109" spans="1:3">
      <c r="A109" s="20" t="s">
        <v>1568</v>
      </c>
      <c r="B109" s="20" t="s">
        <v>1569</v>
      </c>
      <c r="C109" s="20" t="s">
        <v>1570</v>
      </c>
    </row>
    <row r="110" spans="1:3">
      <c r="A110" s="20" t="s">
        <v>1571</v>
      </c>
      <c r="B110" s="20" t="s">
        <v>1572</v>
      </c>
      <c r="C110" s="20" t="s">
        <v>1573</v>
      </c>
    </row>
    <row r="111" spans="1:3">
      <c r="A111" s="20" t="s">
        <v>1574</v>
      </c>
      <c r="B111" s="20" t="s">
        <v>1575</v>
      </c>
      <c r="C111" s="20" t="s">
        <v>1576</v>
      </c>
    </row>
    <row r="112" spans="1:3">
      <c r="A112" s="20" t="s">
        <v>1577</v>
      </c>
      <c r="B112" s="20" t="s">
        <v>1578</v>
      </c>
      <c r="C112" s="20" t="s">
        <v>1579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Eagle Mountain-Saginaw ISD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Kennedy</dc:creator>
  <cp:keywords/>
  <dc:description/>
  <cp:lastModifiedBy>Cindy Tucker</cp:lastModifiedBy>
  <cp:revision/>
  <dcterms:created xsi:type="dcterms:W3CDTF">2025-08-25T16:16:13Z</dcterms:created>
  <dcterms:modified xsi:type="dcterms:W3CDTF">2025-09-01T21:39:49Z</dcterms:modified>
  <cp:category/>
  <cp:contentStatus/>
</cp:coreProperties>
</file>