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V:\Charter Schools\!!FEFP\FY 27 - FEFP Funding\!Payments 2026-27\2026-09\"/>
    </mc:Choice>
  </mc:AlternateContent>
  <xr:revisionPtr revIDLastSave="0" documentId="8_{845C97C0-E1E3-4D12-95ED-64EE2877946C}" xr6:coauthVersionLast="47" xr6:coauthVersionMax="47" xr10:uidLastSave="{00000000-0000-0000-0000-000000000000}"/>
  <bookViews>
    <workbookView xWindow="-120" yWindow="-120" windowWidth="29040" windowHeight="15720" tabRatio="890" firstSheet="1" activeTab="1" xr2:uid="{59C60F74-6336-4F91-B581-6AC1AE562698}"/>
  </bookViews>
  <sheets>
    <sheet name="Surveys" sheetId="53" state="hidden" r:id="rId1"/>
    <sheet name="Net Payment" sheetId="106" r:id="rId2"/>
    <sheet name="Annual Rev &amp; Fees" sheetId="54" r:id="rId3"/>
    <sheet name="Charter Schools" sheetId="55" r:id="rId4"/>
    <sheet name="Cumulative Payments" sheetId="57" r:id="rId5"/>
    <sheet name="Consolidated" sheetId="56" r:id="rId6"/>
    <sheet name="ESE FTE" sheetId="112" state="hidden" r:id="rId7"/>
    <sheet name="Surv2-3" sheetId="109" state="hidden" r:id="rId8"/>
    <sheet name="0040" sheetId="2" state="hidden" r:id="rId9"/>
    <sheet name="0571" sheetId="107" r:id="rId10"/>
    <sheet name="0100" sheetId="58" r:id="rId11"/>
    <sheet name="1461" sheetId="59" r:id="rId12"/>
    <sheet name="1571" sheetId="60" r:id="rId13"/>
    <sheet name="2521" sheetId="61" r:id="rId14"/>
    <sheet name="2531" sheetId="62" r:id="rId15"/>
    <sheet name="2791" sheetId="63" r:id="rId16"/>
    <sheet name="2801" sheetId="64" r:id="rId17"/>
    <sheet name="2911" sheetId="65" r:id="rId18"/>
    <sheet name="2941" sheetId="66" r:id="rId19"/>
    <sheet name="3083" sheetId="67" r:id="rId20"/>
    <sheet name="3345" sheetId="68" r:id="rId21"/>
    <sheet name="3362" sheetId="108" r:id="rId22"/>
    <sheet name="3381" sheetId="69" r:id="rId23"/>
    <sheet name="3382" sheetId="70" r:id="rId24"/>
    <sheet name="3391" sheetId="71" state="hidden" r:id="rId25"/>
    <sheet name="3394" sheetId="72" r:id="rId26"/>
    <sheet name="3395" sheetId="73" r:id="rId27"/>
    <sheet name="3396" sheetId="74" r:id="rId28"/>
    <sheet name="3398" sheetId="75" r:id="rId29"/>
    <sheet name="3400" sheetId="76" r:id="rId30"/>
    <sheet name="3401" sheetId="77" r:id="rId31"/>
    <sheet name="3413" sheetId="78" r:id="rId32"/>
    <sheet name="3421" sheetId="79" r:id="rId33"/>
    <sheet name="3431" sheetId="80" r:id="rId34"/>
    <sheet name="3441" sheetId="81" r:id="rId35"/>
    <sheet name="3924" sheetId="82" r:id="rId36"/>
    <sheet name="3941" sheetId="83" r:id="rId37"/>
    <sheet name="3961" sheetId="84" state="hidden" r:id="rId38"/>
    <sheet name="3971" sheetId="85" r:id="rId39"/>
    <sheet name="4001" sheetId="86" r:id="rId40"/>
    <sheet name="4002" sheetId="87" r:id="rId41"/>
    <sheet name="4012" sheetId="88" state="hidden" r:id="rId42"/>
    <sheet name="4013" sheetId="89" r:id="rId43"/>
    <sheet name="4020" sheetId="90" r:id="rId44"/>
    <sheet name="4030" sheetId="91" state="hidden" r:id="rId45"/>
    <sheet name="4031" sheetId="92" r:id="rId46"/>
    <sheet name="4041" sheetId="93" r:id="rId47"/>
    <sheet name="4050" sheetId="94" r:id="rId48"/>
    <sheet name="4051" sheetId="95" r:id="rId49"/>
    <sheet name="4061" sheetId="96" r:id="rId50"/>
    <sheet name="4080" sheetId="97" state="hidden" r:id="rId51"/>
    <sheet name="4081" sheetId="98" r:id="rId52"/>
    <sheet name="4090" sheetId="99" r:id="rId53"/>
    <sheet name="4091" sheetId="100" r:id="rId54"/>
    <sheet name="4100" sheetId="101" r:id="rId55"/>
    <sheet name="4102" sheetId="102" r:id="rId56"/>
    <sheet name="4103" sheetId="103" r:id="rId57"/>
    <sheet name="4111" sheetId="104" r:id="rId58"/>
    <sheet name="4131" sheetId="105" r:id="rId59"/>
    <sheet name="4141" sheetId="111" r:id="rId60"/>
  </sheets>
  <definedNames>
    <definedName name="_1" localSheetId="10">'0100'!$A$11</definedName>
    <definedName name="_1" localSheetId="9">'0571'!$A$11</definedName>
    <definedName name="_1" localSheetId="11">'1461'!$A$11</definedName>
    <definedName name="_1" localSheetId="12">'1571'!$A$11</definedName>
    <definedName name="_1" localSheetId="13">'2521'!$A$11</definedName>
    <definedName name="_1" localSheetId="14">'2531'!$A$11</definedName>
    <definedName name="_1" localSheetId="15">'2791'!$A$11</definedName>
    <definedName name="_1" localSheetId="16">'2801'!$A$11</definedName>
    <definedName name="_1" localSheetId="17">'2911'!$A$11</definedName>
    <definedName name="_1" localSheetId="18">'2941'!$A$11</definedName>
    <definedName name="_1" localSheetId="19">'3083'!$A$11</definedName>
    <definedName name="_1" localSheetId="20">'3345'!$A$11</definedName>
    <definedName name="_1" localSheetId="21">'3362'!$A$11</definedName>
    <definedName name="_1" localSheetId="22">'3381'!$A$11</definedName>
    <definedName name="_1" localSheetId="23">'3382'!$A$11</definedName>
    <definedName name="_1" localSheetId="24">'3391'!$A$11</definedName>
    <definedName name="_1" localSheetId="25">'3394'!$A$11</definedName>
    <definedName name="_1" localSheetId="26">'3395'!$A$11</definedName>
    <definedName name="_1" localSheetId="27">'3396'!$A$11</definedName>
    <definedName name="_1" localSheetId="28">'3398'!$A$11</definedName>
    <definedName name="_1" localSheetId="29">'3400'!$A$11</definedName>
    <definedName name="_1" localSheetId="30">'3401'!$A$11</definedName>
    <definedName name="_1" localSheetId="31">'3413'!$A$11</definedName>
    <definedName name="_1" localSheetId="32">'3421'!$A$11</definedName>
    <definedName name="_1" localSheetId="33">'3431'!$A$11</definedName>
    <definedName name="_1" localSheetId="34">'3441'!$A$11</definedName>
    <definedName name="_1" localSheetId="35">'3924'!$A$11</definedName>
    <definedName name="_1" localSheetId="36">'3941'!$A$11</definedName>
    <definedName name="_1" localSheetId="37">'3961'!$A$11</definedName>
    <definedName name="_1" localSheetId="38">'3971'!$A$11</definedName>
    <definedName name="_1" localSheetId="39">'4001'!$A$11</definedName>
    <definedName name="_1" localSheetId="40">'4002'!$A$11</definedName>
    <definedName name="_1" localSheetId="41">'4012'!$A$11</definedName>
    <definedName name="_1" localSheetId="42">'4013'!$A$11</definedName>
    <definedName name="_1" localSheetId="43">'4020'!$A$11</definedName>
    <definedName name="_1" localSheetId="44">'4030'!$A$11</definedName>
    <definedName name="_1" localSheetId="45">'4031'!$A$11</definedName>
    <definedName name="_1" localSheetId="46">'4041'!$A$11</definedName>
    <definedName name="_1" localSheetId="47">'4050'!$A$11</definedName>
    <definedName name="_1" localSheetId="48">'4051'!$A$11</definedName>
    <definedName name="_1" localSheetId="49">'4061'!$A$11</definedName>
    <definedName name="_1" localSheetId="50">'4080'!$A$11</definedName>
    <definedName name="_1" localSheetId="51">'4081'!$A$11</definedName>
    <definedName name="_1" localSheetId="52">'4090'!$A$11</definedName>
    <definedName name="_1" localSheetId="53">'4091'!$A$11</definedName>
    <definedName name="_1" localSheetId="54">'4100'!$A$11</definedName>
    <definedName name="_1" localSheetId="55">'4102'!$A$11</definedName>
    <definedName name="_1" localSheetId="56">'4103'!$A$11</definedName>
    <definedName name="_1" localSheetId="57">'4111'!$A$11</definedName>
    <definedName name="_1" localSheetId="58">'4131'!$A$11</definedName>
    <definedName name="_1" localSheetId="59">'4141'!$A$11</definedName>
    <definedName name="_1">'0040'!$A$11</definedName>
    <definedName name="_1.__2009_10_FEFP_State_and_Local_Funding" localSheetId="10">'0100'!$A$5</definedName>
    <definedName name="_1.__2009_10_FEFP_State_and_Local_Funding" localSheetId="9">'0571'!$A$5</definedName>
    <definedName name="_1.__2009_10_FEFP_State_and_Local_Funding" localSheetId="11">'1461'!$A$5</definedName>
    <definedName name="_1.__2009_10_FEFP_State_and_Local_Funding" localSheetId="12">'1571'!$A$5</definedName>
    <definedName name="_1.__2009_10_FEFP_State_and_Local_Funding" localSheetId="13">'2521'!$A$5</definedName>
    <definedName name="_1.__2009_10_FEFP_State_and_Local_Funding" localSheetId="14">'2531'!$A$5</definedName>
    <definedName name="_1.__2009_10_FEFP_State_and_Local_Funding" localSheetId="15">'2791'!$A$5</definedName>
    <definedName name="_1.__2009_10_FEFP_State_and_Local_Funding" localSheetId="16">'2801'!$A$5</definedName>
    <definedName name="_1.__2009_10_FEFP_State_and_Local_Funding" localSheetId="17">'2911'!$A$5</definedName>
    <definedName name="_1.__2009_10_FEFP_State_and_Local_Funding" localSheetId="18">'2941'!$A$5</definedName>
    <definedName name="_1.__2009_10_FEFP_State_and_Local_Funding" localSheetId="19">'3083'!$A$5</definedName>
    <definedName name="_1.__2009_10_FEFP_State_and_Local_Funding" localSheetId="20">'3345'!$A$5</definedName>
    <definedName name="_1.__2009_10_FEFP_State_and_Local_Funding" localSheetId="21">'3362'!$A$5</definedName>
    <definedName name="_1.__2009_10_FEFP_State_and_Local_Funding" localSheetId="22">'3381'!$A$5</definedName>
    <definedName name="_1.__2009_10_FEFP_State_and_Local_Funding" localSheetId="23">'3382'!$A$5</definedName>
    <definedName name="_1.__2009_10_FEFP_State_and_Local_Funding" localSheetId="24">'3391'!$A$5</definedName>
    <definedName name="_1.__2009_10_FEFP_State_and_Local_Funding" localSheetId="25">'3394'!$A$5</definedName>
    <definedName name="_1.__2009_10_FEFP_State_and_Local_Funding" localSheetId="26">'3395'!$A$5</definedName>
    <definedName name="_1.__2009_10_FEFP_State_and_Local_Funding" localSheetId="27">'3396'!$A$5</definedName>
    <definedName name="_1.__2009_10_FEFP_State_and_Local_Funding" localSheetId="28">'3398'!$A$5</definedName>
    <definedName name="_1.__2009_10_FEFP_State_and_Local_Funding" localSheetId="29">'3400'!$A$5</definedName>
    <definedName name="_1.__2009_10_FEFP_State_and_Local_Funding" localSheetId="30">'3401'!$A$5</definedName>
    <definedName name="_1.__2009_10_FEFP_State_and_Local_Funding" localSheetId="31">'3413'!$A$5</definedName>
    <definedName name="_1.__2009_10_FEFP_State_and_Local_Funding" localSheetId="32">'3421'!$A$5</definedName>
    <definedName name="_1.__2009_10_FEFP_State_and_Local_Funding" localSheetId="33">'3431'!$A$5</definedName>
    <definedName name="_1.__2009_10_FEFP_State_and_Local_Funding" localSheetId="34">'3441'!$A$5</definedName>
    <definedName name="_1.__2009_10_FEFP_State_and_Local_Funding" localSheetId="35">'3924'!$A$5</definedName>
    <definedName name="_1.__2009_10_FEFP_State_and_Local_Funding" localSheetId="36">'3941'!$A$5</definedName>
    <definedName name="_1.__2009_10_FEFP_State_and_Local_Funding" localSheetId="37">'3961'!$A$5</definedName>
    <definedName name="_1.__2009_10_FEFP_State_and_Local_Funding" localSheetId="38">'3971'!$A$5</definedName>
    <definedName name="_1.__2009_10_FEFP_State_and_Local_Funding" localSheetId="39">'4001'!$A$5</definedName>
    <definedName name="_1.__2009_10_FEFP_State_and_Local_Funding" localSheetId="40">'4002'!$A$5</definedName>
    <definedName name="_1.__2009_10_FEFP_State_and_Local_Funding" localSheetId="41">'4012'!$A$5</definedName>
    <definedName name="_1.__2009_10_FEFP_State_and_Local_Funding" localSheetId="42">'4013'!$A$5</definedName>
    <definedName name="_1.__2009_10_FEFP_State_and_Local_Funding" localSheetId="43">'4020'!$A$5</definedName>
    <definedName name="_1.__2009_10_FEFP_State_and_Local_Funding" localSheetId="44">'4030'!$A$5</definedName>
    <definedName name="_1.__2009_10_FEFP_State_and_Local_Funding" localSheetId="45">'4031'!$A$5</definedName>
    <definedName name="_1.__2009_10_FEFP_State_and_Local_Funding" localSheetId="46">'4041'!$A$5</definedName>
    <definedName name="_1.__2009_10_FEFP_State_and_Local_Funding" localSheetId="47">'4050'!$A$5</definedName>
    <definedName name="_1.__2009_10_FEFP_State_and_Local_Funding" localSheetId="48">'4051'!$A$5</definedName>
    <definedName name="_1.__2009_10_FEFP_State_and_Local_Funding" localSheetId="49">'4061'!$A$5</definedName>
    <definedName name="_1.__2009_10_FEFP_State_and_Local_Funding" localSheetId="50">'4080'!$A$5</definedName>
    <definedName name="_1.__2009_10_FEFP_State_and_Local_Funding" localSheetId="51">'4081'!$A$5</definedName>
    <definedName name="_1.__2009_10_FEFP_State_and_Local_Funding" localSheetId="52">'4090'!$A$5</definedName>
    <definedName name="_1.__2009_10_FEFP_State_and_Local_Funding" localSheetId="53">'4091'!$A$5</definedName>
    <definedName name="_1.__2009_10_FEFP_State_and_Local_Funding" localSheetId="54">'4100'!$A$5</definedName>
    <definedName name="_1.__2009_10_FEFP_State_and_Local_Funding" localSheetId="55">'4102'!$A$5</definedName>
    <definedName name="_1.__2009_10_FEFP_State_and_Local_Funding" localSheetId="56">'4103'!$A$5</definedName>
    <definedName name="_1.__2009_10_FEFP_State_and_Local_Funding" localSheetId="57">'4111'!$A$5</definedName>
    <definedName name="_1.__2009_10_FEFP_State_and_Local_Funding" localSheetId="58">'4131'!$A$5</definedName>
    <definedName name="_1.__2009_10_FEFP_State_and_Local_Funding" localSheetId="59">'4141'!$A$5</definedName>
    <definedName name="_1.__2009_10_FEFP_State_and_Local_Funding">'0040'!$A$5</definedName>
    <definedName name="_1.__2010_11_FEFP_State_and_Local_Funding" localSheetId="10">'0100'!$A$5</definedName>
    <definedName name="_1.__2010_11_FEFP_State_and_Local_Funding" localSheetId="9">'0571'!$A$5</definedName>
    <definedName name="_1.__2010_11_FEFP_State_and_Local_Funding" localSheetId="11">'1461'!$A$5</definedName>
    <definedName name="_1.__2010_11_FEFP_State_and_Local_Funding" localSheetId="12">'1571'!$A$5</definedName>
    <definedName name="_1.__2010_11_FEFP_State_and_Local_Funding" localSheetId="13">'2521'!$A$5</definedName>
    <definedName name="_1.__2010_11_FEFP_State_and_Local_Funding" localSheetId="14">'2531'!$A$5</definedName>
    <definedName name="_1.__2010_11_FEFP_State_and_Local_Funding" localSheetId="15">'2791'!$A$5</definedName>
    <definedName name="_1.__2010_11_FEFP_State_and_Local_Funding" localSheetId="16">'2801'!$A$5</definedName>
    <definedName name="_1.__2010_11_FEFP_State_and_Local_Funding" localSheetId="17">'2911'!$A$5</definedName>
    <definedName name="_1.__2010_11_FEFP_State_and_Local_Funding" localSheetId="18">'2941'!$A$5</definedName>
    <definedName name="_1.__2010_11_FEFP_State_and_Local_Funding" localSheetId="19">'3083'!$A$5</definedName>
    <definedName name="_1.__2010_11_FEFP_State_and_Local_Funding" localSheetId="20">'3345'!$A$5</definedName>
    <definedName name="_1.__2010_11_FEFP_State_and_Local_Funding" localSheetId="21">'3362'!$A$5</definedName>
    <definedName name="_1.__2010_11_FEFP_State_and_Local_Funding" localSheetId="22">'3381'!$A$5</definedName>
    <definedName name="_1.__2010_11_FEFP_State_and_Local_Funding" localSheetId="23">'3382'!$A$5</definedName>
    <definedName name="_1.__2010_11_FEFP_State_and_Local_Funding" localSheetId="24">'3391'!$A$5</definedName>
    <definedName name="_1.__2010_11_FEFP_State_and_Local_Funding" localSheetId="25">'3394'!$A$5</definedName>
    <definedName name="_1.__2010_11_FEFP_State_and_Local_Funding" localSheetId="26">'3395'!$A$5</definedName>
    <definedName name="_1.__2010_11_FEFP_State_and_Local_Funding" localSheetId="27">'3396'!$A$5</definedName>
    <definedName name="_1.__2010_11_FEFP_State_and_Local_Funding" localSheetId="28">'3398'!$A$5</definedName>
    <definedName name="_1.__2010_11_FEFP_State_and_Local_Funding" localSheetId="29">'3400'!$A$5</definedName>
    <definedName name="_1.__2010_11_FEFP_State_and_Local_Funding" localSheetId="30">'3401'!$A$5</definedName>
    <definedName name="_1.__2010_11_FEFP_State_and_Local_Funding" localSheetId="31">'3413'!$A$5</definedName>
    <definedName name="_1.__2010_11_FEFP_State_and_Local_Funding" localSheetId="32">'3421'!$A$5</definedName>
    <definedName name="_1.__2010_11_FEFP_State_and_Local_Funding" localSheetId="33">'3431'!$A$5</definedName>
    <definedName name="_1.__2010_11_FEFP_State_and_Local_Funding" localSheetId="34">'3441'!$A$5</definedName>
    <definedName name="_1.__2010_11_FEFP_State_and_Local_Funding" localSheetId="35">'3924'!$A$5</definedName>
    <definedName name="_1.__2010_11_FEFP_State_and_Local_Funding" localSheetId="36">'3941'!$A$5</definedName>
    <definedName name="_1.__2010_11_FEFP_State_and_Local_Funding" localSheetId="37">'3961'!$A$5</definedName>
    <definedName name="_1.__2010_11_FEFP_State_and_Local_Funding" localSheetId="38">'3971'!$A$5</definedName>
    <definedName name="_1.__2010_11_FEFP_State_and_Local_Funding" localSheetId="39">'4001'!$A$5</definedName>
    <definedName name="_1.__2010_11_FEFP_State_and_Local_Funding" localSheetId="40">'4002'!$A$5</definedName>
    <definedName name="_1.__2010_11_FEFP_State_and_Local_Funding" localSheetId="41">'4012'!$A$5</definedName>
    <definedName name="_1.__2010_11_FEFP_State_and_Local_Funding" localSheetId="42">'4013'!$A$5</definedName>
    <definedName name="_1.__2010_11_FEFP_State_and_Local_Funding" localSheetId="43">'4020'!$A$5</definedName>
    <definedName name="_1.__2010_11_FEFP_State_and_Local_Funding" localSheetId="44">'4030'!$A$5</definedName>
    <definedName name="_1.__2010_11_FEFP_State_and_Local_Funding" localSheetId="45">'4031'!$A$5</definedName>
    <definedName name="_1.__2010_11_FEFP_State_and_Local_Funding" localSheetId="46">'4041'!$A$5</definedName>
    <definedName name="_1.__2010_11_FEFP_State_and_Local_Funding" localSheetId="47">'4050'!$A$5</definedName>
    <definedName name="_1.__2010_11_FEFP_State_and_Local_Funding" localSheetId="48">'4051'!$A$5</definedName>
    <definedName name="_1.__2010_11_FEFP_State_and_Local_Funding" localSheetId="49">'4061'!$A$5</definedName>
    <definedName name="_1.__2010_11_FEFP_State_and_Local_Funding" localSheetId="50">'4080'!$A$5</definedName>
    <definedName name="_1.__2010_11_FEFP_State_and_Local_Funding" localSheetId="51">'4081'!$A$5</definedName>
    <definedName name="_1.__2010_11_FEFP_State_and_Local_Funding" localSheetId="52">'4090'!$A$5</definedName>
    <definedName name="_1.__2010_11_FEFP_State_and_Local_Funding" localSheetId="53">'4091'!$A$5</definedName>
    <definedName name="_1.__2010_11_FEFP_State_and_Local_Funding" localSheetId="54">'4100'!$A$5</definedName>
    <definedName name="_1.__2010_11_FEFP_State_and_Local_Funding" localSheetId="55">'4102'!$A$5</definedName>
    <definedName name="_1.__2010_11_FEFP_State_and_Local_Funding" localSheetId="56">'4103'!$A$5</definedName>
    <definedName name="_1.__2010_11_FEFP_State_and_Local_Funding" localSheetId="57">'4111'!$A$5</definedName>
    <definedName name="_1.__2010_11_FEFP_State_and_Local_Funding" localSheetId="58">'4131'!$A$5</definedName>
    <definedName name="_1.__2010_11_FEFP_State_and_Local_Funding" localSheetId="59">'4141'!$A$5</definedName>
    <definedName name="_1.__2010_11_FEFP_State_and_Local_Funding">'0040'!$A$5</definedName>
    <definedName name="_101_Basic_K_3" localSheetId="10">'0100'!$A$12</definedName>
    <definedName name="_101_Basic_K_3" localSheetId="9">'0571'!$A$12</definedName>
    <definedName name="_101_Basic_K_3" localSheetId="11">'1461'!$A$12</definedName>
    <definedName name="_101_Basic_K_3" localSheetId="12">'1571'!$A$12</definedName>
    <definedName name="_101_Basic_K_3" localSheetId="13">'2521'!$A$12</definedName>
    <definedName name="_101_Basic_K_3" localSheetId="14">'2531'!$A$12</definedName>
    <definedName name="_101_Basic_K_3" localSheetId="15">'2791'!$A$12</definedName>
    <definedName name="_101_Basic_K_3" localSheetId="16">'2801'!$A$12</definedName>
    <definedName name="_101_Basic_K_3" localSheetId="17">'2911'!$A$12</definedName>
    <definedName name="_101_Basic_K_3" localSheetId="18">'2941'!$A$12</definedName>
    <definedName name="_101_Basic_K_3" localSheetId="19">'3083'!$A$12</definedName>
    <definedName name="_101_Basic_K_3" localSheetId="20">'3345'!$A$12</definedName>
    <definedName name="_101_Basic_K_3" localSheetId="21">'3362'!$A$12</definedName>
    <definedName name="_101_Basic_K_3" localSheetId="22">'3381'!$A$12</definedName>
    <definedName name="_101_Basic_K_3" localSheetId="23">'3382'!$A$12</definedName>
    <definedName name="_101_Basic_K_3" localSheetId="24">'3391'!$A$12</definedName>
    <definedName name="_101_Basic_K_3" localSheetId="25">'3394'!$A$12</definedName>
    <definedName name="_101_Basic_K_3" localSheetId="26">'3395'!$A$12</definedName>
    <definedName name="_101_Basic_K_3" localSheetId="27">'3396'!$A$12</definedName>
    <definedName name="_101_Basic_K_3" localSheetId="28">'3398'!$A$12</definedName>
    <definedName name="_101_Basic_K_3" localSheetId="29">'3400'!$A$12</definedName>
    <definedName name="_101_Basic_K_3" localSheetId="30">'3401'!$A$12</definedName>
    <definedName name="_101_Basic_K_3" localSheetId="31">'3413'!$A$12</definedName>
    <definedName name="_101_Basic_K_3" localSheetId="32">'3421'!$A$12</definedName>
    <definedName name="_101_Basic_K_3" localSheetId="33">'3431'!$A$12</definedName>
    <definedName name="_101_Basic_K_3" localSheetId="34">'3441'!$A$12</definedName>
    <definedName name="_101_Basic_K_3" localSheetId="35">'3924'!$A$12</definedName>
    <definedName name="_101_Basic_K_3" localSheetId="36">'3941'!$A$12</definedName>
    <definedName name="_101_Basic_K_3" localSheetId="37">'3961'!$A$12</definedName>
    <definedName name="_101_Basic_K_3" localSheetId="38">'3971'!$A$12</definedName>
    <definedName name="_101_Basic_K_3" localSheetId="39">'4001'!$A$12</definedName>
    <definedName name="_101_Basic_K_3" localSheetId="40">'4002'!$A$12</definedName>
    <definedName name="_101_Basic_K_3" localSheetId="41">'4012'!$A$12</definedName>
    <definedName name="_101_Basic_K_3" localSheetId="42">'4013'!$A$12</definedName>
    <definedName name="_101_Basic_K_3" localSheetId="43">'4020'!$A$12</definedName>
    <definedName name="_101_Basic_K_3" localSheetId="44">'4030'!$A$12</definedName>
    <definedName name="_101_Basic_K_3" localSheetId="45">'4031'!$A$12</definedName>
    <definedName name="_101_Basic_K_3" localSheetId="46">'4041'!$A$12</definedName>
    <definedName name="_101_Basic_K_3" localSheetId="47">'4050'!$A$12</definedName>
    <definedName name="_101_Basic_K_3" localSheetId="48">'4051'!$A$12</definedName>
    <definedName name="_101_Basic_K_3" localSheetId="49">'4061'!$A$12</definedName>
    <definedName name="_101_Basic_K_3" localSheetId="50">'4080'!$A$12</definedName>
    <definedName name="_101_Basic_K_3" localSheetId="51">'4081'!$A$12</definedName>
    <definedName name="_101_Basic_K_3" localSheetId="52">'4090'!$A$12</definedName>
    <definedName name="_101_Basic_K_3" localSheetId="53">'4091'!$A$12</definedName>
    <definedName name="_101_Basic_K_3" localSheetId="54">'4100'!$A$12</definedName>
    <definedName name="_101_Basic_K_3" localSheetId="55">'4102'!$A$12</definedName>
    <definedName name="_101_Basic_K_3" localSheetId="56">'4103'!$A$12</definedName>
    <definedName name="_101_Basic_K_3" localSheetId="57">'4111'!$A$12</definedName>
    <definedName name="_101_Basic_K_3" localSheetId="58">'4131'!$A$12</definedName>
    <definedName name="_101_Basic_K_3" localSheetId="59">'4141'!$A$12</definedName>
    <definedName name="_101_Basic_K_3">'0040'!$A$12</definedName>
    <definedName name="_102_Basic_4_8" localSheetId="10">'0100'!$A$14</definedName>
    <definedName name="_102_Basic_4_8" localSheetId="9">'0571'!$A$14</definedName>
    <definedName name="_102_Basic_4_8" localSheetId="11">'1461'!$A$14</definedName>
    <definedName name="_102_Basic_4_8" localSheetId="12">'1571'!$A$14</definedName>
    <definedName name="_102_Basic_4_8" localSheetId="13">'2521'!$A$14</definedName>
    <definedName name="_102_Basic_4_8" localSheetId="14">'2531'!$A$14</definedName>
    <definedName name="_102_Basic_4_8" localSheetId="15">'2791'!$A$14</definedName>
    <definedName name="_102_Basic_4_8" localSheetId="16">'2801'!$A$14</definedName>
    <definedName name="_102_Basic_4_8" localSheetId="17">'2911'!$A$14</definedName>
    <definedName name="_102_Basic_4_8" localSheetId="18">'2941'!$A$14</definedName>
    <definedName name="_102_Basic_4_8" localSheetId="19">'3083'!$A$14</definedName>
    <definedName name="_102_Basic_4_8" localSheetId="20">'3345'!$A$14</definedName>
    <definedName name="_102_Basic_4_8" localSheetId="21">'3362'!$A$14</definedName>
    <definedName name="_102_Basic_4_8" localSheetId="22">'3381'!$A$14</definedName>
    <definedName name="_102_Basic_4_8" localSheetId="23">'3382'!$A$14</definedName>
    <definedName name="_102_Basic_4_8" localSheetId="24">'3391'!$A$14</definedName>
    <definedName name="_102_Basic_4_8" localSheetId="25">'3394'!$A$14</definedName>
    <definedName name="_102_Basic_4_8" localSheetId="26">'3395'!$A$14</definedName>
    <definedName name="_102_Basic_4_8" localSheetId="27">'3396'!$A$14</definedName>
    <definedName name="_102_Basic_4_8" localSheetId="28">'3398'!$A$14</definedName>
    <definedName name="_102_Basic_4_8" localSheetId="29">'3400'!$A$14</definedName>
    <definedName name="_102_Basic_4_8" localSheetId="30">'3401'!$A$14</definedName>
    <definedName name="_102_Basic_4_8" localSheetId="31">'3413'!$A$14</definedName>
    <definedName name="_102_Basic_4_8" localSheetId="32">'3421'!$A$14</definedName>
    <definedName name="_102_Basic_4_8" localSheetId="33">'3431'!$A$14</definedName>
    <definedName name="_102_Basic_4_8" localSheetId="34">'3441'!$A$14</definedName>
    <definedName name="_102_Basic_4_8" localSheetId="35">'3924'!$A$14</definedName>
    <definedName name="_102_Basic_4_8" localSheetId="36">'3941'!$A$14</definedName>
    <definedName name="_102_Basic_4_8" localSheetId="37">'3961'!$A$14</definedName>
    <definedName name="_102_Basic_4_8" localSheetId="38">'3971'!$A$14</definedName>
    <definedName name="_102_Basic_4_8" localSheetId="39">'4001'!$A$14</definedName>
    <definedName name="_102_Basic_4_8" localSheetId="40">'4002'!$A$14</definedName>
    <definedName name="_102_Basic_4_8" localSheetId="41">'4012'!$A$14</definedName>
    <definedName name="_102_Basic_4_8" localSheetId="42">'4013'!$A$14</definedName>
    <definedName name="_102_Basic_4_8" localSheetId="43">'4020'!$A$14</definedName>
    <definedName name="_102_Basic_4_8" localSheetId="44">'4030'!$A$14</definedName>
    <definedName name="_102_Basic_4_8" localSheetId="45">'4031'!$A$14</definedName>
    <definedName name="_102_Basic_4_8" localSheetId="46">'4041'!$A$14</definedName>
    <definedName name="_102_Basic_4_8" localSheetId="47">'4050'!$A$14</definedName>
    <definedName name="_102_Basic_4_8" localSheetId="48">'4051'!$A$14</definedName>
    <definedName name="_102_Basic_4_8" localSheetId="49">'4061'!$A$14</definedName>
    <definedName name="_102_Basic_4_8" localSheetId="50">'4080'!$A$14</definedName>
    <definedName name="_102_Basic_4_8" localSheetId="51">'4081'!$A$14</definedName>
    <definedName name="_102_Basic_4_8" localSheetId="52">'4090'!$A$14</definedName>
    <definedName name="_102_Basic_4_8" localSheetId="53">'4091'!$A$14</definedName>
    <definedName name="_102_Basic_4_8" localSheetId="54">'4100'!$A$14</definedName>
    <definedName name="_102_Basic_4_8" localSheetId="55">'4102'!$A$14</definedName>
    <definedName name="_102_Basic_4_8" localSheetId="56">'4103'!$A$14</definedName>
    <definedName name="_102_Basic_4_8" localSheetId="57">'4111'!$A$14</definedName>
    <definedName name="_102_Basic_4_8" localSheetId="58">'4131'!$A$14</definedName>
    <definedName name="_102_Basic_4_8" localSheetId="59">'4141'!$A$14</definedName>
    <definedName name="_102_Basic_4_8">'0040'!$A$14</definedName>
    <definedName name="_103_Basic_9_12" localSheetId="10">'0100'!$A$16</definedName>
    <definedName name="_103_Basic_9_12" localSheetId="9">'0571'!$A$16</definedName>
    <definedName name="_103_Basic_9_12" localSheetId="11">'1461'!$A$16</definedName>
    <definedName name="_103_Basic_9_12" localSheetId="12">'1571'!$A$16</definedName>
    <definedName name="_103_Basic_9_12" localSheetId="13">'2521'!$A$16</definedName>
    <definedName name="_103_Basic_9_12" localSheetId="14">'2531'!$A$16</definedName>
    <definedName name="_103_Basic_9_12" localSheetId="15">'2791'!$A$16</definedName>
    <definedName name="_103_Basic_9_12" localSheetId="16">'2801'!$A$16</definedName>
    <definedName name="_103_Basic_9_12" localSheetId="17">'2911'!$A$16</definedName>
    <definedName name="_103_Basic_9_12" localSheetId="18">'2941'!$A$16</definedName>
    <definedName name="_103_Basic_9_12" localSheetId="19">'3083'!$A$16</definedName>
    <definedName name="_103_Basic_9_12" localSheetId="20">'3345'!$A$16</definedName>
    <definedName name="_103_Basic_9_12" localSheetId="21">'3362'!$A$16</definedName>
    <definedName name="_103_Basic_9_12" localSheetId="22">'3381'!$A$16</definedName>
    <definedName name="_103_Basic_9_12" localSheetId="23">'3382'!$A$16</definedName>
    <definedName name="_103_Basic_9_12" localSheetId="24">'3391'!$A$16</definedName>
    <definedName name="_103_Basic_9_12" localSheetId="25">'3394'!$A$16</definedName>
    <definedName name="_103_Basic_9_12" localSheetId="26">'3395'!$A$16</definedName>
    <definedName name="_103_Basic_9_12" localSheetId="27">'3396'!$A$16</definedName>
    <definedName name="_103_Basic_9_12" localSheetId="28">'3398'!$A$16</definedName>
    <definedName name="_103_Basic_9_12" localSheetId="29">'3400'!$A$16</definedName>
    <definedName name="_103_Basic_9_12" localSheetId="30">'3401'!$A$16</definedName>
    <definedName name="_103_Basic_9_12" localSheetId="31">'3413'!$A$16</definedName>
    <definedName name="_103_Basic_9_12" localSheetId="32">'3421'!$A$16</definedName>
    <definedName name="_103_Basic_9_12" localSheetId="33">'3431'!$A$16</definedName>
    <definedName name="_103_Basic_9_12" localSheetId="34">'3441'!$A$16</definedName>
    <definedName name="_103_Basic_9_12" localSheetId="35">'3924'!$A$16</definedName>
    <definedName name="_103_Basic_9_12" localSheetId="36">'3941'!$A$16</definedName>
    <definedName name="_103_Basic_9_12" localSheetId="37">'3961'!$A$16</definedName>
    <definedName name="_103_Basic_9_12" localSheetId="38">'3971'!$A$16</definedName>
    <definedName name="_103_Basic_9_12" localSheetId="39">'4001'!$A$16</definedName>
    <definedName name="_103_Basic_9_12" localSheetId="40">'4002'!$A$16</definedName>
    <definedName name="_103_Basic_9_12" localSheetId="41">'4012'!$A$16</definedName>
    <definedName name="_103_Basic_9_12" localSheetId="42">'4013'!$A$16</definedName>
    <definedName name="_103_Basic_9_12" localSheetId="43">'4020'!$A$16</definedName>
    <definedName name="_103_Basic_9_12" localSheetId="44">'4030'!$A$16</definedName>
    <definedName name="_103_Basic_9_12" localSheetId="45">'4031'!$A$16</definedName>
    <definedName name="_103_Basic_9_12" localSheetId="46">'4041'!$A$16</definedName>
    <definedName name="_103_Basic_9_12" localSheetId="47">'4050'!$A$16</definedName>
    <definedName name="_103_Basic_9_12" localSheetId="48">'4051'!$A$16</definedName>
    <definedName name="_103_Basic_9_12" localSheetId="49">'4061'!$A$16</definedName>
    <definedName name="_103_Basic_9_12" localSheetId="50">'4080'!$A$16</definedName>
    <definedName name="_103_Basic_9_12" localSheetId="51">'4081'!$A$16</definedName>
    <definedName name="_103_Basic_9_12" localSheetId="52">'4090'!$A$16</definedName>
    <definedName name="_103_Basic_9_12" localSheetId="53">'4091'!$A$16</definedName>
    <definedName name="_103_Basic_9_12" localSheetId="54">'4100'!$A$16</definedName>
    <definedName name="_103_Basic_9_12" localSheetId="55">'4102'!$A$16</definedName>
    <definedName name="_103_Basic_9_12" localSheetId="56">'4103'!$A$16</definedName>
    <definedName name="_103_Basic_9_12" localSheetId="57">'4111'!$A$16</definedName>
    <definedName name="_103_Basic_9_12" localSheetId="58">'4131'!$A$16</definedName>
    <definedName name="_103_Basic_9_12" localSheetId="59">'4141'!$A$16</definedName>
    <definedName name="_103_Basic_9_12">'0040'!$A$16</definedName>
    <definedName name="_111_Basic_K_3_with_ESE_Services" localSheetId="10">'0100'!$A$13</definedName>
    <definedName name="_111_Basic_K_3_with_ESE_Services" localSheetId="9">'0571'!$A$13</definedName>
    <definedName name="_111_Basic_K_3_with_ESE_Services" localSheetId="11">'1461'!$A$13</definedName>
    <definedName name="_111_Basic_K_3_with_ESE_Services" localSheetId="12">'1571'!$A$13</definedName>
    <definedName name="_111_Basic_K_3_with_ESE_Services" localSheetId="13">'2521'!$A$13</definedName>
    <definedName name="_111_Basic_K_3_with_ESE_Services" localSheetId="14">'2531'!$A$13</definedName>
    <definedName name="_111_Basic_K_3_with_ESE_Services" localSheetId="15">'2791'!$A$13</definedName>
    <definedName name="_111_Basic_K_3_with_ESE_Services" localSheetId="16">'2801'!$A$13</definedName>
    <definedName name="_111_Basic_K_3_with_ESE_Services" localSheetId="17">'2911'!$A$13</definedName>
    <definedName name="_111_Basic_K_3_with_ESE_Services" localSheetId="18">'2941'!$A$13</definedName>
    <definedName name="_111_Basic_K_3_with_ESE_Services" localSheetId="19">'3083'!$A$13</definedName>
    <definedName name="_111_Basic_K_3_with_ESE_Services" localSheetId="20">'3345'!$A$13</definedName>
    <definedName name="_111_Basic_K_3_with_ESE_Services" localSheetId="21">'3362'!$A$13</definedName>
    <definedName name="_111_Basic_K_3_with_ESE_Services" localSheetId="22">'3381'!$A$13</definedName>
    <definedName name="_111_Basic_K_3_with_ESE_Services" localSheetId="23">'3382'!$A$13</definedName>
    <definedName name="_111_Basic_K_3_with_ESE_Services" localSheetId="24">'3391'!$A$13</definedName>
    <definedName name="_111_Basic_K_3_with_ESE_Services" localSheetId="25">'3394'!$A$13</definedName>
    <definedName name="_111_Basic_K_3_with_ESE_Services" localSheetId="26">'3395'!$A$13</definedName>
    <definedName name="_111_Basic_K_3_with_ESE_Services" localSheetId="27">'3396'!$A$13</definedName>
    <definedName name="_111_Basic_K_3_with_ESE_Services" localSheetId="28">'3398'!$A$13</definedName>
    <definedName name="_111_Basic_K_3_with_ESE_Services" localSheetId="29">'3400'!$A$13</definedName>
    <definedName name="_111_Basic_K_3_with_ESE_Services" localSheetId="30">'3401'!$A$13</definedName>
    <definedName name="_111_Basic_K_3_with_ESE_Services" localSheetId="31">'3413'!$A$13</definedName>
    <definedName name="_111_Basic_K_3_with_ESE_Services" localSheetId="32">'3421'!$A$13</definedName>
    <definedName name="_111_Basic_K_3_with_ESE_Services" localSheetId="33">'3431'!$A$13</definedName>
    <definedName name="_111_Basic_K_3_with_ESE_Services" localSheetId="34">'3441'!$A$13</definedName>
    <definedName name="_111_Basic_K_3_with_ESE_Services" localSheetId="35">'3924'!$A$13</definedName>
    <definedName name="_111_Basic_K_3_with_ESE_Services" localSheetId="36">'3941'!$A$13</definedName>
    <definedName name="_111_Basic_K_3_with_ESE_Services" localSheetId="37">'3961'!$A$13</definedName>
    <definedName name="_111_Basic_K_3_with_ESE_Services" localSheetId="38">'3971'!$A$13</definedName>
    <definedName name="_111_Basic_K_3_with_ESE_Services" localSheetId="39">'4001'!$A$13</definedName>
    <definedName name="_111_Basic_K_3_with_ESE_Services" localSheetId="40">'4002'!$A$13</definedName>
    <definedName name="_111_Basic_K_3_with_ESE_Services" localSheetId="41">'4012'!$A$13</definedName>
    <definedName name="_111_Basic_K_3_with_ESE_Services" localSheetId="42">'4013'!$A$13</definedName>
    <definedName name="_111_Basic_K_3_with_ESE_Services" localSheetId="43">'4020'!$A$13</definedName>
    <definedName name="_111_Basic_K_3_with_ESE_Services" localSheetId="44">'4030'!$A$13</definedName>
    <definedName name="_111_Basic_K_3_with_ESE_Services" localSheetId="45">'4031'!$A$13</definedName>
    <definedName name="_111_Basic_K_3_with_ESE_Services" localSheetId="46">'4041'!$A$13</definedName>
    <definedName name="_111_Basic_K_3_with_ESE_Services" localSheetId="47">'4050'!$A$13</definedName>
    <definedName name="_111_Basic_K_3_with_ESE_Services" localSheetId="48">'4051'!$A$13</definedName>
    <definedName name="_111_Basic_K_3_with_ESE_Services" localSheetId="49">'4061'!$A$13</definedName>
    <definedName name="_111_Basic_K_3_with_ESE_Services" localSheetId="50">'4080'!$A$13</definedName>
    <definedName name="_111_Basic_K_3_with_ESE_Services" localSheetId="51">'4081'!$A$13</definedName>
    <definedName name="_111_Basic_K_3_with_ESE_Services" localSheetId="52">'4090'!$A$13</definedName>
    <definedName name="_111_Basic_K_3_with_ESE_Services" localSheetId="53">'4091'!$A$13</definedName>
    <definedName name="_111_Basic_K_3_with_ESE_Services" localSheetId="54">'4100'!$A$13</definedName>
    <definedName name="_111_Basic_K_3_with_ESE_Services" localSheetId="55">'4102'!$A$13</definedName>
    <definedName name="_111_Basic_K_3_with_ESE_Services" localSheetId="56">'4103'!$A$13</definedName>
    <definedName name="_111_Basic_K_3_with_ESE_Services" localSheetId="57">'4111'!$A$13</definedName>
    <definedName name="_111_Basic_K_3_with_ESE_Services" localSheetId="58">'4131'!$A$13</definedName>
    <definedName name="_111_Basic_K_3_with_ESE_Services" localSheetId="59">'4141'!$A$13</definedName>
    <definedName name="_111_Basic_K_3_with_ESE_Services">'0040'!$A$13</definedName>
    <definedName name="_112_Basic_4_8_with_ESE_Services" localSheetId="10">'0100'!$A$15</definedName>
    <definedName name="_112_Basic_4_8_with_ESE_Services" localSheetId="9">'0571'!$A$15</definedName>
    <definedName name="_112_Basic_4_8_with_ESE_Services" localSheetId="11">'1461'!$A$15</definedName>
    <definedName name="_112_Basic_4_8_with_ESE_Services" localSheetId="12">'1571'!$A$15</definedName>
    <definedName name="_112_Basic_4_8_with_ESE_Services" localSheetId="13">'2521'!$A$15</definedName>
    <definedName name="_112_Basic_4_8_with_ESE_Services" localSheetId="14">'2531'!$A$15</definedName>
    <definedName name="_112_Basic_4_8_with_ESE_Services" localSheetId="15">'2791'!$A$15</definedName>
    <definedName name="_112_Basic_4_8_with_ESE_Services" localSheetId="16">'2801'!$A$15</definedName>
    <definedName name="_112_Basic_4_8_with_ESE_Services" localSheetId="17">'2911'!$A$15</definedName>
    <definedName name="_112_Basic_4_8_with_ESE_Services" localSheetId="18">'2941'!$A$15</definedName>
    <definedName name="_112_Basic_4_8_with_ESE_Services" localSheetId="19">'3083'!$A$15</definedName>
    <definedName name="_112_Basic_4_8_with_ESE_Services" localSheetId="20">'3345'!$A$15</definedName>
    <definedName name="_112_Basic_4_8_with_ESE_Services" localSheetId="21">'3362'!$A$15</definedName>
    <definedName name="_112_Basic_4_8_with_ESE_Services" localSheetId="22">'3381'!$A$15</definedName>
    <definedName name="_112_Basic_4_8_with_ESE_Services" localSheetId="23">'3382'!$A$15</definedName>
    <definedName name="_112_Basic_4_8_with_ESE_Services" localSheetId="24">'3391'!$A$15</definedName>
    <definedName name="_112_Basic_4_8_with_ESE_Services" localSheetId="25">'3394'!$A$15</definedName>
    <definedName name="_112_Basic_4_8_with_ESE_Services" localSheetId="26">'3395'!$A$15</definedName>
    <definedName name="_112_Basic_4_8_with_ESE_Services" localSheetId="27">'3396'!$A$15</definedName>
    <definedName name="_112_Basic_4_8_with_ESE_Services" localSheetId="28">'3398'!$A$15</definedName>
    <definedName name="_112_Basic_4_8_with_ESE_Services" localSheetId="29">'3400'!$A$15</definedName>
    <definedName name="_112_Basic_4_8_with_ESE_Services" localSheetId="30">'3401'!$A$15</definedName>
    <definedName name="_112_Basic_4_8_with_ESE_Services" localSheetId="31">'3413'!$A$15</definedName>
    <definedName name="_112_Basic_4_8_with_ESE_Services" localSheetId="32">'3421'!$A$15</definedName>
    <definedName name="_112_Basic_4_8_with_ESE_Services" localSheetId="33">'3431'!$A$15</definedName>
    <definedName name="_112_Basic_4_8_with_ESE_Services" localSheetId="34">'3441'!$A$15</definedName>
    <definedName name="_112_Basic_4_8_with_ESE_Services" localSheetId="35">'3924'!$A$15</definedName>
    <definedName name="_112_Basic_4_8_with_ESE_Services" localSheetId="36">'3941'!$A$15</definedName>
    <definedName name="_112_Basic_4_8_with_ESE_Services" localSheetId="37">'3961'!$A$15</definedName>
    <definedName name="_112_Basic_4_8_with_ESE_Services" localSheetId="38">'3971'!$A$15</definedName>
    <definedName name="_112_Basic_4_8_with_ESE_Services" localSheetId="39">'4001'!$A$15</definedName>
    <definedName name="_112_Basic_4_8_with_ESE_Services" localSheetId="40">'4002'!$A$15</definedName>
    <definedName name="_112_Basic_4_8_with_ESE_Services" localSheetId="41">'4012'!$A$15</definedName>
    <definedName name="_112_Basic_4_8_with_ESE_Services" localSheetId="42">'4013'!$A$15</definedName>
    <definedName name="_112_Basic_4_8_with_ESE_Services" localSheetId="43">'4020'!$A$15</definedName>
    <definedName name="_112_Basic_4_8_with_ESE_Services" localSheetId="44">'4030'!$A$15</definedName>
    <definedName name="_112_Basic_4_8_with_ESE_Services" localSheetId="45">'4031'!$A$15</definedName>
    <definedName name="_112_Basic_4_8_with_ESE_Services" localSheetId="46">'4041'!$A$15</definedName>
    <definedName name="_112_Basic_4_8_with_ESE_Services" localSheetId="47">'4050'!$A$15</definedName>
    <definedName name="_112_Basic_4_8_with_ESE_Services" localSheetId="48">'4051'!$A$15</definedName>
    <definedName name="_112_Basic_4_8_with_ESE_Services" localSheetId="49">'4061'!$A$15</definedName>
    <definedName name="_112_Basic_4_8_with_ESE_Services" localSheetId="50">'4080'!$A$15</definedName>
    <definedName name="_112_Basic_4_8_with_ESE_Services" localSheetId="51">'4081'!$A$15</definedName>
    <definedName name="_112_Basic_4_8_with_ESE_Services" localSheetId="52">'4090'!$A$15</definedName>
    <definedName name="_112_Basic_4_8_with_ESE_Services" localSheetId="53">'4091'!$A$15</definedName>
    <definedName name="_112_Basic_4_8_with_ESE_Services" localSheetId="54">'4100'!$A$15</definedName>
    <definedName name="_112_Basic_4_8_with_ESE_Services" localSheetId="55">'4102'!$A$15</definedName>
    <definedName name="_112_Basic_4_8_with_ESE_Services" localSheetId="56">'4103'!$A$15</definedName>
    <definedName name="_112_Basic_4_8_with_ESE_Services" localSheetId="57">'4111'!$A$15</definedName>
    <definedName name="_112_Basic_4_8_with_ESE_Services" localSheetId="58">'4131'!$A$15</definedName>
    <definedName name="_112_Basic_4_8_with_ESE_Services" localSheetId="59">'4141'!$A$15</definedName>
    <definedName name="_112_Basic_4_8_with_ESE_Services">'0040'!$A$15</definedName>
    <definedName name="_113_Basic_9_12_with_ESE_Services" localSheetId="10">'0100'!$A$17</definedName>
    <definedName name="_113_Basic_9_12_with_ESE_Services" localSheetId="9">'0571'!$A$17</definedName>
    <definedName name="_113_Basic_9_12_with_ESE_Services" localSheetId="11">'1461'!$A$17</definedName>
    <definedName name="_113_Basic_9_12_with_ESE_Services" localSheetId="12">'1571'!$A$17</definedName>
    <definedName name="_113_Basic_9_12_with_ESE_Services" localSheetId="13">'2521'!$A$17</definedName>
    <definedName name="_113_Basic_9_12_with_ESE_Services" localSheetId="14">'2531'!$A$17</definedName>
    <definedName name="_113_Basic_9_12_with_ESE_Services" localSheetId="15">'2791'!$A$17</definedName>
    <definedName name="_113_Basic_9_12_with_ESE_Services" localSheetId="16">'2801'!$A$17</definedName>
    <definedName name="_113_Basic_9_12_with_ESE_Services" localSheetId="17">'2911'!$A$17</definedName>
    <definedName name="_113_Basic_9_12_with_ESE_Services" localSheetId="18">'2941'!$A$17</definedName>
    <definedName name="_113_Basic_9_12_with_ESE_Services" localSheetId="19">'3083'!$A$17</definedName>
    <definedName name="_113_Basic_9_12_with_ESE_Services" localSheetId="20">'3345'!$A$17</definedName>
    <definedName name="_113_Basic_9_12_with_ESE_Services" localSheetId="21">'3362'!$A$17</definedName>
    <definedName name="_113_Basic_9_12_with_ESE_Services" localSheetId="22">'3381'!$A$17</definedName>
    <definedName name="_113_Basic_9_12_with_ESE_Services" localSheetId="23">'3382'!$A$17</definedName>
    <definedName name="_113_Basic_9_12_with_ESE_Services" localSheetId="24">'3391'!$A$17</definedName>
    <definedName name="_113_Basic_9_12_with_ESE_Services" localSheetId="25">'3394'!$A$17</definedName>
    <definedName name="_113_Basic_9_12_with_ESE_Services" localSheetId="26">'3395'!$A$17</definedName>
    <definedName name="_113_Basic_9_12_with_ESE_Services" localSheetId="27">'3396'!$A$17</definedName>
    <definedName name="_113_Basic_9_12_with_ESE_Services" localSheetId="28">'3398'!$A$17</definedName>
    <definedName name="_113_Basic_9_12_with_ESE_Services" localSheetId="29">'3400'!$A$17</definedName>
    <definedName name="_113_Basic_9_12_with_ESE_Services" localSheetId="30">'3401'!$A$17</definedName>
    <definedName name="_113_Basic_9_12_with_ESE_Services" localSheetId="31">'3413'!$A$17</definedName>
    <definedName name="_113_Basic_9_12_with_ESE_Services" localSheetId="32">'3421'!$A$17</definedName>
    <definedName name="_113_Basic_9_12_with_ESE_Services" localSheetId="33">'3431'!$A$17</definedName>
    <definedName name="_113_Basic_9_12_with_ESE_Services" localSheetId="34">'3441'!$A$17</definedName>
    <definedName name="_113_Basic_9_12_with_ESE_Services" localSheetId="35">'3924'!$A$17</definedName>
    <definedName name="_113_Basic_9_12_with_ESE_Services" localSheetId="36">'3941'!$A$17</definedName>
    <definedName name="_113_Basic_9_12_with_ESE_Services" localSheetId="37">'3961'!$A$17</definedName>
    <definedName name="_113_Basic_9_12_with_ESE_Services" localSheetId="38">'3971'!$A$17</definedName>
    <definedName name="_113_Basic_9_12_with_ESE_Services" localSheetId="39">'4001'!$A$17</definedName>
    <definedName name="_113_Basic_9_12_with_ESE_Services" localSheetId="40">'4002'!$A$17</definedName>
    <definedName name="_113_Basic_9_12_with_ESE_Services" localSheetId="41">'4012'!$A$17</definedName>
    <definedName name="_113_Basic_9_12_with_ESE_Services" localSheetId="42">'4013'!$A$17</definedName>
    <definedName name="_113_Basic_9_12_with_ESE_Services" localSheetId="43">'4020'!$A$17</definedName>
    <definedName name="_113_Basic_9_12_with_ESE_Services" localSheetId="44">'4030'!$A$17</definedName>
    <definedName name="_113_Basic_9_12_with_ESE_Services" localSheetId="45">'4031'!$A$17</definedName>
    <definedName name="_113_Basic_9_12_with_ESE_Services" localSheetId="46">'4041'!$A$17</definedName>
    <definedName name="_113_Basic_9_12_with_ESE_Services" localSheetId="47">'4050'!$A$17</definedName>
    <definedName name="_113_Basic_9_12_with_ESE_Services" localSheetId="48">'4051'!$A$17</definedName>
    <definedName name="_113_Basic_9_12_with_ESE_Services" localSheetId="49">'4061'!$A$17</definedName>
    <definedName name="_113_Basic_9_12_with_ESE_Services" localSheetId="50">'4080'!$A$17</definedName>
    <definedName name="_113_Basic_9_12_with_ESE_Services" localSheetId="51">'4081'!$A$17</definedName>
    <definedName name="_113_Basic_9_12_with_ESE_Services" localSheetId="52">'4090'!$A$17</definedName>
    <definedName name="_113_Basic_9_12_with_ESE_Services" localSheetId="53">'4091'!$A$17</definedName>
    <definedName name="_113_Basic_9_12_with_ESE_Services" localSheetId="54">'4100'!$A$17</definedName>
    <definedName name="_113_Basic_9_12_with_ESE_Services" localSheetId="55">'4102'!$A$17</definedName>
    <definedName name="_113_Basic_9_12_with_ESE_Services" localSheetId="56">'4103'!$A$17</definedName>
    <definedName name="_113_Basic_9_12_with_ESE_Services" localSheetId="57">'4111'!$A$17</definedName>
    <definedName name="_113_Basic_9_12_with_ESE_Services" localSheetId="58">'4131'!$A$17</definedName>
    <definedName name="_113_Basic_9_12_with_ESE_Services" localSheetId="59">'4141'!$A$17</definedName>
    <definedName name="_113_Basic_9_12_with_ESE_Services">'0040'!$A$17</definedName>
    <definedName name="_130_ESOL__Grade_Level_4_8" localSheetId="10">'0100'!$A$25</definedName>
    <definedName name="_130_ESOL__Grade_Level_4_8" localSheetId="9">'0571'!$A$25</definedName>
    <definedName name="_130_ESOL__Grade_Level_4_8" localSheetId="11">'1461'!$A$25</definedName>
    <definedName name="_130_ESOL__Grade_Level_4_8" localSheetId="12">'1571'!$A$25</definedName>
    <definedName name="_130_ESOL__Grade_Level_4_8" localSheetId="13">'2521'!$A$25</definedName>
    <definedName name="_130_ESOL__Grade_Level_4_8" localSheetId="14">'2531'!$A$25</definedName>
    <definedName name="_130_ESOL__Grade_Level_4_8" localSheetId="15">'2791'!$A$25</definedName>
    <definedName name="_130_ESOL__Grade_Level_4_8" localSheetId="16">'2801'!$A$25</definedName>
    <definedName name="_130_ESOL__Grade_Level_4_8" localSheetId="17">'2911'!$A$25</definedName>
    <definedName name="_130_ESOL__Grade_Level_4_8" localSheetId="18">'2941'!$A$25</definedName>
    <definedName name="_130_ESOL__Grade_Level_4_8" localSheetId="19">'3083'!$A$25</definedName>
    <definedName name="_130_ESOL__Grade_Level_4_8" localSheetId="20">'3345'!$A$25</definedName>
    <definedName name="_130_ESOL__Grade_Level_4_8" localSheetId="21">'3362'!$A$25</definedName>
    <definedName name="_130_ESOL__Grade_Level_4_8" localSheetId="22">'3381'!$A$25</definedName>
    <definedName name="_130_ESOL__Grade_Level_4_8" localSheetId="23">'3382'!$A$25</definedName>
    <definedName name="_130_ESOL__Grade_Level_4_8" localSheetId="24">'3391'!$A$25</definedName>
    <definedName name="_130_ESOL__Grade_Level_4_8" localSheetId="25">'3394'!$A$25</definedName>
    <definedName name="_130_ESOL__Grade_Level_4_8" localSheetId="26">'3395'!$A$25</definedName>
    <definedName name="_130_ESOL__Grade_Level_4_8" localSheetId="27">'3396'!$A$25</definedName>
    <definedName name="_130_ESOL__Grade_Level_4_8" localSheetId="28">'3398'!$A$25</definedName>
    <definedName name="_130_ESOL__Grade_Level_4_8" localSheetId="29">'3400'!$A$25</definedName>
    <definedName name="_130_ESOL__Grade_Level_4_8" localSheetId="30">'3401'!$A$25</definedName>
    <definedName name="_130_ESOL__Grade_Level_4_8" localSheetId="31">'3413'!$A$25</definedName>
    <definedName name="_130_ESOL__Grade_Level_4_8" localSheetId="32">'3421'!$A$25</definedName>
    <definedName name="_130_ESOL__Grade_Level_4_8" localSheetId="33">'3431'!$A$25</definedName>
    <definedName name="_130_ESOL__Grade_Level_4_8" localSheetId="34">'3441'!$A$25</definedName>
    <definedName name="_130_ESOL__Grade_Level_4_8" localSheetId="35">'3924'!$A$25</definedName>
    <definedName name="_130_ESOL__Grade_Level_4_8" localSheetId="36">'3941'!$A$25</definedName>
    <definedName name="_130_ESOL__Grade_Level_4_8" localSheetId="37">'3961'!$A$25</definedName>
    <definedName name="_130_ESOL__Grade_Level_4_8" localSheetId="38">'3971'!$A$25</definedName>
    <definedName name="_130_ESOL__Grade_Level_4_8" localSheetId="39">'4001'!$A$25</definedName>
    <definedName name="_130_ESOL__Grade_Level_4_8" localSheetId="40">'4002'!$A$25</definedName>
    <definedName name="_130_ESOL__Grade_Level_4_8" localSheetId="41">'4012'!$A$25</definedName>
    <definedName name="_130_ESOL__Grade_Level_4_8" localSheetId="42">'4013'!$A$25</definedName>
    <definedName name="_130_ESOL__Grade_Level_4_8" localSheetId="43">'4020'!$A$25</definedName>
    <definedName name="_130_ESOL__Grade_Level_4_8" localSheetId="44">'4030'!$A$25</definedName>
    <definedName name="_130_ESOL__Grade_Level_4_8" localSheetId="45">'4031'!$A$25</definedName>
    <definedName name="_130_ESOL__Grade_Level_4_8" localSheetId="46">'4041'!$A$25</definedName>
    <definedName name="_130_ESOL__Grade_Level_4_8" localSheetId="47">'4050'!$A$25</definedName>
    <definedName name="_130_ESOL__Grade_Level_4_8" localSheetId="48">'4051'!$A$25</definedName>
    <definedName name="_130_ESOL__Grade_Level_4_8" localSheetId="49">'4061'!$A$25</definedName>
    <definedName name="_130_ESOL__Grade_Level_4_8" localSheetId="50">'4080'!$A$25</definedName>
    <definedName name="_130_ESOL__Grade_Level_4_8" localSheetId="51">'4081'!$A$25</definedName>
    <definedName name="_130_ESOL__Grade_Level_4_8" localSheetId="52">'4090'!$A$25</definedName>
    <definedName name="_130_ESOL__Grade_Level_4_8" localSheetId="53">'4091'!$A$25</definedName>
    <definedName name="_130_ESOL__Grade_Level_4_8" localSheetId="54">'4100'!$A$25</definedName>
    <definedName name="_130_ESOL__Grade_Level_4_8" localSheetId="55">'4102'!$A$25</definedName>
    <definedName name="_130_ESOL__Grade_Level_4_8" localSheetId="56">'4103'!$A$25</definedName>
    <definedName name="_130_ESOL__Grade_Level_4_8" localSheetId="57">'4111'!$A$25</definedName>
    <definedName name="_130_ESOL__Grade_Level_4_8" localSheetId="58">'4131'!$A$25</definedName>
    <definedName name="_130_ESOL__Grade_Level_4_8" localSheetId="59">'4141'!$A$25</definedName>
    <definedName name="_130_ESOL__Grade_Level_4_8">'0040'!$A$25</definedName>
    <definedName name="_130_ESOL__Grade_Level_9_12" localSheetId="10">'0100'!$A$26</definedName>
    <definedName name="_130_ESOL__Grade_Level_9_12" localSheetId="9">'0571'!$A$26</definedName>
    <definedName name="_130_ESOL__Grade_Level_9_12" localSheetId="11">'1461'!$A$26</definedName>
    <definedName name="_130_ESOL__Grade_Level_9_12" localSheetId="12">'1571'!$A$26</definedName>
    <definedName name="_130_ESOL__Grade_Level_9_12" localSheetId="13">'2521'!$A$26</definedName>
    <definedName name="_130_ESOL__Grade_Level_9_12" localSheetId="14">'2531'!$A$26</definedName>
    <definedName name="_130_ESOL__Grade_Level_9_12" localSheetId="15">'2791'!$A$26</definedName>
    <definedName name="_130_ESOL__Grade_Level_9_12" localSheetId="16">'2801'!$A$26</definedName>
    <definedName name="_130_ESOL__Grade_Level_9_12" localSheetId="17">'2911'!$A$26</definedName>
    <definedName name="_130_ESOL__Grade_Level_9_12" localSheetId="18">'2941'!$A$26</definedName>
    <definedName name="_130_ESOL__Grade_Level_9_12" localSheetId="19">'3083'!$A$26</definedName>
    <definedName name="_130_ESOL__Grade_Level_9_12" localSheetId="20">'3345'!$A$26</definedName>
    <definedName name="_130_ESOL__Grade_Level_9_12" localSheetId="21">'3362'!$A$26</definedName>
    <definedName name="_130_ESOL__Grade_Level_9_12" localSheetId="22">'3381'!$A$26</definedName>
    <definedName name="_130_ESOL__Grade_Level_9_12" localSheetId="23">'3382'!$A$26</definedName>
    <definedName name="_130_ESOL__Grade_Level_9_12" localSheetId="24">'3391'!$A$26</definedName>
    <definedName name="_130_ESOL__Grade_Level_9_12" localSheetId="25">'3394'!$A$26</definedName>
    <definedName name="_130_ESOL__Grade_Level_9_12" localSheetId="26">'3395'!$A$26</definedName>
    <definedName name="_130_ESOL__Grade_Level_9_12" localSheetId="27">'3396'!$A$26</definedName>
    <definedName name="_130_ESOL__Grade_Level_9_12" localSheetId="28">'3398'!$A$26</definedName>
    <definedName name="_130_ESOL__Grade_Level_9_12" localSheetId="29">'3400'!$A$26</definedName>
    <definedName name="_130_ESOL__Grade_Level_9_12" localSheetId="30">'3401'!$A$26</definedName>
    <definedName name="_130_ESOL__Grade_Level_9_12" localSheetId="31">'3413'!$A$26</definedName>
    <definedName name="_130_ESOL__Grade_Level_9_12" localSheetId="32">'3421'!$A$26</definedName>
    <definedName name="_130_ESOL__Grade_Level_9_12" localSheetId="33">'3431'!$A$26</definedName>
    <definedName name="_130_ESOL__Grade_Level_9_12" localSheetId="34">'3441'!$A$26</definedName>
    <definedName name="_130_ESOL__Grade_Level_9_12" localSheetId="35">'3924'!$A$26</definedName>
    <definedName name="_130_ESOL__Grade_Level_9_12" localSheetId="36">'3941'!$A$26</definedName>
    <definedName name="_130_ESOL__Grade_Level_9_12" localSheetId="37">'3961'!$A$26</definedName>
    <definedName name="_130_ESOL__Grade_Level_9_12" localSheetId="38">'3971'!$A$26</definedName>
    <definedName name="_130_ESOL__Grade_Level_9_12" localSheetId="39">'4001'!$A$26</definedName>
    <definedName name="_130_ESOL__Grade_Level_9_12" localSheetId="40">'4002'!$A$26</definedName>
    <definedName name="_130_ESOL__Grade_Level_9_12" localSheetId="41">'4012'!$A$26</definedName>
    <definedName name="_130_ESOL__Grade_Level_9_12" localSheetId="42">'4013'!$A$26</definedName>
    <definedName name="_130_ESOL__Grade_Level_9_12" localSheetId="43">'4020'!$A$26</definedName>
    <definedName name="_130_ESOL__Grade_Level_9_12" localSheetId="44">'4030'!$A$26</definedName>
    <definedName name="_130_ESOL__Grade_Level_9_12" localSheetId="45">'4031'!$A$26</definedName>
    <definedName name="_130_ESOL__Grade_Level_9_12" localSheetId="46">'4041'!$A$26</definedName>
    <definedName name="_130_ESOL__Grade_Level_9_12" localSheetId="47">'4050'!$A$26</definedName>
    <definedName name="_130_ESOL__Grade_Level_9_12" localSheetId="48">'4051'!$A$26</definedName>
    <definedName name="_130_ESOL__Grade_Level_9_12" localSheetId="49">'4061'!$A$26</definedName>
    <definedName name="_130_ESOL__Grade_Level_9_12" localSheetId="50">'4080'!$A$26</definedName>
    <definedName name="_130_ESOL__Grade_Level_9_12" localSheetId="51">'4081'!$A$26</definedName>
    <definedName name="_130_ESOL__Grade_Level_9_12" localSheetId="52">'4090'!$A$26</definedName>
    <definedName name="_130_ESOL__Grade_Level_9_12" localSheetId="53">'4091'!$A$26</definedName>
    <definedName name="_130_ESOL__Grade_Level_9_12" localSheetId="54">'4100'!$A$26</definedName>
    <definedName name="_130_ESOL__Grade_Level_9_12" localSheetId="55">'4102'!$A$26</definedName>
    <definedName name="_130_ESOL__Grade_Level_9_12" localSheetId="56">'4103'!$A$26</definedName>
    <definedName name="_130_ESOL__Grade_Level_9_12" localSheetId="57">'4111'!$A$26</definedName>
    <definedName name="_130_ESOL__Grade_Level_9_12" localSheetId="58">'4131'!$A$26</definedName>
    <definedName name="_130_ESOL__Grade_Level_9_12" localSheetId="59">'4141'!$A$26</definedName>
    <definedName name="_130_ESOL__Grade_Level_9_12">'0040'!$A$26</definedName>
    <definedName name="_130_ESOL__Grade_Level_PK_3" localSheetId="10">'0100'!$A$24</definedName>
    <definedName name="_130_ESOL__Grade_Level_PK_3" localSheetId="9">'0571'!$A$24</definedName>
    <definedName name="_130_ESOL__Grade_Level_PK_3" localSheetId="11">'1461'!$A$24</definedName>
    <definedName name="_130_ESOL__Grade_Level_PK_3" localSheetId="12">'1571'!$A$24</definedName>
    <definedName name="_130_ESOL__Grade_Level_PK_3" localSheetId="13">'2521'!$A$24</definedName>
    <definedName name="_130_ESOL__Grade_Level_PK_3" localSheetId="14">'2531'!$A$24</definedName>
    <definedName name="_130_ESOL__Grade_Level_PK_3" localSheetId="15">'2791'!$A$24</definedName>
    <definedName name="_130_ESOL__Grade_Level_PK_3" localSheetId="16">'2801'!$A$24</definedName>
    <definedName name="_130_ESOL__Grade_Level_PK_3" localSheetId="17">'2911'!$A$24</definedName>
    <definedName name="_130_ESOL__Grade_Level_PK_3" localSheetId="18">'2941'!$A$24</definedName>
    <definedName name="_130_ESOL__Grade_Level_PK_3" localSheetId="19">'3083'!$A$24</definedName>
    <definedName name="_130_ESOL__Grade_Level_PK_3" localSheetId="20">'3345'!$A$24</definedName>
    <definedName name="_130_ESOL__Grade_Level_PK_3" localSheetId="21">'3362'!$A$24</definedName>
    <definedName name="_130_ESOL__Grade_Level_PK_3" localSheetId="22">'3381'!$A$24</definedName>
    <definedName name="_130_ESOL__Grade_Level_PK_3" localSheetId="23">'3382'!$A$24</definedName>
    <definedName name="_130_ESOL__Grade_Level_PK_3" localSheetId="24">'3391'!$A$24</definedName>
    <definedName name="_130_ESOL__Grade_Level_PK_3" localSheetId="25">'3394'!$A$24</definedName>
    <definedName name="_130_ESOL__Grade_Level_PK_3" localSheetId="26">'3395'!$A$24</definedName>
    <definedName name="_130_ESOL__Grade_Level_PK_3" localSheetId="27">'3396'!$A$24</definedName>
    <definedName name="_130_ESOL__Grade_Level_PK_3" localSheetId="28">'3398'!$A$24</definedName>
    <definedName name="_130_ESOL__Grade_Level_PK_3" localSheetId="29">'3400'!$A$24</definedName>
    <definedName name="_130_ESOL__Grade_Level_PK_3" localSheetId="30">'3401'!$A$24</definedName>
    <definedName name="_130_ESOL__Grade_Level_PK_3" localSheetId="31">'3413'!$A$24</definedName>
    <definedName name="_130_ESOL__Grade_Level_PK_3" localSheetId="32">'3421'!$A$24</definedName>
    <definedName name="_130_ESOL__Grade_Level_PK_3" localSheetId="33">'3431'!$A$24</definedName>
    <definedName name="_130_ESOL__Grade_Level_PK_3" localSheetId="34">'3441'!$A$24</definedName>
    <definedName name="_130_ESOL__Grade_Level_PK_3" localSheetId="35">'3924'!$A$24</definedName>
    <definedName name="_130_ESOL__Grade_Level_PK_3" localSheetId="36">'3941'!$A$24</definedName>
    <definedName name="_130_ESOL__Grade_Level_PK_3" localSheetId="37">'3961'!$A$24</definedName>
    <definedName name="_130_ESOL__Grade_Level_PK_3" localSheetId="38">'3971'!$A$24</definedName>
    <definedName name="_130_ESOL__Grade_Level_PK_3" localSheetId="39">'4001'!$A$24</definedName>
    <definedName name="_130_ESOL__Grade_Level_PK_3" localSheetId="40">'4002'!$A$24</definedName>
    <definedName name="_130_ESOL__Grade_Level_PK_3" localSheetId="41">'4012'!$A$24</definedName>
    <definedName name="_130_ESOL__Grade_Level_PK_3" localSheetId="42">'4013'!$A$24</definedName>
    <definedName name="_130_ESOL__Grade_Level_PK_3" localSheetId="43">'4020'!$A$24</definedName>
    <definedName name="_130_ESOL__Grade_Level_PK_3" localSheetId="44">'4030'!$A$24</definedName>
    <definedName name="_130_ESOL__Grade_Level_PK_3" localSheetId="45">'4031'!$A$24</definedName>
    <definedName name="_130_ESOL__Grade_Level_PK_3" localSheetId="46">'4041'!$A$24</definedName>
    <definedName name="_130_ESOL__Grade_Level_PK_3" localSheetId="47">'4050'!$A$24</definedName>
    <definedName name="_130_ESOL__Grade_Level_PK_3" localSheetId="48">'4051'!$A$24</definedName>
    <definedName name="_130_ESOL__Grade_Level_PK_3" localSheetId="49">'4061'!$A$24</definedName>
    <definedName name="_130_ESOL__Grade_Level_PK_3" localSheetId="50">'4080'!$A$24</definedName>
    <definedName name="_130_ESOL__Grade_Level_PK_3" localSheetId="51">'4081'!$A$24</definedName>
    <definedName name="_130_ESOL__Grade_Level_PK_3" localSheetId="52">'4090'!$A$24</definedName>
    <definedName name="_130_ESOL__Grade_Level_PK_3" localSheetId="53">'4091'!$A$24</definedName>
    <definedName name="_130_ESOL__Grade_Level_PK_3" localSheetId="54">'4100'!$A$24</definedName>
    <definedName name="_130_ESOL__Grade_Level_PK_3" localSheetId="55">'4102'!$A$24</definedName>
    <definedName name="_130_ESOL__Grade_Level_PK_3" localSheetId="56">'4103'!$A$24</definedName>
    <definedName name="_130_ESOL__Grade_Level_PK_3" localSheetId="57">'4111'!$A$24</definedName>
    <definedName name="_130_ESOL__Grade_Level_PK_3" localSheetId="58">'4131'!$A$24</definedName>
    <definedName name="_130_ESOL__Grade_Level_PK_3" localSheetId="59">'4141'!$A$24</definedName>
    <definedName name="_130_ESOL__Grade_Level_PK_3">'0040'!$A$24</definedName>
    <definedName name="_1A.___2023_24_FEFP_State_and_Local_Funding" localSheetId="8">'0040'!$A$5</definedName>
    <definedName name="_1A.___2023_24_FEFP_State_and_Local_Funding" localSheetId="10">'0100'!$A$5</definedName>
    <definedName name="_1A.___2023_24_FEFP_State_and_Local_Funding" localSheetId="9">'0571'!$A$5</definedName>
    <definedName name="_1A.___2023_24_FEFP_State_and_Local_Funding" localSheetId="11">'1461'!$A$5</definedName>
    <definedName name="_1A.___2023_24_FEFP_State_and_Local_Funding" localSheetId="12">'1571'!$A$5</definedName>
    <definedName name="_1A.___2023_24_FEFP_State_and_Local_Funding" localSheetId="13">'2521'!$A$5</definedName>
    <definedName name="_1A.___2023_24_FEFP_State_and_Local_Funding" localSheetId="14">'2531'!$A$5</definedName>
    <definedName name="_1A.___2023_24_FEFP_State_and_Local_Funding" localSheetId="15">'2791'!$A$5</definedName>
    <definedName name="_1A.___2023_24_FEFP_State_and_Local_Funding" localSheetId="16">'2801'!$A$5</definedName>
    <definedName name="_1A.___2023_24_FEFP_State_and_Local_Funding" localSheetId="17">'2911'!$A$5</definedName>
    <definedName name="_1A.___2023_24_FEFP_State_and_Local_Funding" localSheetId="18">'2941'!$A$5</definedName>
    <definedName name="_1A.___2023_24_FEFP_State_and_Local_Funding" localSheetId="19">'3083'!$A$5</definedName>
    <definedName name="_1A.___2023_24_FEFP_State_and_Local_Funding" localSheetId="20">'3345'!$A$5</definedName>
    <definedName name="_1A.___2023_24_FEFP_State_and_Local_Funding" localSheetId="21">'3362'!$A$5</definedName>
    <definedName name="_1A.___2023_24_FEFP_State_and_Local_Funding" localSheetId="22">'3381'!$A$5</definedName>
    <definedName name="_1A.___2023_24_FEFP_State_and_Local_Funding" localSheetId="23">'3382'!$A$5</definedName>
    <definedName name="_1A.___2023_24_FEFP_State_and_Local_Funding" localSheetId="24">'3391'!$A$5</definedName>
    <definedName name="_1A.___2023_24_FEFP_State_and_Local_Funding" localSheetId="25">'3394'!$A$5</definedName>
    <definedName name="_1A.___2023_24_FEFP_State_and_Local_Funding" localSheetId="26">'3395'!$A$5</definedName>
    <definedName name="_1A.___2023_24_FEFP_State_and_Local_Funding" localSheetId="27">'3396'!$A$5</definedName>
    <definedName name="_1A.___2023_24_FEFP_State_and_Local_Funding" localSheetId="28">'3398'!$A$5</definedName>
    <definedName name="_1A.___2023_24_FEFP_State_and_Local_Funding" localSheetId="29">'3400'!$A$5</definedName>
    <definedName name="_1A.___2023_24_FEFP_State_and_Local_Funding" localSheetId="30">'3401'!$A$5</definedName>
    <definedName name="_1A.___2023_24_FEFP_State_and_Local_Funding" localSheetId="31">'3413'!$A$5</definedName>
    <definedName name="_1A.___2023_24_FEFP_State_and_Local_Funding" localSheetId="32">'3421'!$A$5</definedName>
    <definedName name="_1A.___2023_24_FEFP_State_and_Local_Funding" localSheetId="33">'3431'!$A$5</definedName>
    <definedName name="_1A.___2023_24_FEFP_State_and_Local_Funding" localSheetId="34">'3441'!$A$5</definedName>
    <definedName name="_1A.___2023_24_FEFP_State_and_Local_Funding" localSheetId="35">'3924'!$A$5</definedName>
    <definedName name="_1A.___2023_24_FEFP_State_and_Local_Funding" localSheetId="36">'3941'!$A$5</definedName>
    <definedName name="_1A.___2023_24_FEFP_State_and_Local_Funding" localSheetId="37">'3961'!$A$5</definedName>
    <definedName name="_1A.___2023_24_FEFP_State_and_Local_Funding" localSheetId="38">'3971'!$A$5</definedName>
    <definedName name="_1A.___2023_24_FEFP_State_and_Local_Funding" localSheetId="39">'4001'!$A$5</definedName>
    <definedName name="_1A.___2023_24_FEFP_State_and_Local_Funding" localSheetId="40">'4002'!$A$5</definedName>
    <definedName name="_1A.___2023_24_FEFP_State_and_Local_Funding" localSheetId="41">'4012'!$A$5</definedName>
    <definedName name="_1A.___2023_24_FEFP_State_and_Local_Funding" localSheetId="42">'4013'!$A$5</definedName>
    <definedName name="_1A.___2023_24_FEFP_State_and_Local_Funding" localSheetId="43">'4020'!$A$5</definedName>
    <definedName name="_1A.___2023_24_FEFP_State_and_Local_Funding" localSheetId="44">'4030'!$A$5</definedName>
    <definedName name="_1A.___2023_24_FEFP_State_and_Local_Funding" localSheetId="45">'4031'!$A$5</definedName>
    <definedName name="_1A.___2023_24_FEFP_State_and_Local_Funding" localSheetId="46">'4041'!$A$5</definedName>
    <definedName name="_1A.___2023_24_FEFP_State_and_Local_Funding" localSheetId="47">'4050'!$A$5</definedName>
    <definedName name="_1A.___2023_24_FEFP_State_and_Local_Funding" localSheetId="48">'4051'!$A$5</definedName>
    <definedName name="_1A.___2023_24_FEFP_State_and_Local_Funding" localSheetId="49">'4061'!$A$5</definedName>
    <definedName name="_1A.___2023_24_FEFP_State_and_Local_Funding" localSheetId="50">'4080'!$A$5</definedName>
    <definedName name="_1A.___2023_24_FEFP_State_and_Local_Funding" localSheetId="51">'4081'!$A$5</definedName>
    <definedName name="_1A.___2023_24_FEFP_State_and_Local_Funding" localSheetId="52">'4090'!$A$5</definedName>
    <definedName name="_1A.___2023_24_FEFP_State_and_Local_Funding" localSheetId="53">'4091'!$A$5</definedName>
    <definedName name="_1A.___2023_24_FEFP_State_and_Local_Funding" localSheetId="54">'4100'!$A$5</definedName>
    <definedName name="_1A.___2023_24_FEFP_State_and_Local_Funding" localSheetId="55">'4102'!$A$5</definedName>
    <definedName name="_1A.___2023_24_FEFP_State_and_Local_Funding" localSheetId="56">'4103'!$A$5</definedName>
    <definedName name="_1A.___2023_24_FEFP_State_and_Local_Funding" localSheetId="57">'4111'!$A$5</definedName>
    <definedName name="_1A.___2023_24_FEFP_State_and_Local_Funding" localSheetId="58">'4131'!$A$5</definedName>
    <definedName name="_1A.___2023_24_FEFP_State_and_Local_Funding" localSheetId="59">'4141'!$A$5</definedName>
    <definedName name="_2" localSheetId="10">'0100'!$E$11</definedName>
    <definedName name="_2" localSheetId="9">'0571'!$E$11</definedName>
    <definedName name="_2" localSheetId="11">'1461'!$E$11</definedName>
    <definedName name="_2" localSheetId="12">'1571'!$E$11</definedName>
    <definedName name="_2" localSheetId="13">'2521'!$E$11</definedName>
    <definedName name="_2" localSheetId="14">'2531'!$E$11</definedName>
    <definedName name="_2" localSheetId="15">'2791'!$E$11</definedName>
    <definedName name="_2" localSheetId="16">'2801'!$E$11</definedName>
    <definedName name="_2" localSheetId="17">'2911'!$E$11</definedName>
    <definedName name="_2" localSheetId="18">'2941'!$E$11</definedName>
    <definedName name="_2" localSheetId="19">'3083'!$E$11</definedName>
    <definedName name="_2" localSheetId="20">'3345'!$E$11</definedName>
    <definedName name="_2" localSheetId="21">'3362'!$E$11</definedName>
    <definedName name="_2" localSheetId="22">'3381'!$E$11</definedName>
    <definedName name="_2" localSheetId="23">'3382'!$E$11</definedName>
    <definedName name="_2" localSheetId="24">'3391'!$E$11</definedName>
    <definedName name="_2" localSheetId="25">'3394'!$E$11</definedName>
    <definedName name="_2" localSheetId="26">'3395'!$E$11</definedName>
    <definedName name="_2" localSheetId="27">'3396'!$E$11</definedName>
    <definedName name="_2" localSheetId="28">'3398'!$E$11</definedName>
    <definedName name="_2" localSheetId="29">'3400'!$E$11</definedName>
    <definedName name="_2" localSheetId="30">'3401'!$E$11</definedName>
    <definedName name="_2" localSheetId="31">'3413'!$E$11</definedName>
    <definedName name="_2" localSheetId="32">'3421'!$E$11</definedName>
    <definedName name="_2" localSheetId="33">'3431'!$E$11</definedName>
    <definedName name="_2" localSheetId="34">'3441'!$E$11</definedName>
    <definedName name="_2" localSheetId="35">'3924'!$E$11</definedName>
    <definedName name="_2" localSheetId="36">'3941'!$E$11</definedName>
    <definedName name="_2" localSheetId="37">'3961'!$E$11</definedName>
    <definedName name="_2" localSheetId="38">'3971'!$E$11</definedName>
    <definedName name="_2" localSheetId="39">'4001'!$E$11</definedName>
    <definedName name="_2" localSheetId="40">'4002'!$E$11</definedName>
    <definedName name="_2" localSheetId="41">'4012'!$E$11</definedName>
    <definedName name="_2" localSheetId="42">'4013'!$E$11</definedName>
    <definedName name="_2" localSheetId="43">'4020'!$E$11</definedName>
    <definedName name="_2" localSheetId="44">'4030'!$E$11</definedName>
    <definedName name="_2" localSheetId="45">'4031'!$E$11</definedName>
    <definedName name="_2" localSheetId="46">'4041'!$E$11</definedName>
    <definedName name="_2" localSheetId="47">'4050'!$E$11</definedName>
    <definedName name="_2" localSheetId="48">'4051'!$E$11</definedName>
    <definedName name="_2" localSheetId="49">'4061'!$E$11</definedName>
    <definedName name="_2" localSheetId="50">'4080'!$E$11</definedName>
    <definedName name="_2" localSheetId="51">'4081'!$E$11</definedName>
    <definedName name="_2" localSheetId="52">'4090'!$E$11</definedName>
    <definedName name="_2" localSheetId="53">'4091'!$E$11</definedName>
    <definedName name="_2" localSheetId="54">'4100'!$E$11</definedName>
    <definedName name="_2" localSheetId="55">'4102'!$E$11</definedName>
    <definedName name="_2" localSheetId="56">'4103'!$E$11</definedName>
    <definedName name="_2" localSheetId="57">'4111'!$E$11</definedName>
    <definedName name="_2" localSheetId="58">'4131'!$E$11</definedName>
    <definedName name="_2" localSheetId="59">'4141'!$E$11</definedName>
    <definedName name="_2">'0040'!$E$11</definedName>
    <definedName name="_2.__ESE_Guaranteed_Allocation" localSheetId="10">'0100'!#REF!</definedName>
    <definedName name="_2.__ESE_Guaranteed_Allocation" localSheetId="9">'0571'!#REF!</definedName>
    <definedName name="_2.__ESE_Guaranteed_Allocation" localSheetId="11">'1461'!#REF!</definedName>
    <definedName name="_2.__ESE_Guaranteed_Allocation" localSheetId="12">'1571'!#REF!</definedName>
    <definedName name="_2.__ESE_Guaranteed_Allocation" localSheetId="13">'2521'!#REF!</definedName>
    <definedName name="_2.__ESE_Guaranteed_Allocation" localSheetId="14">'2531'!#REF!</definedName>
    <definedName name="_2.__ESE_Guaranteed_Allocation" localSheetId="15">'2791'!#REF!</definedName>
    <definedName name="_2.__ESE_Guaranteed_Allocation" localSheetId="16">'2801'!#REF!</definedName>
    <definedName name="_2.__ESE_Guaranteed_Allocation" localSheetId="17">'2911'!#REF!</definedName>
    <definedName name="_2.__ESE_Guaranteed_Allocation" localSheetId="18">'2941'!#REF!</definedName>
    <definedName name="_2.__ESE_Guaranteed_Allocation" localSheetId="19">'3083'!#REF!</definedName>
    <definedName name="_2.__ESE_Guaranteed_Allocation" localSheetId="20">'3345'!#REF!</definedName>
    <definedName name="_2.__ESE_Guaranteed_Allocation" localSheetId="21">'3362'!#REF!</definedName>
    <definedName name="_2.__ESE_Guaranteed_Allocation" localSheetId="22">'3381'!#REF!</definedName>
    <definedName name="_2.__ESE_Guaranteed_Allocation" localSheetId="23">'3382'!#REF!</definedName>
    <definedName name="_2.__ESE_Guaranteed_Allocation" localSheetId="24">'3391'!#REF!</definedName>
    <definedName name="_2.__ESE_Guaranteed_Allocation" localSheetId="25">'3394'!#REF!</definedName>
    <definedName name="_2.__ESE_Guaranteed_Allocation" localSheetId="26">'3395'!#REF!</definedName>
    <definedName name="_2.__ESE_Guaranteed_Allocation" localSheetId="27">'3396'!#REF!</definedName>
    <definedName name="_2.__ESE_Guaranteed_Allocation" localSheetId="28">'3398'!#REF!</definedName>
    <definedName name="_2.__ESE_Guaranteed_Allocation" localSheetId="29">'3400'!#REF!</definedName>
    <definedName name="_2.__ESE_Guaranteed_Allocation" localSheetId="30">'3401'!#REF!</definedName>
    <definedName name="_2.__ESE_Guaranteed_Allocation" localSheetId="31">'3413'!#REF!</definedName>
    <definedName name="_2.__ESE_Guaranteed_Allocation" localSheetId="32">'3421'!#REF!</definedName>
    <definedName name="_2.__ESE_Guaranteed_Allocation" localSheetId="33">'3431'!#REF!</definedName>
    <definedName name="_2.__ESE_Guaranteed_Allocation" localSheetId="34">'3441'!#REF!</definedName>
    <definedName name="_2.__ESE_Guaranteed_Allocation" localSheetId="35">'3924'!#REF!</definedName>
    <definedName name="_2.__ESE_Guaranteed_Allocation" localSheetId="36">'3941'!#REF!</definedName>
    <definedName name="_2.__ESE_Guaranteed_Allocation" localSheetId="37">'3961'!#REF!</definedName>
    <definedName name="_2.__ESE_Guaranteed_Allocation" localSheetId="38">'3971'!#REF!</definedName>
    <definedName name="_2.__ESE_Guaranteed_Allocation" localSheetId="39">'4001'!#REF!</definedName>
    <definedName name="_2.__ESE_Guaranteed_Allocation" localSheetId="40">'4002'!#REF!</definedName>
    <definedName name="_2.__ESE_Guaranteed_Allocation" localSheetId="41">'4012'!#REF!</definedName>
    <definedName name="_2.__ESE_Guaranteed_Allocation" localSheetId="42">'4013'!#REF!</definedName>
    <definedName name="_2.__ESE_Guaranteed_Allocation" localSheetId="43">'4020'!#REF!</definedName>
    <definedName name="_2.__ESE_Guaranteed_Allocation" localSheetId="44">'4030'!#REF!</definedName>
    <definedName name="_2.__ESE_Guaranteed_Allocation" localSheetId="45">'4031'!#REF!</definedName>
    <definedName name="_2.__ESE_Guaranteed_Allocation" localSheetId="46">'4041'!#REF!</definedName>
    <definedName name="_2.__ESE_Guaranteed_Allocation" localSheetId="47">'4050'!#REF!</definedName>
    <definedName name="_2.__ESE_Guaranteed_Allocation" localSheetId="48">'4051'!#REF!</definedName>
    <definedName name="_2.__ESE_Guaranteed_Allocation" localSheetId="49">'4061'!#REF!</definedName>
    <definedName name="_2.__ESE_Guaranteed_Allocation" localSheetId="50">'4080'!#REF!</definedName>
    <definedName name="_2.__ESE_Guaranteed_Allocation" localSheetId="51">'4081'!#REF!</definedName>
    <definedName name="_2.__ESE_Guaranteed_Allocation" localSheetId="52">'4090'!#REF!</definedName>
    <definedName name="_2.__ESE_Guaranteed_Allocation" localSheetId="53">'4091'!#REF!</definedName>
    <definedName name="_2.__ESE_Guaranteed_Allocation" localSheetId="54">'4100'!#REF!</definedName>
    <definedName name="_2.__ESE_Guaranteed_Allocation" localSheetId="55">'4102'!#REF!</definedName>
    <definedName name="_2.__ESE_Guaranteed_Allocation" localSheetId="56">'4103'!#REF!</definedName>
    <definedName name="_2.__ESE_Guaranteed_Allocation" localSheetId="57">'4111'!#REF!</definedName>
    <definedName name="_2.__ESE_Guaranteed_Allocation" localSheetId="58">'4131'!#REF!</definedName>
    <definedName name="_2.__ESE_Guaranteed_Allocation" localSheetId="59">'4141'!#REF!</definedName>
    <definedName name="_2010_11_Base_Funding_WFTE_x_BSA_x_DCD" localSheetId="10">'0100'!$J$10</definedName>
    <definedName name="_2010_11_Base_Funding_WFTE_x_BSA_x_DCD" localSheetId="9">'0571'!$J$10</definedName>
    <definedName name="_2010_11_Base_Funding_WFTE_x_BSA_x_DCD" localSheetId="11">'1461'!$J$10</definedName>
    <definedName name="_2010_11_Base_Funding_WFTE_x_BSA_x_DCD" localSheetId="12">'1571'!$J$10</definedName>
    <definedName name="_2010_11_Base_Funding_WFTE_x_BSA_x_DCD" localSheetId="13">'2521'!$J$10</definedName>
    <definedName name="_2010_11_Base_Funding_WFTE_x_BSA_x_DCD" localSheetId="14">'2531'!$J$10</definedName>
    <definedName name="_2010_11_Base_Funding_WFTE_x_BSA_x_DCD" localSheetId="15">'2791'!$J$10</definedName>
    <definedName name="_2010_11_Base_Funding_WFTE_x_BSA_x_DCD" localSheetId="16">'2801'!$J$10</definedName>
    <definedName name="_2010_11_Base_Funding_WFTE_x_BSA_x_DCD" localSheetId="17">'2911'!$J$10</definedName>
    <definedName name="_2010_11_Base_Funding_WFTE_x_BSA_x_DCD" localSheetId="18">'2941'!$J$10</definedName>
    <definedName name="_2010_11_Base_Funding_WFTE_x_BSA_x_DCD" localSheetId="19">'3083'!$J$10</definedName>
    <definedName name="_2010_11_Base_Funding_WFTE_x_BSA_x_DCD" localSheetId="20">'3345'!$J$10</definedName>
    <definedName name="_2010_11_Base_Funding_WFTE_x_BSA_x_DCD" localSheetId="21">'3362'!$J$10</definedName>
    <definedName name="_2010_11_Base_Funding_WFTE_x_BSA_x_DCD" localSheetId="22">'3381'!$J$10</definedName>
    <definedName name="_2010_11_Base_Funding_WFTE_x_BSA_x_DCD" localSheetId="23">'3382'!$J$10</definedName>
    <definedName name="_2010_11_Base_Funding_WFTE_x_BSA_x_DCD" localSheetId="24">'3391'!$J$10</definedName>
    <definedName name="_2010_11_Base_Funding_WFTE_x_BSA_x_DCD" localSheetId="25">'3394'!$J$10</definedName>
    <definedName name="_2010_11_Base_Funding_WFTE_x_BSA_x_DCD" localSheetId="26">'3395'!$J$10</definedName>
    <definedName name="_2010_11_Base_Funding_WFTE_x_BSA_x_DCD" localSheetId="27">'3396'!$J$10</definedName>
    <definedName name="_2010_11_Base_Funding_WFTE_x_BSA_x_DCD" localSheetId="28">'3398'!$J$10</definedName>
    <definedName name="_2010_11_Base_Funding_WFTE_x_BSA_x_DCD" localSheetId="29">'3400'!$J$10</definedName>
    <definedName name="_2010_11_Base_Funding_WFTE_x_BSA_x_DCD" localSheetId="30">'3401'!$J$10</definedName>
    <definedName name="_2010_11_Base_Funding_WFTE_x_BSA_x_DCD" localSheetId="31">'3413'!$J$10</definedName>
    <definedName name="_2010_11_Base_Funding_WFTE_x_BSA_x_DCD" localSheetId="32">'3421'!$J$10</definedName>
    <definedName name="_2010_11_Base_Funding_WFTE_x_BSA_x_DCD" localSheetId="33">'3431'!$J$10</definedName>
    <definedName name="_2010_11_Base_Funding_WFTE_x_BSA_x_DCD" localSheetId="34">'3441'!$J$10</definedName>
    <definedName name="_2010_11_Base_Funding_WFTE_x_BSA_x_DCD" localSheetId="35">'3924'!$J$10</definedName>
    <definedName name="_2010_11_Base_Funding_WFTE_x_BSA_x_DCD" localSheetId="36">'3941'!$J$10</definedName>
    <definedName name="_2010_11_Base_Funding_WFTE_x_BSA_x_DCD" localSheetId="37">'3961'!$J$10</definedName>
    <definedName name="_2010_11_Base_Funding_WFTE_x_BSA_x_DCD" localSheetId="38">'3971'!$J$10</definedName>
    <definedName name="_2010_11_Base_Funding_WFTE_x_BSA_x_DCD" localSheetId="39">'4001'!$J$10</definedName>
    <definedName name="_2010_11_Base_Funding_WFTE_x_BSA_x_DCD" localSheetId="40">'4002'!$J$10</definedName>
    <definedName name="_2010_11_Base_Funding_WFTE_x_BSA_x_DCD" localSheetId="41">'4012'!$J$10</definedName>
    <definedName name="_2010_11_Base_Funding_WFTE_x_BSA_x_DCD" localSheetId="42">'4013'!$J$10</definedName>
    <definedName name="_2010_11_Base_Funding_WFTE_x_BSA_x_DCD" localSheetId="43">'4020'!$J$10</definedName>
    <definedName name="_2010_11_Base_Funding_WFTE_x_BSA_x_DCD" localSheetId="44">'4030'!$J$10</definedName>
    <definedName name="_2010_11_Base_Funding_WFTE_x_BSA_x_DCD" localSheetId="45">'4031'!$J$10</definedName>
    <definedName name="_2010_11_Base_Funding_WFTE_x_BSA_x_DCD" localSheetId="46">'4041'!$J$10</definedName>
    <definedName name="_2010_11_Base_Funding_WFTE_x_BSA_x_DCD" localSheetId="47">'4050'!$J$10</definedName>
    <definedName name="_2010_11_Base_Funding_WFTE_x_BSA_x_DCD" localSheetId="48">'4051'!$J$10</definedName>
    <definedName name="_2010_11_Base_Funding_WFTE_x_BSA_x_DCD" localSheetId="49">'4061'!$J$10</definedName>
    <definedName name="_2010_11_Base_Funding_WFTE_x_BSA_x_DCD" localSheetId="50">'4080'!$J$10</definedName>
    <definedName name="_2010_11_Base_Funding_WFTE_x_BSA_x_DCD" localSheetId="51">'4081'!$J$10</definedName>
    <definedName name="_2010_11_Base_Funding_WFTE_x_BSA_x_DCD" localSheetId="52">'4090'!$J$10</definedName>
    <definedName name="_2010_11_Base_Funding_WFTE_x_BSA_x_DCD" localSheetId="53">'4091'!$J$10</definedName>
    <definedName name="_2010_11_Base_Funding_WFTE_x_BSA_x_DCD" localSheetId="54">'4100'!$J$10</definedName>
    <definedName name="_2010_11_Base_Funding_WFTE_x_BSA_x_DCD" localSheetId="55">'4102'!$J$10</definedName>
    <definedName name="_2010_11_Base_Funding_WFTE_x_BSA_x_DCD" localSheetId="56">'4103'!$J$10</definedName>
    <definedName name="_2010_11_Base_Funding_WFTE_x_BSA_x_DCD" localSheetId="57">'4111'!$J$10</definedName>
    <definedName name="_2010_11_Base_Funding_WFTE_x_BSA_x_DCD" localSheetId="58">'4131'!$J$10</definedName>
    <definedName name="_2010_11_Base_Funding_WFTE_x_BSA_x_DCD" localSheetId="59">'4141'!$J$10</definedName>
    <definedName name="_2010_11_Base_Funding_WFTE_x_BSA_x_DCD">'0040'!$J$10</definedName>
    <definedName name="_254_ESE_Level_4__Grade_Level_4_8" localSheetId="10">'0100'!$A$19</definedName>
    <definedName name="_254_ESE_Level_4__Grade_Level_4_8" localSheetId="9">'0571'!$A$19</definedName>
    <definedName name="_254_ESE_Level_4__Grade_Level_4_8" localSheetId="11">'1461'!$A$19</definedName>
    <definedName name="_254_ESE_Level_4__Grade_Level_4_8" localSheetId="12">'1571'!$A$19</definedName>
    <definedName name="_254_ESE_Level_4__Grade_Level_4_8" localSheetId="13">'2521'!$A$19</definedName>
    <definedName name="_254_ESE_Level_4__Grade_Level_4_8" localSheetId="14">'2531'!$A$19</definedName>
    <definedName name="_254_ESE_Level_4__Grade_Level_4_8" localSheetId="15">'2791'!$A$19</definedName>
    <definedName name="_254_ESE_Level_4__Grade_Level_4_8" localSheetId="16">'2801'!$A$19</definedName>
    <definedName name="_254_ESE_Level_4__Grade_Level_4_8" localSheetId="17">'2911'!$A$19</definedName>
    <definedName name="_254_ESE_Level_4__Grade_Level_4_8" localSheetId="18">'2941'!$A$19</definedName>
    <definedName name="_254_ESE_Level_4__Grade_Level_4_8" localSheetId="19">'3083'!$A$19</definedName>
    <definedName name="_254_ESE_Level_4__Grade_Level_4_8" localSheetId="20">'3345'!$A$19</definedName>
    <definedName name="_254_ESE_Level_4__Grade_Level_4_8" localSheetId="21">'3362'!$A$19</definedName>
    <definedName name="_254_ESE_Level_4__Grade_Level_4_8" localSheetId="22">'3381'!$A$19</definedName>
    <definedName name="_254_ESE_Level_4__Grade_Level_4_8" localSheetId="23">'3382'!$A$19</definedName>
    <definedName name="_254_ESE_Level_4__Grade_Level_4_8" localSheetId="24">'3391'!$A$19</definedName>
    <definedName name="_254_ESE_Level_4__Grade_Level_4_8" localSheetId="25">'3394'!$A$19</definedName>
    <definedName name="_254_ESE_Level_4__Grade_Level_4_8" localSheetId="26">'3395'!$A$19</definedName>
    <definedName name="_254_ESE_Level_4__Grade_Level_4_8" localSheetId="27">'3396'!$A$19</definedName>
    <definedName name="_254_ESE_Level_4__Grade_Level_4_8" localSheetId="28">'3398'!$A$19</definedName>
    <definedName name="_254_ESE_Level_4__Grade_Level_4_8" localSheetId="29">'3400'!$A$19</definedName>
    <definedName name="_254_ESE_Level_4__Grade_Level_4_8" localSheetId="30">'3401'!$A$19</definedName>
    <definedName name="_254_ESE_Level_4__Grade_Level_4_8" localSheetId="31">'3413'!$A$19</definedName>
    <definedName name="_254_ESE_Level_4__Grade_Level_4_8" localSheetId="32">'3421'!$A$19</definedName>
    <definedName name="_254_ESE_Level_4__Grade_Level_4_8" localSheetId="33">'3431'!$A$19</definedName>
    <definedName name="_254_ESE_Level_4__Grade_Level_4_8" localSheetId="34">'3441'!$A$19</definedName>
    <definedName name="_254_ESE_Level_4__Grade_Level_4_8" localSheetId="35">'3924'!$A$19</definedName>
    <definedName name="_254_ESE_Level_4__Grade_Level_4_8" localSheetId="36">'3941'!$A$19</definedName>
    <definedName name="_254_ESE_Level_4__Grade_Level_4_8" localSheetId="37">'3961'!$A$19</definedName>
    <definedName name="_254_ESE_Level_4__Grade_Level_4_8" localSheetId="38">'3971'!$A$19</definedName>
    <definedName name="_254_ESE_Level_4__Grade_Level_4_8" localSheetId="39">'4001'!$A$19</definedName>
    <definedName name="_254_ESE_Level_4__Grade_Level_4_8" localSheetId="40">'4002'!$A$19</definedName>
    <definedName name="_254_ESE_Level_4__Grade_Level_4_8" localSheetId="41">'4012'!$A$19</definedName>
    <definedName name="_254_ESE_Level_4__Grade_Level_4_8" localSheetId="42">'4013'!$A$19</definedName>
    <definedName name="_254_ESE_Level_4__Grade_Level_4_8" localSheetId="43">'4020'!$A$19</definedName>
    <definedName name="_254_ESE_Level_4__Grade_Level_4_8" localSheetId="44">'4030'!$A$19</definedName>
    <definedName name="_254_ESE_Level_4__Grade_Level_4_8" localSheetId="45">'4031'!$A$19</definedName>
    <definedName name="_254_ESE_Level_4__Grade_Level_4_8" localSheetId="46">'4041'!$A$19</definedName>
    <definedName name="_254_ESE_Level_4__Grade_Level_4_8" localSheetId="47">'4050'!$A$19</definedName>
    <definedName name="_254_ESE_Level_4__Grade_Level_4_8" localSheetId="48">'4051'!$A$19</definedName>
    <definedName name="_254_ESE_Level_4__Grade_Level_4_8" localSheetId="49">'4061'!$A$19</definedName>
    <definedName name="_254_ESE_Level_4__Grade_Level_4_8" localSheetId="50">'4080'!$A$19</definedName>
    <definedName name="_254_ESE_Level_4__Grade_Level_4_8" localSheetId="51">'4081'!$A$19</definedName>
    <definedName name="_254_ESE_Level_4__Grade_Level_4_8" localSheetId="52">'4090'!$A$19</definedName>
    <definedName name="_254_ESE_Level_4__Grade_Level_4_8" localSheetId="53">'4091'!$A$19</definedName>
    <definedName name="_254_ESE_Level_4__Grade_Level_4_8" localSheetId="54">'4100'!$A$19</definedName>
    <definedName name="_254_ESE_Level_4__Grade_Level_4_8" localSheetId="55">'4102'!$A$19</definedName>
    <definedName name="_254_ESE_Level_4__Grade_Level_4_8" localSheetId="56">'4103'!$A$19</definedName>
    <definedName name="_254_ESE_Level_4__Grade_Level_4_8" localSheetId="57">'4111'!$A$19</definedName>
    <definedName name="_254_ESE_Level_4__Grade_Level_4_8" localSheetId="58">'4131'!$A$19</definedName>
    <definedName name="_254_ESE_Level_4__Grade_Level_4_8" localSheetId="59">'4141'!$A$19</definedName>
    <definedName name="_254_ESE_Level_4__Grade_Level_4_8">'0040'!$A$19</definedName>
    <definedName name="_254_ESE_Level_4__Grade_Level_9_12" localSheetId="10">'0100'!$A$20</definedName>
    <definedName name="_254_ESE_Level_4__Grade_Level_9_12" localSheetId="9">'0571'!$A$20</definedName>
    <definedName name="_254_ESE_Level_4__Grade_Level_9_12" localSheetId="11">'1461'!$A$20</definedName>
    <definedName name="_254_ESE_Level_4__Grade_Level_9_12" localSheetId="12">'1571'!$A$20</definedName>
    <definedName name="_254_ESE_Level_4__Grade_Level_9_12" localSheetId="13">'2521'!$A$20</definedName>
    <definedName name="_254_ESE_Level_4__Grade_Level_9_12" localSheetId="14">'2531'!$A$20</definedName>
    <definedName name="_254_ESE_Level_4__Grade_Level_9_12" localSheetId="15">'2791'!$A$20</definedName>
    <definedName name="_254_ESE_Level_4__Grade_Level_9_12" localSheetId="16">'2801'!$A$20</definedName>
    <definedName name="_254_ESE_Level_4__Grade_Level_9_12" localSheetId="17">'2911'!$A$20</definedName>
    <definedName name="_254_ESE_Level_4__Grade_Level_9_12" localSheetId="18">'2941'!$A$20</definedName>
    <definedName name="_254_ESE_Level_4__Grade_Level_9_12" localSheetId="19">'3083'!$A$20</definedName>
    <definedName name="_254_ESE_Level_4__Grade_Level_9_12" localSheetId="20">'3345'!$A$20</definedName>
    <definedName name="_254_ESE_Level_4__Grade_Level_9_12" localSheetId="21">'3362'!$A$20</definedName>
    <definedName name="_254_ESE_Level_4__Grade_Level_9_12" localSheetId="22">'3381'!$A$20</definedName>
    <definedName name="_254_ESE_Level_4__Grade_Level_9_12" localSheetId="23">'3382'!$A$20</definedName>
    <definedName name="_254_ESE_Level_4__Grade_Level_9_12" localSheetId="24">'3391'!$A$20</definedName>
    <definedName name="_254_ESE_Level_4__Grade_Level_9_12" localSheetId="25">'3394'!$A$20</definedName>
    <definedName name="_254_ESE_Level_4__Grade_Level_9_12" localSheetId="26">'3395'!$A$20</definedName>
    <definedName name="_254_ESE_Level_4__Grade_Level_9_12" localSheetId="27">'3396'!$A$20</definedName>
    <definedName name="_254_ESE_Level_4__Grade_Level_9_12" localSheetId="28">'3398'!$A$20</definedName>
    <definedName name="_254_ESE_Level_4__Grade_Level_9_12" localSheetId="29">'3400'!$A$20</definedName>
    <definedName name="_254_ESE_Level_4__Grade_Level_9_12" localSheetId="30">'3401'!$A$20</definedName>
    <definedName name="_254_ESE_Level_4__Grade_Level_9_12" localSheetId="31">'3413'!$A$20</definedName>
    <definedName name="_254_ESE_Level_4__Grade_Level_9_12" localSheetId="32">'3421'!$A$20</definedName>
    <definedName name="_254_ESE_Level_4__Grade_Level_9_12" localSheetId="33">'3431'!$A$20</definedName>
    <definedName name="_254_ESE_Level_4__Grade_Level_9_12" localSheetId="34">'3441'!$A$20</definedName>
    <definedName name="_254_ESE_Level_4__Grade_Level_9_12" localSheetId="35">'3924'!$A$20</definedName>
    <definedName name="_254_ESE_Level_4__Grade_Level_9_12" localSheetId="36">'3941'!$A$20</definedName>
    <definedName name="_254_ESE_Level_4__Grade_Level_9_12" localSheetId="37">'3961'!$A$20</definedName>
    <definedName name="_254_ESE_Level_4__Grade_Level_9_12" localSheetId="38">'3971'!$A$20</definedName>
    <definedName name="_254_ESE_Level_4__Grade_Level_9_12" localSheetId="39">'4001'!$A$20</definedName>
    <definedName name="_254_ESE_Level_4__Grade_Level_9_12" localSheetId="40">'4002'!$A$20</definedName>
    <definedName name="_254_ESE_Level_4__Grade_Level_9_12" localSheetId="41">'4012'!$A$20</definedName>
    <definedName name="_254_ESE_Level_4__Grade_Level_9_12" localSheetId="42">'4013'!$A$20</definedName>
    <definedName name="_254_ESE_Level_4__Grade_Level_9_12" localSheetId="43">'4020'!$A$20</definedName>
    <definedName name="_254_ESE_Level_4__Grade_Level_9_12" localSheetId="44">'4030'!$A$20</definedName>
    <definedName name="_254_ESE_Level_4__Grade_Level_9_12" localSheetId="45">'4031'!$A$20</definedName>
    <definedName name="_254_ESE_Level_4__Grade_Level_9_12" localSheetId="46">'4041'!$A$20</definedName>
    <definedName name="_254_ESE_Level_4__Grade_Level_9_12" localSheetId="47">'4050'!$A$20</definedName>
    <definedName name="_254_ESE_Level_4__Grade_Level_9_12" localSheetId="48">'4051'!$A$20</definedName>
    <definedName name="_254_ESE_Level_4__Grade_Level_9_12" localSheetId="49">'4061'!$A$20</definedName>
    <definedName name="_254_ESE_Level_4__Grade_Level_9_12" localSheetId="50">'4080'!$A$20</definedName>
    <definedName name="_254_ESE_Level_4__Grade_Level_9_12" localSheetId="51">'4081'!$A$20</definedName>
    <definedName name="_254_ESE_Level_4__Grade_Level_9_12" localSheetId="52">'4090'!$A$20</definedName>
    <definedName name="_254_ESE_Level_4__Grade_Level_9_12" localSheetId="53">'4091'!$A$20</definedName>
    <definedName name="_254_ESE_Level_4__Grade_Level_9_12" localSheetId="54">'4100'!$A$20</definedName>
    <definedName name="_254_ESE_Level_4__Grade_Level_9_12" localSheetId="55">'4102'!$A$20</definedName>
    <definedName name="_254_ESE_Level_4__Grade_Level_9_12" localSheetId="56">'4103'!$A$20</definedName>
    <definedName name="_254_ESE_Level_4__Grade_Level_9_12" localSheetId="57">'4111'!$A$20</definedName>
    <definedName name="_254_ESE_Level_4__Grade_Level_9_12" localSheetId="58">'4131'!$A$20</definedName>
    <definedName name="_254_ESE_Level_4__Grade_Level_9_12" localSheetId="59">'4141'!$A$20</definedName>
    <definedName name="_254_ESE_Level_4__Grade_Level_9_12">'0040'!$A$20</definedName>
    <definedName name="_254_ESE_Level_4__Grade_Level_PK_3" localSheetId="10">'0100'!$A$18</definedName>
    <definedName name="_254_ESE_Level_4__Grade_Level_PK_3" localSheetId="9">'0571'!$A$18</definedName>
    <definedName name="_254_ESE_Level_4__Grade_Level_PK_3" localSheetId="11">'1461'!$A$18</definedName>
    <definedName name="_254_ESE_Level_4__Grade_Level_PK_3" localSheetId="12">'1571'!$A$18</definedName>
    <definedName name="_254_ESE_Level_4__Grade_Level_PK_3" localSheetId="13">'2521'!$A$18</definedName>
    <definedName name="_254_ESE_Level_4__Grade_Level_PK_3" localSheetId="14">'2531'!$A$18</definedName>
    <definedName name="_254_ESE_Level_4__Grade_Level_PK_3" localSheetId="15">'2791'!$A$18</definedName>
    <definedName name="_254_ESE_Level_4__Grade_Level_PK_3" localSheetId="16">'2801'!$A$18</definedName>
    <definedName name="_254_ESE_Level_4__Grade_Level_PK_3" localSheetId="17">'2911'!$A$18</definedName>
    <definedName name="_254_ESE_Level_4__Grade_Level_PK_3" localSheetId="18">'2941'!$A$18</definedName>
    <definedName name="_254_ESE_Level_4__Grade_Level_PK_3" localSheetId="19">'3083'!$A$18</definedName>
    <definedName name="_254_ESE_Level_4__Grade_Level_PK_3" localSheetId="20">'3345'!$A$18</definedName>
    <definedName name="_254_ESE_Level_4__Grade_Level_PK_3" localSheetId="21">'3362'!$A$18</definedName>
    <definedName name="_254_ESE_Level_4__Grade_Level_PK_3" localSheetId="22">'3381'!$A$18</definedName>
    <definedName name="_254_ESE_Level_4__Grade_Level_PK_3" localSheetId="23">'3382'!$A$18</definedName>
    <definedName name="_254_ESE_Level_4__Grade_Level_PK_3" localSheetId="24">'3391'!$A$18</definedName>
    <definedName name="_254_ESE_Level_4__Grade_Level_PK_3" localSheetId="25">'3394'!$A$18</definedName>
    <definedName name="_254_ESE_Level_4__Grade_Level_PK_3" localSheetId="26">'3395'!$A$18</definedName>
    <definedName name="_254_ESE_Level_4__Grade_Level_PK_3" localSheetId="27">'3396'!$A$18</definedName>
    <definedName name="_254_ESE_Level_4__Grade_Level_PK_3" localSheetId="28">'3398'!$A$18</definedName>
    <definedName name="_254_ESE_Level_4__Grade_Level_PK_3" localSheetId="29">'3400'!$A$18</definedName>
    <definedName name="_254_ESE_Level_4__Grade_Level_PK_3" localSheetId="30">'3401'!$A$18</definedName>
    <definedName name="_254_ESE_Level_4__Grade_Level_PK_3" localSheetId="31">'3413'!$A$18</definedName>
    <definedName name="_254_ESE_Level_4__Grade_Level_PK_3" localSheetId="32">'3421'!$A$18</definedName>
    <definedName name="_254_ESE_Level_4__Grade_Level_PK_3" localSheetId="33">'3431'!$A$18</definedName>
    <definedName name="_254_ESE_Level_4__Grade_Level_PK_3" localSheetId="34">'3441'!$A$18</definedName>
    <definedName name="_254_ESE_Level_4__Grade_Level_PK_3" localSheetId="35">'3924'!$A$18</definedName>
    <definedName name="_254_ESE_Level_4__Grade_Level_PK_3" localSheetId="36">'3941'!$A$18</definedName>
    <definedName name="_254_ESE_Level_4__Grade_Level_PK_3" localSheetId="37">'3961'!$A$18</definedName>
    <definedName name="_254_ESE_Level_4__Grade_Level_PK_3" localSheetId="38">'3971'!$A$18</definedName>
    <definedName name="_254_ESE_Level_4__Grade_Level_PK_3" localSheetId="39">'4001'!$A$18</definedName>
    <definedName name="_254_ESE_Level_4__Grade_Level_PK_3" localSheetId="40">'4002'!$A$18</definedName>
    <definedName name="_254_ESE_Level_4__Grade_Level_PK_3" localSheetId="41">'4012'!$A$18</definedName>
    <definedName name="_254_ESE_Level_4__Grade_Level_PK_3" localSheetId="42">'4013'!$A$18</definedName>
    <definedName name="_254_ESE_Level_4__Grade_Level_PK_3" localSheetId="43">'4020'!$A$18</definedName>
    <definedName name="_254_ESE_Level_4__Grade_Level_PK_3" localSheetId="44">'4030'!$A$18</definedName>
    <definedName name="_254_ESE_Level_4__Grade_Level_PK_3" localSheetId="45">'4031'!$A$18</definedName>
    <definedName name="_254_ESE_Level_4__Grade_Level_PK_3" localSheetId="46">'4041'!$A$18</definedName>
    <definedName name="_254_ESE_Level_4__Grade_Level_PK_3" localSheetId="47">'4050'!$A$18</definedName>
    <definedName name="_254_ESE_Level_4__Grade_Level_PK_3" localSheetId="48">'4051'!$A$18</definedName>
    <definedName name="_254_ESE_Level_4__Grade_Level_PK_3" localSheetId="49">'4061'!$A$18</definedName>
    <definedName name="_254_ESE_Level_4__Grade_Level_PK_3" localSheetId="50">'4080'!$A$18</definedName>
    <definedName name="_254_ESE_Level_4__Grade_Level_PK_3" localSheetId="51">'4081'!$A$18</definedName>
    <definedName name="_254_ESE_Level_4__Grade_Level_PK_3" localSheetId="52">'4090'!$A$18</definedName>
    <definedName name="_254_ESE_Level_4__Grade_Level_PK_3" localSheetId="53">'4091'!$A$18</definedName>
    <definedName name="_254_ESE_Level_4__Grade_Level_PK_3" localSheetId="54">'4100'!$A$18</definedName>
    <definedName name="_254_ESE_Level_4__Grade_Level_PK_3" localSheetId="55">'4102'!$A$18</definedName>
    <definedName name="_254_ESE_Level_4__Grade_Level_PK_3" localSheetId="56">'4103'!$A$18</definedName>
    <definedName name="_254_ESE_Level_4__Grade_Level_PK_3" localSheetId="57">'4111'!$A$18</definedName>
    <definedName name="_254_ESE_Level_4__Grade_Level_PK_3" localSheetId="58">'4131'!$A$18</definedName>
    <definedName name="_254_ESE_Level_4__Grade_Level_PK_3" localSheetId="59">'4141'!$A$18</definedName>
    <definedName name="_254_ESE_Level_4__Grade_Level_PK_3">'0040'!$A$18</definedName>
    <definedName name="_255_ESE_Level_5__Grade_Level_4_8" localSheetId="10">'0100'!$A$22</definedName>
    <definedName name="_255_ESE_Level_5__Grade_Level_4_8" localSheetId="9">'0571'!$A$22</definedName>
    <definedName name="_255_ESE_Level_5__Grade_Level_4_8" localSheetId="11">'1461'!$A$22</definedName>
    <definedName name="_255_ESE_Level_5__Grade_Level_4_8" localSheetId="12">'1571'!$A$22</definedName>
    <definedName name="_255_ESE_Level_5__Grade_Level_4_8" localSheetId="13">'2521'!$A$22</definedName>
    <definedName name="_255_ESE_Level_5__Grade_Level_4_8" localSheetId="14">'2531'!$A$22</definedName>
    <definedName name="_255_ESE_Level_5__Grade_Level_4_8" localSheetId="15">'2791'!$A$22</definedName>
    <definedName name="_255_ESE_Level_5__Grade_Level_4_8" localSheetId="16">'2801'!$A$22</definedName>
    <definedName name="_255_ESE_Level_5__Grade_Level_4_8" localSheetId="17">'2911'!$A$22</definedName>
    <definedName name="_255_ESE_Level_5__Grade_Level_4_8" localSheetId="18">'2941'!$A$22</definedName>
    <definedName name="_255_ESE_Level_5__Grade_Level_4_8" localSheetId="19">'3083'!$A$22</definedName>
    <definedName name="_255_ESE_Level_5__Grade_Level_4_8" localSheetId="20">'3345'!$A$22</definedName>
    <definedName name="_255_ESE_Level_5__Grade_Level_4_8" localSheetId="21">'3362'!$A$22</definedName>
    <definedName name="_255_ESE_Level_5__Grade_Level_4_8" localSheetId="22">'3381'!$A$22</definedName>
    <definedName name="_255_ESE_Level_5__Grade_Level_4_8" localSheetId="23">'3382'!$A$22</definedName>
    <definedName name="_255_ESE_Level_5__Grade_Level_4_8" localSheetId="24">'3391'!$A$22</definedName>
    <definedName name="_255_ESE_Level_5__Grade_Level_4_8" localSheetId="25">'3394'!$A$22</definedName>
    <definedName name="_255_ESE_Level_5__Grade_Level_4_8" localSheetId="26">'3395'!$A$22</definedName>
    <definedName name="_255_ESE_Level_5__Grade_Level_4_8" localSheetId="27">'3396'!$A$22</definedName>
    <definedName name="_255_ESE_Level_5__Grade_Level_4_8" localSheetId="28">'3398'!$A$22</definedName>
    <definedName name="_255_ESE_Level_5__Grade_Level_4_8" localSheetId="29">'3400'!$A$22</definedName>
    <definedName name="_255_ESE_Level_5__Grade_Level_4_8" localSheetId="30">'3401'!$A$22</definedName>
    <definedName name="_255_ESE_Level_5__Grade_Level_4_8" localSheetId="31">'3413'!$A$22</definedName>
    <definedName name="_255_ESE_Level_5__Grade_Level_4_8" localSheetId="32">'3421'!$A$22</definedName>
    <definedName name="_255_ESE_Level_5__Grade_Level_4_8" localSheetId="33">'3431'!$A$22</definedName>
    <definedName name="_255_ESE_Level_5__Grade_Level_4_8" localSheetId="34">'3441'!$A$22</definedName>
    <definedName name="_255_ESE_Level_5__Grade_Level_4_8" localSheetId="35">'3924'!$A$22</definedName>
    <definedName name="_255_ESE_Level_5__Grade_Level_4_8" localSheetId="36">'3941'!$A$22</definedName>
    <definedName name="_255_ESE_Level_5__Grade_Level_4_8" localSheetId="37">'3961'!$A$22</definedName>
    <definedName name="_255_ESE_Level_5__Grade_Level_4_8" localSheetId="38">'3971'!$A$22</definedName>
    <definedName name="_255_ESE_Level_5__Grade_Level_4_8" localSheetId="39">'4001'!$A$22</definedName>
    <definedName name="_255_ESE_Level_5__Grade_Level_4_8" localSheetId="40">'4002'!$A$22</definedName>
    <definedName name="_255_ESE_Level_5__Grade_Level_4_8" localSheetId="41">'4012'!$A$22</definedName>
    <definedName name="_255_ESE_Level_5__Grade_Level_4_8" localSheetId="42">'4013'!$A$22</definedName>
    <definedName name="_255_ESE_Level_5__Grade_Level_4_8" localSheetId="43">'4020'!$A$22</definedName>
    <definedName name="_255_ESE_Level_5__Grade_Level_4_8" localSheetId="44">'4030'!$A$22</definedName>
    <definedName name="_255_ESE_Level_5__Grade_Level_4_8" localSheetId="45">'4031'!$A$22</definedName>
    <definedName name="_255_ESE_Level_5__Grade_Level_4_8" localSheetId="46">'4041'!$A$22</definedName>
    <definedName name="_255_ESE_Level_5__Grade_Level_4_8" localSheetId="47">'4050'!$A$22</definedName>
    <definedName name="_255_ESE_Level_5__Grade_Level_4_8" localSheetId="48">'4051'!$A$22</definedName>
    <definedName name="_255_ESE_Level_5__Grade_Level_4_8" localSheetId="49">'4061'!$A$22</definedName>
    <definedName name="_255_ESE_Level_5__Grade_Level_4_8" localSheetId="50">'4080'!$A$22</definedName>
    <definedName name="_255_ESE_Level_5__Grade_Level_4_8" localSheetId="51">'4081'!$A$22</definedName>
    <definedName name="_255_ESE_Level_5__Grade_Level_4_8" localSheetId="52">'4090'!$A$22</definedName>
    <definedName name="_255_ESE_Level_5__Grade_Level_4_8" localSheetId="53">'4091'!$A$22</definedName>
    <definedName name="_255_ESE_Level_5__Grade_Level_4_8" localSheetId="54">'4100'!$A$22</definedName>
    <definedName name="_255_ESE_Level_5__Grade_Level_4_8" localSheetId="55">'4102'!$A$22</definedName>
    <definedName name="_255_ESE_Level_5__Grade_Level_4_8" localSheetId="56">'4103'!$A$22</definedName>
    <definedName name="_255_ESE_Level_5__Grade_Level_4_8" localSheetId="57">'4111'!$A$22</definedName>
    <definedName name="_255_ESE_Level_5__Grade_Level_4_8" localSheetId="58">'4131'!$A$22</definedName>
    <definedName name="_255_ESE_Level_5__Grade_Level_4_8" localSheetId="59">'4141'!$A$22</definedName>
    <definedName name="_255_ESE_Level_5__Grade_Level_4_8">'0040'!$A$22</definedName>
    <definedName name="_255_ESE_Level_5__Grade_Level_9_12" localSheetId="10">'0100'!$A$23</definedName>
    <definedName name="_255_ESE_Level_5__Grade_Level_9_12" localSheetId="9">'0571'!$A$23</definedName>
    <definedName name="_255_ESE_Level_5__Grade_Level_9_12" localSheetId="11">'1461'!$A$23</definedName>
    <definedName name="_255_ESE_Level_5__Grade_Level_9_12" localSheetId="12">'1571'!$A$23</definedName>
    <definedName name="_255_ESE_Level_5__Grade_Level_9_12" localSheetId="13">'2521'!$A$23</definedName>
    <definedName name="_255_ESE_Level_5__Grade_Level_9_12" localSheetId="14">'2531'!$A$23</definedName>
    <definedName name="_255_ESE_Level_5__Grade_Level_9_12" localSheetId="15">'2791'!$A$23</definedName>
    <definedName name="_255_ESE_Level_5__Grade_Level_9_12" localSheetId="16">'2801'!$A$23</definedName>
    <definedName name="_255_ESE_Level_5__Grade_Level_9_12" localSheetId="17">'2911'!$A$23</definedName>
    <definedName name="_255_ESE_Level_5__Grade_Level_9_12" localSheetId="18">'2941'!$A$23</definedName>
    <definedName name="_255_ESE_Level_5__Grade_Level_9_12" localSheetId="19">'3083'!$A$23</definedName>
    <definedName name="_255_ESE_Level_5__Grade_Level_9_12" localSheetId="20">'3345'!$A$23</definedName>
    <definedName name="_255_ESE_Level_5__Grade_Level_9_12" localSheetId="21">'3362'!$A$23</definedName>
    <definedName name="_255_ESE_Level_5__Grade_Level_9_12" localSheetId="22">'3381'!$A$23</definedName>
    <definedName name="_255_ESE_Level_5__Grade_Level_9_12" localSheetId="23">'3382'!$A$23</definedName>
    <definedName name="_255_ESE_Level_5__Grade_Level_9_12" localSheetId="24">'3391'!$A$23</definedName>
    <definedName name="_255_ESE_Level_5__Grade_Level_9_12" localSheetId="25">'3394'!$A$23</definedName>
    <definedName name="_255_ESE_Level_5__Grade_Level_9_12" localSheetId="26">'3395'!$A$23</definedName>
    <definedName name="_255_ESE_Level_5__Grade_Level_9_12" localSheetId="27">'3396'!$A$23</definedName>
    <definedName name="_255_ESE_Level_5__Grade_Level_9_12" localSheetId="28">'3398'!$A$23</definedName>
    <definedName name="_255_ESE_Level_5__Grade_Level_9_12" localSheetId="29">'3400'!$A$23</definedName>
    <definedName name="_255_ESE_Level_5__Grade_Level_9_12" localSheetId="30">'3401'!$A$23</definedName>
    <definedName name="_255_ESE_Level_5__Grade_Level_9_12" localSheetId="31">'3413'!$A$23</definedName>
    <definedName name="_255_ESE_Level_5__Grade_Level_9_12" localSheetId="32">'3421'!$A$23</definedName>
    <definedName name="_255_ESE_Level_5__Grade_Level_9_12" localSheetId="33">'3431'!$A$23</definedName>
    <definedName name="_255_ESE_Level_5__Grade_Level_9_12" localSheetId="34">'3441'!$A$23</definedName>
    <definedName name="_255_ESE_Level_5__Grade_Level_9_12" localSheetId="35">'3924'!$A$23</definedName>
    <definedName name="_255_ESE_Level_5__Grade_Level_9_12" localSheetId="36">'3941'!$A$23</definedName>
    <definedName name="_255_ESE_Level_5__Grade_Level_9_12" localSheetId="37">'3961'!$A$23</definedName>
    <definedName name="_255_ESE_Level_5__Grade_Level_9_12" localSheetId="38">'3971'!$A$23</definedName>
    <definedName name="_255_ESE_Level_5__Grade_Level_9_12" localSheetId="39">'4001'!$A$23</definedName>
    <definedName name="_255_ESE_Level_5__Grade_Level_9_12" localSheetId="40">'4002'!$A$23</definedName>
    <definedName name="_255_ESE_Level_5__Grade_Level_9_12" localSheetId="41">'4012'!$A$23</definedName>
    <definedName name="_255_ESE_Level_5__Grade_Level_9_12" localSheetId="42">'4013'!$A$23</definedName>
    <definedName name="_255_ESE_Level_5__Grade_Level_9_12" localSheetId="43">'4020'!$A$23</definedName>
    <definedName name="_255_ESE_Level_5__Grade_Level_9_12" localSheetId="44">'4030'!$A$23</definedName>
    <definedName name="_255_ESE_Level_5__Grade_Level_9_12" localSheetId="45">'4031'!$A$23</definedName>
    <definedName name="_255_ESE_Level_5__Grade_Level_9_12" localSheetId="46">'4041'!$A$23</definedName>
    <definedName name="_255_ESE_Level_5__Grade_Level_9_12" localSheetId="47">'4050'!$A$23</definedName>
    <definedName name="_255_ESE_Level_5__Grade_Level_9_12" localSheetId="48">'4051'!$A$23</definedName>
    <definedName name="_255_ESE_Level_5__Grade_Level_9_12" localSheetId="49">'4061'!$A$23</definedName>
    <definedName name="_255_ESE_Level_5__Grade_Level_9_12" localSheetId="50">'4080'!$A$23</definedName>
    <definedName name="_255_ESE_Level_5__Grade_Level_9_12" localSheetId="51">'4081'!$A$23</definedName>
    <definedName name="_255_ESE_Level_5__Grade_Level_9_12" localSheetId="52">'4090'!$A$23</definedName>
    <definedName name="_255_ESE_Level_5__Grade_Level_9_12" localSheetId="53">'4091'!$A$23</definedName>
    <definedName name="_255_ESE_Level_5__Grade_Level_9_12" localSheetId="54">'4100'!$A$23</definedName>
    <definedName name="_255_ESE_Level_5__Grade_Level_9_12" localSheetId="55">'4102'!$A$23</definedName>
    <definedName name="_255_ESE_Level_5__Grade_Level_9_12" localSheetId="56">'4103'!$A$23</definedName>
    <definedName name="_255_ESE_Level_5__Grade_Level_9_12" localSheetId="57">'4111'!$A$23</definedName>
    <definedName name="_255_ESE_Level_5__Grade_Level_9_12" localSheetId="58">'4131'!$A$23</definedName>
    <definedName name="_255_ESE_Level_5__Grade_Level_9_12" localSheetId="59">'4141'!$A$23</definedName>
    <definedName name="_255_ESE_Level_5__Grade_Level_9_12">'0040'!$A$23</definedName>
    <definedName name="_255_ESE_Level_5__Grade_Level_PK_3" localSheetId="10">'0100'!$A$21</definedName>
    <definedName name="_255_ESE_Level_5__Grade_Level_PK_3" localSheetId="9">'0571'!$A$21</definedName>
    <definedName name="_255_ESE_Level_5__Grade_Level_PK_3" localSheetId="11">'1461'!$A$21</definedName>
    <definedName name="_255_ESE_Level_5__Grade_Level_PK_3" localSheetId="12">'1571'!$A$21</definedName>
    <definedName name="_255_ESE_Level_5__Grade_Level_PK_3" localSheetId="13">'2521'!$A$21</definedName>
    <definedName name="_255_ESE_Level_5__Grade_Level_PK_3" localSheetId="14">'2531'!$A$21</definedName>
    <definedName name="_255_ESE_Level_5__Grade_Level_PK_3" localSheetId="15">'2791'!$A$21</definedName>
    <definedName name="_255_ESE_Level_5__Grade_Level_PK_3" localSheetId="16">'2801'!$A$21</definedName>
    <definedName name="_255_ESE_Level_5__Grade_Level_PK_3" localSheetId="17">'2911'!$A$21</definedName>
    <definedName name="_255_ESE_Level_5__Grade_Level_PK_3" localSheetId="18">'2941'!$A$21</definedName>
    <definedName name="_255_ESE_Level_5__Grade_Level_PK_3" localSheetId="19">'3083'!$A$21</definedName>
    <definedName name="_255_ESE_Level_5__Grade_Level_PK_3" localSheetId="20">'3345'!$A$21</definedName>
    <definedName name="_255_ESE_Level_5__Grade_Level_PK_3" localSheetId="21">'3362'!$A$21</definedName>
    <definedName name="_255_ESE_Level_5__Grade_Level_PK_3" localSheetId="22">'3381'!$A$21</definedName>
    <definedName name="_255_ESE_Level_5__Grade_Level_PK_3" localSheetId="23">'3382'!$A$21</definedName>
    <definedName name="_255_ESE_Level_5__Grade_Level_PK_3" localSheetId="24">'3391'!$A$21</definedName>
    <definedName name="_255_ESE_Level_5__Grade_Level_PK_3" localSheetId="25">'3394'!$A$21</definedName>
    <definedName name="_255_ESE_Level_5__Grade_Level_PK_3" localSheetId="26">'3395'!$A$21</definedName>
    <definedName name="_255_ESE_Level_5__Grade_Level_PK_3" localSheetId="27">'3396'!$A$21</definedName>
    <definedName name="_255_ESE_Level_5__Grade_Level_PK_3" localSheetId="28">'3398'!$A$21</definedName>
    <definedName name="_255_ESE_Level_5__Grade_Level_PK_3" localSheetId="29">'3400'!$A$21</definedName>
    <definedName name="_255_ESE_Level_5__Grade_Level_PK_3" localSheetId="30">'3401'!$A$21</definedName>
    <definedName name="_255_ESE_Level_5__Grade_Level_PK_3" localSheetId="31">'3413'!$A$21</definedName>
    <definedName name="_255_ESE_Level_5__Grade_Level_PK_3" localSheetId="32">'3421'!$A$21</definedName>
    <definedName name="_255_ESE_Level_5__Grade_Level_PK_3" localSheetId="33">'3431'!$A$21</definedName>
    <definedName name="_255_ESE_Level_5__Grade_Level_PK_3" localSheetId="34">'3441'!$A$21</definedName>
    <definedName name="_255_ESE_Level_5__Grade_Level_PK_3" localSheetId="35">'3924'!$A$21</definedName>
    <definedName name="_255_ESE_Level_5__Grade_Level_PK_3" localSheetId="36">'3941'!$A$21</definedName>
    <definedName name="_255_ESE_Level_5__Grade_Level_PK_3" localSheetId="37">'3961'!$A$21</definedName>
    <definedName name="_255_ESE_Level_5__Grade_Level_PK_3" localSheetId="38">'3971'!$A$21</definedName>
    <definedName name="_255_ESE_Level_5__Grade_Level_PK_3" localSheetId="39">'4001'!$A$21</definedName>
    <definedName name="_255_ESE_Level_5__Grade_Level_PK_3" localSheetId="40">'4002'!$A$21</definedName>
    <definedName name="_255_ESE_Level_5__Grade_Level_PK_3" localSheetId="41">'4012'!$A$21</definedName>
    <definedName name="_255_ESE_Level_5__Grade_Level_PK_3" localSheetId="42">'4013'!$A$21</definedName>
    <definedName name="_255_ESE_Level_5__Grade_Level_PK_3" localSheetId="43">'4020'!$A$21</definedName>
    <definedName name="_255_ESE_Level_5__Grade_Level_PK_3" localSheetId="44">'4030'!$A$21</definedName>
    <definedName name="_255_ESE_Level_5__Grade_Level_PK_3" localSheetId="45">'4031'!$A$21</definedName>
    <definedName name="_255_ESE_Level_5__Grade_Level_PK_3" localSheetId="46">'4041'!$A$21</definedName>
    <definedName name="_255_ESE_Level_5__Grade_Level_PK_3" localSheetId="47">'4050'!$A$21</definedName>
    <definedName name="_255_ESE_Level_5__Grade_Level_PK_3" localSheetId="48">'4051'!$A$21</definedName>
    <definedName name="_255_ESE_Level_5__Grade_Level_PK_3" localSheetId="49">'4061'!$A$21</definedName>
    <definedName name="_255_ESE_Level_5__Grade_Level_PK_3" localSheetId="50">'4080'!$A$21</definedName>
    <definedName name="_255_ESE_Level_5__Grade_Level_PK_3" localSheetId="51">'4081'!$A$21</definedName>
    <definedName name="_255_ESE_Level_5__Grade_Level_PK_3" localSheetId="52">'4090'!$A$21</definedName>
    <definedName name="_255_ESE_Level_5__Grade_Level_PK_3" localSheetId="53">'4091'!$A$21</definedName>
    <definedName name="_255_ESE_Level_5__Grade_Level_PK_3" localSheetId="54">'4100'!$A$21</definedName>
    <definedName name="_255_ESE_Level_5__Grade_Level_PK_3" localSheetId="55">'4102'!$A$21</definedName>
    <definedName name="_255_ESE_Level_5__Grade_Level_PK_3" localSheetId="56">'4103'!$A$21</definedName>
    <definedName name="_255_ESE_Level_5__Grade_Level_PK_3" localSheetId="57">'4111'!$A$21</definedName>
    <definedName name="_255_ESE_Level_5__Grade_Level_PK_3" localSheetId="58">'4131'!$A$21</definedName>
    <definedName name="_255_ESE_Level_5__Grade_Level_PK_3" localSheetId="59">'4141'!$A$21</definedName>
    <definedName name="_255_ESE_Level_5__Grade_Level_PK_3">'0040'!$A$21</definedName>
    <definedName name="_3.__Supplemental_Academic_Instruction" localSheetId="10">'0100'!#REF!</definedName>
    <definedName name="_3.__Supplemental_Academic_Instruction" localSheetId="9">'0571'!#REF!</definedName>
    <definedName name="_3.__Supplemental_Academic_Instruction" localSheetId="11">'1461'!#REF!</definedName>
    <definedName name="_3.__Supplemental_Academic_Instruction" localSheetId="12">'1571'!#REF!</definedName>
    <definedName name="_3.__Supplemental_Academic_Instruction" localSheetId="13">'2521'!#REF!</definedName>
    <definedName name="_3.__Supplemental_Academic_Instruction" localSheetId="14">'2531'!#REF!</definedName>
    <definedName name="_3.__Supplemental_Academic_Instruction" localSheetId="15">'2791'!#REF!</definedName>
    <definedName name="_3.__Supplemental_Academic_Instruction" localSheetId="16">'2801'!#REF!</definedName>
    <definedName name="_3.__Supplemental_Academic_Instruction" localSheetId="17">'2911'!#REF!</definedName>
    <definedName name="_3.__Supplemental_Academic_Instruction" localSheetId="18">'2941'!#REF!</definedName>
    <definedName name="_3.__Supplemental_Academic_Instruction" localSheetId="19">'3083'!#REF!</definedName>
    <definedName name="_3.__Supplemental_Academic_Instruction" localSheetId="20">'3345'!#REF!</definedName>
    <definedName name="_3.__Supplemental_Academic_Instruction" localSheetId="21">'3362'!#REF!</definedName>
    <definedName name="_3.__Supplemental_Academic_Instruction" localSheetId="22">'3381'!#REF!</definedName>
    <definedName name="_3.__Supplemental_Academic_Instruction" localSheetId="23">'3382'!#REF!</definedName>
    <definedName name="_3.__Supplemental_Academic_Instruction" localSheetId="24">'3391'!#REF!</definedName>
    <definedName name="_3.__Supplemental_Academic_Instruction" localSheetId="25">'3394'!#REF!</definedName>
    <definedName name="_3.__Supplemental_Academic_Instruction" localSheetId="26">'3395'!#REF!</definedName>
    <definedName name="_3.__Supplemental_Academic_Instruction" localSheetId="27">'3396'!#REF!</definedName>
    <definedName name="_3.__Supplemental_Academic_Instruction" localSheetId="28">'3398'!#REF!</definedName>
    <definedName name="_3.__Supplemental_Academic_Instruction" localSheetId="29">'3400'!#REF!</definedName>
    <definedName name="_3.__Supplemental_Academic_Instruction" localSheetId="30">'3401'!#REF!</definedName>
    <definedName name="_3.__Supplemental_Academic_Instruction" localSheetId="31">'3413'!#REF!</definedName>
    <definedName name="_3.__Supplemental_Academic_Instruction" localSheetId="32">'3421'!#REF!</definedName>
    <definedName name="_3.__Supplemental_Academic_Instruction" localSheetId="33">'3431'!#REF!</definedName>
    <definedName name="_3.__Supplemental_Academic_Instruction" localSheetId="34">'3441'!#REF!</definedName>
    <definedName name="_3.__Supplemental_Academic_Instruction" localSheetId="35">'3924'!#REF!</definedName>
    <definedName name="_3.__Supplemental_Academic_Instruction" localSheetId="36">'3941'!#REF!</definedName>
    <definedName name="_3.__Supplemental_Academic_Instruction" localSheetId="37">'3961'!#REF!</definedName>
    <definedName name="_3.__Supplemental_Academic_Instruction" localSheetId="38">'3971'!#REF!</definedName>
    <definedName name="_3.__Supplemental_Academic_Instruction" localSheetId="39">'4001'!#REF!</definedName>
    <definedName name="_3.__Supplemental_Academic_Instruction" localSheetId="40">'4002'!#REF!</definedName>
    <definedName name="_3.__Supplemental_Academic_Instruction" localSheetId="41">'4012'!#REF!</definedName>
    <definedName name="_3.__Supplemental_Academic_Instruction" localSheetId="42">'4013'!#REF!</definedName>
    <definedName name="_3.__Supplemental_Academic_Instruction" localSheetId="43">'4020'!#REF!</definedName>
    <definedName name="_3.__Supplemental_Academic_Instruction" localSheetId="44">'4030'!#REF!</definedName>
    <definedName name="_3.__Supplemental_Academic_Instruction" localSheetId="45">'4031'!#REF!</definedName>
    <definedName name="_3.__Supplemental_Academic_Instruction" localSheetId="46">'4041'!#REF!</definedName>
    <definedName name="_3.__Supplemental_Academic_Instruction" localSheetId="47">'4050'!#REF!</definedName>
    <definedName name="_3.__Supplemental_Academic_Instruction" localSheetId="48">'4051'!#REF!</definedName>
    <definedName name="_3.__Supplemental_Academic_Instruction" localSheetId="49">'4061'!#REF!</definedName>
    <definedName name="_3.__Supplemental_Academic_Instruction" localSheetId="50">'4080'!#REF!</definedName>
    <definedName name="_3.__Supplemental_Academic_Instruction" localSheetId="51">'4081'!#REF!</definedName>
    <definedName name="_3.__Supplemental_Academic_Instruction" localSheetId="52">'4090'!#REF!</definedName>
    <definedName name="_3.__Supplemental_Academic_Instruction" localSheetId="53">'4091'!#REF!</definedName>
    <definedName name="_3.__Supplemental_Academic_Instruction" localSheetId="54">'4100'!#REF!</definedName>
    <definedName name="_3.__Supplemental_Academic_Instruction" localSheetId="55">'4102'!#REF!</definedName>
    <definedName name="_3.__Supplemental_Academic_Instruction" localSheetId="56">'4103'!#REF!</definedName>
    <definedName name="_3.__Supplemental_Academic_Instruction" localSheetId="57">'4111'!#REF!</definedName>
    <definedName name="_3.__Supplemental_Academic_Instruction" localSheetId="58">'4131'!#REF!</definedName>
    <definedName name="_3.__Supplemental_Academic_Instruction" localSheetId="59">'4141'!#REF!</definedName>
    <definedName name="_300_Career_Education__Grades_9_12" localSheetId="10">'0100'!$A$27</definedName>
    <definedName name="_300_Career_Education__Grades_9_12" localSheetId="9">'0571'!$A$27</definedName>
    <definedName name="_300_Career_Education__Grades_9_12" localSheetId="11">'1461'!$A$27</definedName>
    <definedName name="_300_Career_Education__Grades_9_12" localSheetId="12">'1571'!$A$27</definedName>
    <definedName name="_300_Career_Education__Grades_9_12" localSheetId="13">'2521'!$A$27</definedName>
    <definedName name="_300_Career_Education__Grades_9_12" localSheetId="14">'2531'!$A$27</definedName>
    <definedName name="_300_Career_Education__Grades_9_12" localSheetId="15">'2791'!$A$27</definedName>
    <definedName name="_300_Career_Education__Grades_9_12" localSheetId="16">'2801'!$A$27</definedName>
    <definedName name="_300_Career_Education__Grades_9_12" localSheetId="17">'2911'!$A$27</definedName>
    <definedName name="_300_Career_Education__Grades_9_12" localSheetId="18">'2941'!$A$27</definedName>
    <definedName name="_300_Career_Education__Grades_9_12" localSheetId="19">'3083'!$A$27</definedName>
    <definedName name="_300_Career_Education__Grades_9_12" localSheetId="20">'3345'!$A$27</definedName>
    <definedName name="_300_Career_Education__Grades_9_12" localSheetId="21">'3362'!$A$27</definedName>
    <definedName name="_300_Career_Education__Grades_9_12" localSheetId="22">'3381'!$A$27</definedName>
    <definedName name="_300_Career_Education__Grades_9_12" localSheetId="23">'3382'!$A$27</definedName>
    <definedName name="_300_Career_Education__Grades_9_12" localSheetId="24">'3391'!$A$27</definedName>
    <definedName name="_300_Career_Education__Grades_9_12" localSheetId="25">'3394'!$A$27</definedName>
    <definedName name="_300_Career_Education__Grades_9_12" localSheetId="26">'3395'!$A$27</definedName>
    <definedName name="_300_Career_Education__Grades_9_12" localSheetId="27">'3396'!$A$27</definedName>
    <definedName name="_300_Career_Education__Grades_9_12" localSheetId="28">'3398'!$A$27</definedName>
    <definedName name="_300_Career_Education__Grades_9_12" localSheetId="29">'3400'!$A$27</definedName>
    <definedName name="_300_Career_Education__Grades_9_12" localSheetId="30">'3401'!$A$27</definedName>
    <definedName name="_300_Career_Education__Grades_9_12" localSheetId="31">'3413'!$A$27</definedName>
    <definedName name="_300_Career_Education__Grades_9_12" localSheetId="32">'3421'!$A$27</definedName>
    <definedName name="_300_Career_Education__Grades_9_12" localSheetId="33">'3431'!$A$27</definedName>
    <definedName name="_300_Career_Education__Grades_9_12" localSheetId="34">'3441'!$A$27</definedName>
    <definedName name="_300_Career_Education__Grades_9_12" localSheetId="35">'3924'!$A$27</definedName>
    <definedName name="_300_Career_Education__Grades_9_12" localSheetId="36">'3941'!$A$27</definedName>
    <definedName name="_300_Career_Education__Grades_9_12" localSheetId="37">'3961'!$A$27</definedName>
    <definedName name="_300_Career_Education__Grades_9_12" localSheetId="38">'3971'!$A$27</definedName>
    <definedName name="_300_Career_Education__Grades_9_12" localSheetId="39">'4001'!$A$27</definedName>
    <definedName name="_300_Career_Education__Grades_9_12" localSheetId="40">'4002'!$A$27</definedName>
    <definedName name="_300_Career_Education__Grades_9_12" localSheetId="41">'4012'!$A$27</definedName>
    <definedName name="_300_Career_Education__Grades_9_12" localSheetId="42">'4013'!$A$27</definedName>
    <definedName name="_300_Career_Education__Grades_9_12" localSheetId="43">'4020'!$A$27</definedName>
    <definedName name="_300_Career_Education__Grades_9_12" localSheetId="44">'4030'!$A$27</definedName>
    <definedName name="_300_Career_Education__Grades_9_12" localSheetId="45">'4031'!$A$27</definedName>
    <definedName name="_300_Career_Education__Grades_9_12" localSheetId="46">'4041'!$A$27</definedName>
    <definedName name="_300_Career_Education__Grades_9_12" localSheetId="47">'4050'!$A$27</definedName>
    <definedName name="_300_Career_Education__Grades_9_12" localSheetId="48">'4051'!$A$27</definedName>
    <definedName name="_300_Career_Education__Grades_9_12" localSheetId="49">'4061'!$A$27</definedName>
    <definedName name="_300_Career_Education__Grades_9_12" localSheetId="50">'4080'!$A$27</definedName>
    <definedName name="_300_Career_Education__Grades_9_12" localSheetId="51">'4081'!$A$27</definedName>
    <definedName name="_300_Career_Education__Grades_9_12" localSheetId="52">'4090'!$A$27</definedName>
    <definedName name="_300_Career_Education__Grades_9_12" localSheetId="53">'4091'!$A$27</definedName>
    <definedName name="_300_Career_Education__Grades_9_12" localSheetId="54">'4100'!$A$27</definedName>
    <definedName name="_300_Career_Education__Grades_9_12" localSheetId="55">'4102'!$A$27</definedName>
    <definedName name="_300_Career_Education__Grades_9_12" localSheetId="56">'4103'!$A$27</definedName>
    <definedName name="_300_Career_Education__Grades_9_12" localSheetId="57">'4111'!$A$27</definedName>
    <definedName name="_300_Career_Education__Grades_9_12" localSheetId="58">'4131'!$A$27</definedName>
    <definedName name="_300_Career_Education__Grades_9_12" localSheetId="59">'4141'!$A$27</definedName>
    <definedName name="_300_Career_Education__Grades_9_12">'0040'!$A$27</definedName>
    <definedName name="_4_8" localSheetId="10">'0100'!$A$91</definedName>
    <definedName name="_4_8" localSheetId="9">'0571'!$A$91</definedName>
    <definedName name="_4_8" localSheetId="11">'1461'!$A$91</definedName>
    <definedName name="_4_8" localSheetId="12">'1571'!$A$91</definedName>
    <definedName name="_4_8" localSheetId="13">'2521'!$A$91</definedName>
    <definedName name="_4_8" localSheetId="14">'2531'!$A$91</definedName>
    <definedName name="_4_8" localSheetId="15">'2791'!$A$91</definedName>
    <definedName name="_4_8" localSheetId="16">'2801'!$A$91</definedName>
    <definedName name="_4_8" localSheetId="17">'2911'!$A$91</definedName>
    <definedName name="_4_8" localSheetId="18">'2941'!$A$91</definedName>
    <definedName name="_4_8" localSheetId="19">'3083'!$A$91</definedName>
    <definedName name="_4_8" localSheetId="20">'3345'!$A$91</definedName>
    <definedName name="_4_8" localSheetId="21">'3362'!$A$91</definedName>
    <definedName name="_4_8" localSheetId="22">'3381'!$A$91</definedName>
    <definedName name="_4_8" localSheetId="23">'3382'!$A$91</definedName>
    <definedName name="_4_8" localSheetId="24">'3391'!$A$91</definedName>
    <definedName name="_4_8" localSheetId="25">'3394'!$A$91</definedName>
    <definedName name="_4_8" localSheetId="26">'3395'!$A$91</definedName>
    <definedName name="_4_8" localSheetId="27">'3396'!$A$91</definedName>
    <definedName name="_4_8" localSheetId="28">'3398'!$A$91</definedName>
    <definedName name="_4_8" localSheetId="29">'3400'!$A$91</definedName>
    <definedName name="_4_8" localSheetId="30">'3401'!$A$91</definedName>
    <definedName name="_4_8" localSheetId="31">'3413'!$A$91</definedName>
    <definedName name="_4_8" localSheetId="32">'3421'!$A$91</definedName>
    <definedName name="_4_8" localSheetId="33">'3431'!$A$91</definedName>
    <definedName name="_4_8" localSheetId="34">'3441'!$A$91</definedName>
    <definedName name="_4_8" localSheetId="35">'3924'!$A$91</definedName>
    <definedName name="_4_8" localSheetId="36">'3941'!$A$91</definedName>
    <definedName name="_4_8" localSheetId="37">'3961'!$A$91</definedName>
    <definedName name="_4_8" localSheetId="38">'3971'!$A$91</definedName>
    <definedName name="_4_8" localSheetId="39">'4001'!$A$91</definedName>
    <definedName name="_4_8" localSheetId="40">'4002'!$A$91</definedName>
    <definedName name="_4_8" localSheetId="41">'4012'!$A$91</definedName>
    <definedName name="_4_8" localSheetId="42">'4013'!$A$91</definedName>
    <definedName name="_4_8" localSheetId="43">'4020'!$A$91</definedName>
    <definedName name="_4_8" localSheetId="44">'4030'!$A$91</definedName>
    <definedName name="_4_8" localSheetId="45">'4031'!$A$91</definedName>
    <definedName name="_4_8" localSheetId="46">'4041'!$A$91</definedName>
    <definedName name="_4_8" localSheetId="47">'4050'!$A$91</definedName>
    <definedName name="_4_8" localSheetId="48">'4051'!$A$91</definedName>
    <definedName name="_4_8" localSheetId="49">'4061'!$A$91</definedName>
    <definedName name="_4_8" localSheetId="50">'4080'!$A$91</definedName>
    <definedName name="_4_8" localSheetId="51">'4081'!$A$91</definedName>
    <definedName name="_4_8" localSheetId="52">'4090'!$A$91</definedName>
    <definedName name="_4_8" localSheetId="53">'4091'!$A$91</definedName>
    <definedName name="_4_8" localSheetId="54">'4100'!$A$91</definedName>
    <definedName name="_4_8" localSheetId="55">'4102'!$A$91</definedName>
    <definedName name="_4_8" localSheetId="56">'4103'!$A$91</definedName>
    <definedName name="_4_8" localSheetId="57">'4111'!$A$91</definedName>
    <definedName name="_4_8" localSheetId="58">'4131'!$A$91</definedName>
    <definedName name="_4_8" localSheetId="59">'4141'!$A$91</definedName>
    <definedName name="_4_8">'0040'!$A$91</definedName>
    <definedName name="_9_12" localSheetId="10">'0100'!$A$92</definedName>
    <definedName name="_9_12" localSheetId="9">'0571'!$A$92</definedName>
    <definedName name="_9_12" localSheetId="11">'1461'!$A$92</definedName>
    <definedName name="_9_12" localSheetId="12">'1571'!$A$92</definedName>
    <definedName name="_9_12" localSheetId="13">'2521'!$A$92</definedName>
    <definedName name="_9_12" localSheetId="14">'2531'!$A$92</definedName>
    <definedName name="_9_12" localSheetId="15">'2791'!$A$92</definedName>
    <definedName name="_9_12" localSheetId="16">'2801'!$A$92</definedName>
    <definedName name="_9_12" localSheetId="17">'2911'!$A$92</definedName>
    <definedName name="_9_12" localSheetId="18">'2941'!$A$92</definedName>
    <definedName name="_9_12" localSheetId="19">'3083'!$A$92</definedName>
    <definedName name="_9_12" localSheetId="20">'3345'!$A$92</definedName>
    <definedName name="_9_12" localSheetId="21">'3362'!$A$92</definedName>
    <definedName name="_9_12" localSheetId="22">'3381'!$A$92</definedName>
    <definedName name="_9_12" localSheetId="23">'3382'!$A$92</definedName>
    <definedName name="_9_12" localSheetId="24">'3391'!$A$92</definedName>
    <definedName name="_9_12" localSheetId="25">'3394'!$A$92</definedName>
    <definedName name="_9_12" localSheetId="26">'3395'!$A$92</definedName>
    <definedName name="_9_12" localSheetId="27">'3396'!$A$92</definedName>
    <definedName name="_9_12" localSheetId="28">'3398'!$A$92</definedName>
    <definedName name="_9_12" localSheetId="29">'3400'!$A$92</definedName>
    <definedName name="_9_12" localSheetId="30">'3401'!$A$92</definedName>
    <definedName name="_9_12" localSheetId="31">'3413'!$A$92</definedName>
    <definedName name="_9_12" localSheetId="32">'3421'!$A$92</definedName>
    <definedName name="_9_12" localSheetId="33">'3431'!$A$92</definedName>
    <definedName name="_9_12" localSheetId="34">'3441'!$A$92</definedName>
    <definedName name="_9_12" localSheetId="35">'3924'!$A$92</definedName>
    <definedName name="_9_12" localSheetId="36">'3941'!$A$92</definedName>
    <definedName name="_9_12" localSheetId="37">'3961'!$A$92</definedName>
    <definedName name="_9_12" localSheetId="38">'3971'!$A$92</definedName>
    <definedName name="_9_12" localSheetId="39">'4001'!$A$92</definedName>
    <definedName name="_9_12" localSheetId="40">'4002'!$A$92</definedName>
    <definedName name="_9_12" localSheetId="41">'4012'!$A$92</definedName>
    <definedName name="_9_12" localSheetId="42">'4013'!$A$92</definedName>
    <definedName name="_9_12" localSheetId="43">'4020'!$A$92</definedName>
    <definedName name="_9_12" localSheetId="44">'4030'!$A$92</definedName>
    <definedName name="_9_12" localSheetId="45">'4031'!$A$92</definedName>
    <definedName name="_9_12" localSheetId="46">'4041'!$A$92</definedName>
    <definedName name="_9_12" localSheetId="47">'4050'!$A$92</definedName>
    <definedName name="_9_12" localSheetId="48">'4051'!$A$92</definedName>
    <definedName name="_9_12" localSheetId="49">'4061'!$A$92</definedName>
    <definedName name="_9_12" localSheetId="50">'4080'!$A$92</definedName>
    <definedName name="_9_12" localSheetId="51">'4081'!$A$92</definedName>
    <definedName name="_9_12" localSheetId="52">'4090'!$A$92</definedName>
    <definedName name="_9_12" localSheetId="53">'4091'!$A$92</definedName>
    <definedName name="_9_12" localSheetId="54">'4100'!$A$92</definedName>
    <definedName name="_9_12" localSheetId="55">'4102'!$A$92</definedName>
    <definedName name="_9_12" localSheetId="56">'4103'!$A$92</definedName>
    <definedName name="_9_12" localSheetId="57">'4111'!$A$92</definedName>
    <definedName name="_9_12" localSheetId="58">'4131'!$A$92</definedName>
    <definedName name="_9_12" localSheetId="59">'4141'!$A$92</definedName>
    <definedName name="_9_12">'0040'!$A$92</definedName>
    <definedName name="_Add_On_FTE" localSheetId="10">'0100'!#REF!</definedName>
    <definedName name="_Add_On_FTE" localSheetId="9">'0571'!#REF!</definedName>
    <definedName name="_Add_On_FTE" localSheetId="11">'1461'!#REF!</definedName>
    <definedName name="_Add_On_FTE" localSheetId="12">'1571'!#REF!</definedName>
    <definedName name="_Add_On_FTE" localSheetId="13">'2521'!#REF!</definedName>
    <definedName name="_Add_On_FTE" localSheetId="14">'2531'!#REF!</definedName>
    <definedName name="_Add_On_FTE" localSheetId="15">'2791'!#REF!</definedName>
    <definedName name="_Add_On_FTE" localSheetId="16">'2801'!#REF!</definedName>
    <definedName name="_Add_On_FTE" localSheetId="17">'2911'!#REF!</definedName>
    <definedName name="_Add_On_FTE" localSheetId="18">'2941'!#REF!</definedName>
    <definedName name="_Add_On_FTE" localSheetId="19">'3083'!#REF!</definedName>
    <definedName name="_Add_On_FTE" localSheetId="20">'3345'!#REF!</definedName>
    <definedName name="_Add_On_FTE" localSheetId="21">'3362'!#REF!</definedName>
    <definedName name="_Add_On_FTE" localSheetId="22">'3381'!#REF!</definedName>
    <definedName name="_Add_On_FTE" localSheetId="23">'3382'!#REF!</definedName>
    <definedName name="_Add_On_FTE" localSheetId="24">'3391'!#REF!</definedName>
    <definedName name="_Add_On_FTE" localSheetId="25">'3394'!#REF!</definedName>
    <definedName name="_Add_On_FTE" localSheetId="26">'3395'!#REF!</definedName>
    <definedName name="_Add_On_FTE" localSheetId="27">'3396'!#REF!</definedName>
    <definedName name="_Add_On_FTE" localSheetId="28">'3398'!#REF!</definedName>
    <definedName name="_Add_On_FTE" localSheetId="29">'3400'!#REF!</definedName>
    <definedName name="_Add_On_FTE" localSheetId="30">'3401'!#REF!</definedName>
    <definedName name="_Add_On_FTE" localSheetId="31">'3413'!#REF!</definedName>
    <definedName name="_Add_On_FTE" localSheetId="32">'3421'!#REF!</definedName>
    <definedName name="_Add_On_FTE" localSheetId="33">'3431'!#REF!</definedName>
    <definedName name="_Add_On_FTE" localSheetId="34">'3441'!#REF!</definedName>
    <definedName name="_Add_On_FTE" localSheetId="35">'3924'!#REF!</definedName>
    <definedName name="_Add_On_FTE" localSheetId="36">'3941'!#REF!</definedName>
    <definedName name="_Add_On_FTE" localSheetId="37">'3961'!#REF!</definedName>
    <definedName name="_Add_On_FTE" localSheetId="38">'3971'!#REF!</definedName>
    <definedName name="_Add_On_FTE" localSheetId="39">'4001'!#REF!</definedName>
    <definedName name="_Add_On_FTE" localSheetId="40">'4002'!#REF!</definedName>
    <definedName name="_Add_On_FTE" localSheetId="41">'4012'!#REF!</definedName>
    <definedName name="_Add_On_FTE" localSheetId="42">'4013'!#REF!</definedName>
    <definedName name="_Add_On_FTE" localSheetId="43">'4020'!#REF!</definedName>
    <definedName name="_Add_On_FTE" localSheetId="44">'4030'!#REF!</definedName>
    <definedName name="_Add_On_FTE" localSheetId="45">'4031'!#REF!</definedName>
    <definedName name="_Add_On_FTE" localSheetId="46">'4041'!#REF!</definedName>
    <definedName name="_Add_On_FTE" localSheetId="47">'4050'!#REF!</definedName>
    <definedName name="_Add_On_FTE" localSheetId="48">'4051'!#REF!</definedName>
    <definedName name="_Add_On_FTE" localSheetId="49">'4061'!#REF!</definedName>
    <definedName name="_Add_On_FTE" localSheetId="50">'4080'!#REF!</definedName>
    <definedName name="_Add_On_FTE" localSheetId="51">'4081'!#REF!</definedName>
    <definedName name="_Add_On_FTE" localSheetId="52">'4090'!#REF!</definedName>
    <definedName name="_Add_On_FTE" localSheetId="53">'4091'!#REF!</definedName>
    <definedName name="_Add_On_FTE" localSheetId="54">'4100'!#REF!</definedName>
    <definedName name="_Add_On_FTE" localSheetId="55">'4102'!#REF!</definedName>
    <definedName name="_Add_On_FTE" localSheetId="56">'4103'!#REF!</definedName>
    <definedName name="_Add_On_FTE" localSheetId="57">'4111'!#REF!</definedName>
    <definedName name="_Add_On_FTE" localSheetId="58">'4131'!#REF!</definedName>
    <definedName name="_Add_On_FTE" localSheetId="59">'4141'!#REF!</definedName>
    <definedName name="_xlnm._FilterDatabase" localSheetId="2" hidden="1">'Annual Rev &amp; Fees'!$A$5:$R$57</definedName>
    <definedName name="_xlnm._FilterDatabase" localSheetId="3" hidden="1">'Charter Schools'!$E$4:$F$4</definedName>
    <definedName name="_xlnm._FilterDatabase" localSheetId="1" hidden="1">'Net Payment'!$A$4:$G$6</definedName>
    <definedName name="a1M2">'0040'!$M$2</definedName>
    <definedName name="Add_On_FTE" localSheetId="10">'0100'!#REF!</definedName>
    <definedName name="Add_On_FTE" localSheetId="9">'0571'!#REF!</definedName>
    <definedName name="Add_On_FTE" localSheetId="11">'1461'!#REF!</definedName>
    <definedName name="Add_On_FTE" localSheetId="12">'1571'!#REF!</definedName>
    <definedName name="Add_On_FTE" localSheetId="13">'2521'!#REF!</definedName>
    <definedName name="Add_On_FTE" localSheetId="14">'2531'!#REF!</definedName>
    <definedName name="Add_On_FTE" localSheetId="15">'2791'!#REF!</definedName>
    <definedName name="Add_On_FTE" localSheetId="16">'2801'!#REF!</definedName>
    <definedName name="Add_On_FTE" localSheetId="17">'2911'!#REF!</definedName>
    <definedName name="Add_On_FTE" localSheetId="18">'2941'!#REF!</definedName>
    <definedName name="Add_On_FTE" localSheetId="19">'3083'!#REF!</definedName>
    <definedName name="Add_On_FTE" localSheetId="20">'3345'!#REF!</definedName>
    <definedName name="Add_On_FTE" localSheetId="21">'3362'!#REF!</definedName>
    <definedName name="Add_On_FTE" localSheetId="22">'3381'!#REF!</definedName>
    <definedName name="Add_On_FTE" localSheetId="23">'3382'!#REF!</definedName>
    <definedName name="Add_On_FTE" localSheetId="24">'3391'!#REF!</definedName>
    <definedName name="Add_On_FTE" localSheetId="25">'3394'!#REF!</definedName>
    <definedName name="Add_On_FTE" localSheetId="26">'3395'!#REF!</definedName>
    <definedName name="Add_On_FTE" localSheetId="27">'3396'!#REF!</definedName>
    <definedName name="Add_On_FTE" localSheetId="28">'3398'!#REF!</definedName>
    <definedName name="Add_On_FTE" localSheetId="29">'3400'!#REF!</definedName>
    <definedName name="Add_On_FTE" localSheetId="30">'3401'!#REF!</definedName>
    <definedName name="Add_On_FTE" localSheetId="31">'3413'!#REF!</definedName>
    <definedName name="Add_On_FTE" localSheetId="32">'3421'!#REF!</definedName>
    <definedName name="Add_On_FTE" localSheetId="33">'3431'!#REF!</definedName>
    <definedName name="Add_On_FTE" localSheetId="34">'3441'!#REF!</definedName>
    <definedName name="Add_On_FTE" localSheetId="35">'3924'!#REF!</definedName>
    <definedName name="Add_On_FTE" localSheetId="36">'3941'!#REF!</definedName>
    <definedName name="Add_On_FTE" localSheetId="37">'3961'!#REF!</definedName>
    <definedName name="Add_On_FTE" localSheetId="38">'3971'!#REF!</definedName>
    <definedName name="Add_On_FTE" localSheetId="39">'4001'!#REF!</definedName>
    <definedName name="Add_On_FTE" localSheetId="40">'4002'!#REF!</definedName>
    <definedName name="Add_On_FTE" localSheetId="41">'4012'!#REF!</definedName>
    <definedName name="Add_On_FTE" localSheetId="42">'4013'!#REF!</definedName>
    <definedName name="Add_On_FTE" localSheetId="43">'4020'!#REF!</definedName>
    <definedName name="Add_On_FTE" localSheetId="44">'4030'!#REF!</definedName>
    <definedName name="Add_On_FTE" localSheetId="45">'4031'!#REF!</definedName>
    <definedName name="Add_On_FTE" localSheetId="46">'4041'!#REF!</definedName>
    <definedName name="Add_On_FTE" localSheetId="47">'4050'!#REF!</definedName>
    <definedName name="Add_On_FTE" localSheetId="48">'4051'!#REF!</definedName>
    <definedName name="Add_On_FTE" localSheetId="49">'4061'!#REF!</definedName>
    <definedName name="Add_On_FTE" localSheetId="50">'4080'!#REF!</definedName>
    <definedName name="Add_On_FTE" localSheetId="51">'4081'!#REF!</definedName>
    <definedName name="Add_On_FTE" localSheetId="52">'4090'!#REF!</definedName>
    <definedName name="Add_On_FTE" localSheetId="53">'4091'!#REF!</definedName>
    <definedName name="Add_On_FTE" localSheetId="54">'4100'!#REF!</definedName>
    <definedName name="Add_On_FTE" localSheetId="55">'4102'!#REF!</definedName>
    <definedName name="Add_On_FTE" localSheetId="56">'4103'!#REF!</definedName>
    <definedName name="Add_On_FTE" localSheetId="57">'4111'!#REF!</definedName>
    <definedName name="Add_On_FTE" localSheetId="58">'4131'!#REF!</definedName>
    <definedName name="Add_On_FTE" localSheetId="59">'4141'!#REF!</definedName>
    <definedName name="Allocation_factors" localSheetId="10">'0100'!$G$89</definedName>
    <definedName name="Allocation_factors" localSheetId="9">'0571'!$G$89</definedName>
    <definedName name="Allocation_factors" localSheetId="11">'1461'!$G$89</definedName>
    <definedName name="Allocation_factors" localSheetId="12">'1571'!$G$89</definedName>
    <definedName name="Allocation_factors" localSheetId="13">'2521'!$G$89</definedName>
    <definedName name="Allocation_factors" localSheetId="14">'2531'!$G$89</definedName>
    <definedName name="Allocation_factors" localSheetId="15">'2791'!$G$89</definedName>
    <definedName name="Allocation_factors" localSheetId="16">'2801'!$G$89</definedName>
    <definedName name="Allocation_factors" localSheetId="17">'2911'!$G$89</definedName>
    <definedName name="Allocation_factors" localSheetId="18">'2941'!$G$89</definedName>
    <definedName name="Allocation_factors" localSheetId="19">'3083'!$G$89</definedName>
    <definedName name="Allocation_factors" localSheetId="20">'3345'!$G$89</definedName>
    <definedName name="Allocation_factors" localSheetId="21">'3362'!$G$89</definedName>
    <definedName name="Allocation_factors" localSheetId="22">'3381'!$G$89</definedName>
    <definedName name="Allocation_factors" localSheetId="23">'3382'!$G$89</definedName>
    <definedName name="Allocation_factors" localSheetId="24">'3391'!$G$89</definedName>
    <definedName name="Allocation_factors" localSheetId="25">'3394'!$G$89</definedName>
    <definedName name="Allocation_factors" localSheetId="26">'3395'!$G$89</definedName>
    <definedName name="Allocation_factors" localSheetId="27">'3396'!$G$89</definedName>
    <definedName name="Allocation_factors" localSheetId="28">'3398'!$G$89</definedName>
    <definedName name="Allocation_factors" localSheetId="29">'3400'!$G$89</definedName>
    <definedName name="Allocation_factors" localSheetId="30">'3401'!$G$89</definedName>
    <definedName name="Allocation_factors" localSheetId="31">'3413'!$G$89</definedName>
    <definedName name="Allocation_factors" localSheetId="32">'3421'!$G$89</definedName>
    <definedName name="Allocation_factors" localSheetId="33">'3431'!$G$89</definedName>
    <definedName name="Allocation_factors" localSheetId="34">'3441'!$G$89</definedName>
    <definedName name="Allocation_factors" localSheetId="35">'3924'!$G$89</definedName>
    <definedName name="Allocation_factors" localSheetId="36">'3941'!$G$89</definedName>
    <definedName name="Allocation_factors" localSheetId="37">'3961'!$G$89</definedName>
    <definedName name="Allocation_factors" localSheetId="38">'3971'!$G$89</definedName>
    <definedName name="Allocation_factors" localSheetId="39">'4001'!$G$89</definedName>
    <definedName name="Allocation_factors" localSheetId="40">'4002'!$G$89</definedName>
    <definedName name="Allocation_factors" localSheetId="41">'4012'!$G$89</definedName>
    <definedName name="Allocation_factors" localSheetId="42">'4013'!$G$89</definedName>
    <definedName name="Allocation_factors" localSheetId="43">'4020'!$G$89</definedName>
    <definedName name="Allocation_factors" localSheetId="44">'4030'!$G$89</definedName>
    <definedName name="Allocation_factors" localSheetId="45">'4031'!$G$89</definedName>
    <definedName name="Allocation_factors" localSheetId="46">'4041'!$G$89</definedName>
    <definedName name="Allocation_factors" localSheetId="47">'4050'!$G$89</definedName>
    <definedName name="Allocation_factors" localSheetId="48">'4051'!$G$89</definedName>
    <definedName name="Allocation_factors" localSheetId="49">'4061'!$G$89</definedName>
    <definedName name="Allocation_factors" localSheetId="50">'4080'!$G$89</definedName>
    <definedName name="Allocation_factors" localSheetId="51">'4081'!$G$89</definedName>
    <definedName name="Allocation_factors" localSheetId="52">'4090'!$G$89</definedName>
    <definedName name="Allocation_factors" localSheetId="53">'4091'!$G$89</definedName>
    <definedName name="Allocation_factors" localSheetId="54">'4100'!$G$89</definedName>
    <definedName name="Allocation_factors" localSheetId="55">'4102'!$G$89</definedName>
    <definedName name="Allocation_factors" localSheetId="56">'4103'!$G$89</definedName>
    <definedName name="Allocation_factors" localSheetId="57">'4111'!$G$89</definedName>
    <definedName name="Allocation_factors" localSheetId="58">'4131'!$G$89</definedName>
    <definedName name="Allocation_factors" localSheetId="59">'4141'!$G$89</definedName>
    <definedName name="Allocation_factors">'0040'!$G$89</definedName>
    <definedName name="Base_Student_Allocation" localSheetId="10">'0100'!$A$6</definedName>
    <definedName name="Base_Student_Allocation" localSheetId="9">'0571'!$A$6</definedName>
    <definedName name="Base_Student_Allocation" localSheetId="11">'1461'!$A$6</definedName>
    <definedName name="Base_Student_Allocation" localSheetId="12">'1571'!$A$6</definedName>
    <definedName name="Base_Student_Allocation" localSheetId="13">'2521'!$A$6</definedName>
    <definedName name="Base_Student_Allocation" localSheetId="14">'2531'!$A$6</definedName>
    <definedName name="Base_Student_Allocation" localSheetId="15">'2791'!$A$6</definedName>
    <definedName name="Base_Student_Allocation" localSheetId="16">'2801'!$A$6</definedName>
    <definedName name="Base_Student_Allocation" localSheetId="17">'2911'!$A$6</definedName>
    <definedName name="Base_Student_Allocation" localSheetId="18">'2941'!$A$6</definedName>
    <definedName name="Base_Student_Allocation" localSheetId="19">'3083'!$A$6</definedName>
    <definedName name="Base_Student_Allocation" localSheetId="20">'3345'!$A$6</definedName>
    <definedName name="Base_Student_Allocation" localSheetId="21">'3362'!$A$6</definedName>
    <definedName name="Base_Student_Allocation" localSheetId="22">'3381'!$A$6</definedName>
    <definedName name="Base_Student_Allocation" localSheetId="23">'3382'!$A$6</definedName>
    <definedName name="Base_Student_Allocation" localSheetId="24">'3391'!$A$6</definedName>
    <definedName name="Base_Student_Allocation" localSheetId="25">'3394'!$A$6</definedName>
    <definedName name="Base_Student_Allocation" localSheetId="26">'3395'!$A$6</definedName>
    <definedName name="Base_Student_Allocation" localSheetId="27">'3396'!$A$6</definedName>
    <definedName name="Base_Student_Allocation" localSheetId="28">'3398'!$A$6</definedName>
    <definedName name="Base_Student_Allocation" localSheetId="29">'3400'!$A$6</definedName>
    <definedName name="Base_Student_Allocation" localSheetId="30">'3401'!$A$6</definedName>
    <definedName name="Base_Student_Allocation" localSheetId="31">'3413'!$A$6</definedName>
    <definedName name="Base_Student_Allocation" localSheetId="32">'3421'!$A$6</definedName>
    <definedName name="Base_Student_Allocation" localSheetId="33">'3431'!$A$6</definedName>
    <definedName name="Base_Student_Allocation" localSheetId="34">'3441'!$A$6</definedName>
    <definedName name="Base_Student_Allocation" localSheetId="35">'3924'!$A$6</definedName>
    <definedName name="Base_Student_Allocation" localSheetId="36">'3941'!$A$6</definedName>
    <definedName name="Base_Student_Allocation" localSheetId="37">'3961'!$A$6</definedName>
    <definedName name="Base_Student_Allocation" localSheetId="38">'3971'!$A$6</definedName>
    <definedName name="Base_Student_Allocation" localSheetId="39">'4001'!$A$6</definedName>
    <definedName name="Base_Student_Allocation" localSheetId="40">'4002'!$A$6</definedName>
    <definedName name="Base_Student_Allocation" localSheetId="41">'4012'!$A$6</definedName>
    <definedName name="Base_Student_Allocation" localSheetId="42">'4013'!$A$6</definedName>
    <definedName name="Base_Student_Allocation" localSheetId="43">'4020'!$A$6</definedName>
    <definedName name="Base_Student_Allocation" localSheetId="44">'4030'!$A$6</definedName>
    <definedName name="Base_Student_Allocation" localSheetId="45">'4031'!$A$6</definedName>
    <definedName name="Base_Student_Allocation" localSheetId="46">'4041'!$A$6</definedName>
    <definedName name="Base_Student_Allocation" localSheetId="47">'4050'!$A$6</definedName>
    <definedName name="Base_Student_Allocation" localSheetId="48">'4051'!$A$6</definedName>
    <definedName name="Base_Student_Allocation" localSheetId="49">'4061'!$A$6</definedName>
    <definedName name="Base_Student_Allocation" localSheetId="50">'4080'!$A$6</definedName>
    <definedName name="Base_Student_Allocation" localSheetId="51">'4081'!$A$6</definedName>
    <definedName name="Base_Student_Allocation" localSheetId="52">'4090'!$A$6</definedName>
    <definedName name="Base_Student_Allocation" localSheetId="53">'4091'!$A$6</definedName>
    <definedName name="Base_Student_Allocation" localSheetId="54">'4100'!$A$6</definedName>
    <definedName name="Base_Student_Allocation" localSheetId="55">'4102'!$A$6</definedName>
    <definedName name="Base_Student_Allocation" localSheetId="56">'4103'!$A$6</definedName>
    <definedName name="Base_Student_Allocation" localSheetId="57">'4111'!$A$6</definedName>
    <definedName name="Base_Student_Allocation" localSheetId="58">'4131'!$A$6</definedName>
    <definedName name="Base_Student_Allocation" localSheetId="59">'4141'!$A$6</definedName>
    <definedName name="Base_Student_Allocation">'0040'!$A$6</definedName>
    <definedName name="Based_on_the_Second_Calculation_of_the_FEFP_2010_11" localSheetId="10">'0100'!$A$3</definedName>
    <definedName name="Based_on_the_Second_Calculation_of_the_FEFP_2010_11" localSheetId="9">'0571'!$A$3</definedName>
    <definedName name="Based_on_the_Second_Calculation_of_the_FEFP_2010_11" localSheetId="11">'1461'!$A$3</definedName>
    <definedName name="Based_on_the_Second_Calculation_of_the_FEFP_2010_11" localSheetId="12">'1571'!$A$3</definedName>
    <definedName name="Based_on_the_Second_Calculation_of_the_FEFP_2010_11" localSheetId="13">'2521'!$A$3</definedName>
    <definedName name="Based_on_the_Second_Calculation_of_the_FEFP_2010_11" localSheetId="14">'2531'!$A$3</definedName>
    <definedName name="Based_on_the_Second_Calculation_of_the_FEFP_2010_11" localSheetId="15">'2791'!$A$3</definedName>
    <definedName name="Based_on_the_Second_Calculation_of_the_FEFP_2010_11" localSheetId="16">'2801'!$A$3</definedName>
    <definedName name="Based_on_the_Second_Calculation_of_the_FEFP_2010_11" localSheetId="17">'2911'!$A$3</definedName>
    <definedName name="Based_on_the_Second_Calculation_of_the_FEFP_2010_11" localSheetId="18">'2941'!$A$3</definedName>
    <definedName name="Based_on_the_Second_Calculation_of_the_FEFP_2010_11" localSheetId="19">'3083'!$A$3</definedName>
    <definedName name="Based_on_the_Second_Calculation_of_the_FEFP_2010_11" localSheetId="20">'3345'!$A$3</definedName>
    <definedName name="Based_on_the_Second_Calculation_of_the_FEFP_2010_11" localSheetId="21">'3362'!$A$3</definedName>
    <definedName name="Based_on_the_Second_Calculation_of_the_FEFP_2010_11" localSheetId="22">'3381'!$A$3</definedName>
    <definedName name="Based_on_the_Second_Calculation_of_the_FEFP_2010_11" localSheetId="23">'3382'!$A$3</definedName>
    <definedName name="Based_on_the_Second_Calculation_of_the_FEFP_2010_11" localSheetId="24">'3391'!$A$3</definedName>
    <definedName name="Based_on_the_Second_Calculation_of_the_FEFP_2010_11" localSheetId="25">'3394'!$A$3</definedName>
    <definedName name="Based_on_the_Second_Calculation_of_the_FEFP_2010_11" localSheetId="26">'3395'!$A$3</definedName>
    <definedName name="Based_on_the_Second_Calculation_of_the_FEFP_2010_11" localSheetId="27">'3396'!$A$3</definedName>
    <definedName name="Based_on_the_Second_Calculation_of_the_FEFP_2010_11" localSheetId="28">'3398'!$A$3</definedName>
    <definedName name="Based_on_the_Second_Calculation_of_the_FEFP_2010_11" localSheetId="29">'3400'!$A$3</definedName>
    <definedName name="Based_on_the_Second_Calculation_of_the_FEFP_2010_11" localSheetId="30">'3401'!$A$3</definedName>
    <definedName name="Based_on_the_Second_Calculation_of_the_FEFP_2010_11" localSheetId="31">'3413'!$A$3</definedName>
    <definedName name="Based_on_the_Second_Calculation_of_the_FEFP_2010_11" localSheetId="32">'3421'!$A$3</definedName>
    <definedName name="Based_on_the_Second_Calculation_of_the_FEFP_2010_11" localSheetId="33">'3431'!$A$3</definedName>
    <definedName name="Based_on_the_Second_Calculation_of_the_FEFP_2010_11" localSheetId="34">'3441'!$A$3</definedName>
    <definedName name="Based_on_the_Second_Calculation_of_the_FEFP_2010_11" localSheetId="35">'3924'!$A$3</definedName>
    <definedName name="Based_on_the_Second_Calculation_of_the_FEFP_2010_11" localSheetId="36">'3941'!$A$3</definedName>
    <definedName name="Based_on_the_Second_Calculation_of_the_FEFP_2010_11" localSheetId="37">'3961'!$A$3</definedName>
    <definedName name="Based_on_the_Second_Calculation_of_the_FEFP_2010_11" localSheetId="38">'3971'!$A$3</definedName>
    <definedName name="Based_on_the_Second_Calculation_of_the_FEFP_2010_11" localSheetId="39">'4001'!$A$3</definedName>
    <definedName name="Based_on_the_Second_Calculation_of_the_FEFP_2010_11" localSheetId="40">'4002'!$A$3</definedName>
    <definedName name="Based_on_the_Second_Calculation_of_the_FEFP_2010_11" localSheetId="41">'4012'!$A$3</definedName>
    <definedName name="Based_on_the_Second_Calculation_of_the_FEFP_2010_11" localSheetId="42">'4013'!$A$3</definedName>
    <definedName name="Based_on_the_Second_Calculation_of_the_FEFP_2010_11" localSheetId="43">'4020'!$A$3</definedName>
    <definedName name="Based_on_the_Second_Calculation_of_the_FEFP_2010_11" localSheetId="44">'4030'!$A$3</definedName>
    <definedName name="Based_on_the_Second_Calculation_of_the_FEFP_2010_11" localSheetId="45">'4031'!$A$3</definedName>
    <definedName name="Based_on_the_Second_Calculation_of_the_FEFP_2010_11" localSheetId="46">'4041'!$A$3</definedName>
    <definedName name="Based_on_the_Second_Calculation_of_the_FEFP_2010_11" localSheetId="47">'4050'!$A$3</definedName>
    <definedName name="Based_on_the_Second_Calculation_of_the_FEFP_2010_11" localSheetId="48">'4051'!$A$3</definedName>
    <definedName name="Based_on_the_Second_Calculation_of_the_FEFP_2010_11" localSheetId="49">'4061'!$A$3</definedName>
    <definedName name="Based_on_the_Second_Calculation_of_the_FEFP_2010_11" localSheetId="50">'4080'!$A$3</definedName>
    <definedName name="Based_on_the_Second_Calculation_of_the_FEFP_2010_11" localSheetId="51">'4081'!$A$3</definedName>
    <definedName name="Based_on_the_Second_Calculation_of_the_FEFP_2010_11" localSheetId="52">'4090'!$A$3</definedName>
    <definedName name="Based_on_the_Second_Calculation_of_the_FEFP_2010_11" localSheetId="53">'4091'!$A$3</definedName>
    <definedName name="Based_on_the_Second_Calculation_of_the_FEFP_2010_11" localSheetId="54">'4100'!$A$3</definedName>
    <definedName name="Based_on_the_Second_Calculation_of_the_FEFP_2010_11" localSheetId="55">'4102'!$A$3</definedName>
    <definedName name="Based_on_the_Second_Calculation_of_the_FEFP_2010_11" localSheetId="56">'4103'!$A$3</definedName>
    <definedName name="Based_on_the_Second_Calculation_of_the_FEFP_2010_11" localSheetId="57">'4111'!$A$3</definedName>
    <definedName name="Based_on_the_Second_Calculation_of_the_FEFP_2010_11" localSheetId="58">'4131'!$A$3</definedName>
    <definedName name="Based_on_the_Second_Calculation_of_the_FEFP_2010_11" localSheetId="59">'4141'!$A$3</definedName>
    <definedName name="Based_on_the_Second_Calculation_of_the_FEFP_2010_11">'0040'!$A$3</definedName>
    <definedName name="CAP" localSheetId="8"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56" hidden="1">{#N/A,#N/A,FALSE,"Summation";#N/A,#N/A,FALSE,"BSA";#N/A,#N/A,FALSE,"Detail1";#N/A,#N/A,FALSE,"Detail2";#N/A,#N/A,FALSE,"Detail3";#N/A,#N/A,FALSE,"WFTE_Summary";#N/A,#N/A,FALSE,"Funded_WFTE";#N/A,#N/A,FALSE,"PYADJ96"}</definedName>
    <definedName name="CAP" localSheetId="57" hidden="1">{#N/A,#N/A,FALSE,"Summation";#N/A,#N/A,FALSE,"BSA";#N/A,#N/A,FALSE,"Detail1";#N/A,#N/A,FALSE,"Detail2";#N/A,#N/A,FALSE,"Detail3";#N/A,#N/A,FALSE,"WFTE_Summary";#N/A,#N/A,FALSE,"Funded_WFTE";#N/A,#N/A,FALSE,"PYADJ96"}</definedName>
    <definedName name="CAP" localSheetId="58" hidden="1">{#N/A,#N/A,FALSE,"Summation";#N/A,#N/A,FALSE,"BSA";#N/A,#N/A,FALSE,"Detail1";#N/A,#N/A,FALSE,"Detail2";#N/A,#N/A,FALSE,"Detail3";#N/A,#N/A,FALSE,"WFTE_Summary";#N/A,#N/A,FALSE,"Funded_WFTE";#N/A,#N/A,FALSE,"PYADJ96"}</definedName>
    <definedName name="CAP" localSheetId="59"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5"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DCD" localSheetId="10">'0100'!$D$89</definedName>
    <definedName name="DCD" localSheetId="9">'0571'!$D$89</definedName>
    <definedName name="DCD" localSheetId="11">'1461'!$D$89</definedName>
    <definedName name="DCD" localSheetId="12">'1571'!$D$89</definedName>
    <definedName name="DCD" localSheetId="13">'2521'!$D$89</definedName>
    <definedName name="DCD" localSheetId="14">'2531'!$D$89</definedName>
    <definedName name="DCD" localSheetId="15">'2791'!$D$89</definedName>
    <definedName name="DCD" localSheetId="16">'2801'!$D$89</definedName>
    <definedName name="DCD" localSheetId="17">'2911'!$D$89</definedName>
    <definedName name="DCD" localSheetId="18">'2941'!$D$89</definedName>
    <definedName name="DCD" localSheetId="19">'3083'!$D$89</definedName>
    <definedName name="DCD" localSheetId="20">'3345'!$D$89</definedName>
    <definedName name="DCD" localSheetId="21">'3362'!$D$89</definedName>
    <definedName name="DCD" localSheetId="22">'3381'!$D$89</definedName>
    <definedName name="DCD" localSheetId="23">'3382'!$D$89</definedName>
    <definedName name="DCD" localSheetId="24">'3391'!$D$89</definedName>
    <definedName name="DCD" localSheetId="25">'3394'!$D$89</definedName>
    <definedName name="DCD" localSheetId="26">'3395'!$D$89</definedName>
    <definedName name="DCD" localSheetId="27">'3396'!$D$89</definedName>
    <definedName name="DCD" localSheetId="28">'3398'!$D$89</definedName>
    <definedName name="DCD" localSheetId="29">'3400'!$D$89</definedName>
    <definedName name="DCD" localSheetId="30">'3401'!$D$89</definedName>
    <definedName name="DCD" localSheetId="31">'3413'!$D$89</definedName>
    <definedName name="DCD" localSheetId="32">'3421'!$D$89</definedName>
    <definedName name="DCD" localSheetId="33">'3431'!$D$89</definedName>
    <definedName name="DCD" localSheetId="34">'3441'!$D$89</definedName>
    <definedName name="DCD" localSheetId="35">'3924'!$D$89</definedName>
    <definedName name="DCD" localSheetId="36">'3941'!$D$89</definedName>
    <definedName name="DCD" localSheetId="37">'3961'!$D$89</definedName>
    <definedName name="DCD" localSheetId="38">'3971'!$D$89</definedName>
    <definedName name="DCD" localSheetId="39">'4001'!$D$89</definedName>
    <definedName name="DCD" localSheetId="40">'4002'!$D$89</definedName>
    <definedName name="DCD" localSheetId="41">'4012'!$D$89</definedName>
    <definedName name="DCD" localSheetId="42">'4013'!$D$89</definedName>
    <definedName name="DCD" localSheetId="43">'4020'!$D$89</definedName>
    <definedName name="DCD" localSheetId="44">'4030'!$D$89</definedName>
    <definedName name="DCD" localSheetId="45">'4031'!$D$89</definedName>
    <definedName name="DCD" localSheetId="46">'4041'!$D$89</definedName>
    <definedName name="DCD" localSheetId="47">'4050'!$D$89</definedName>
    <definedName name="DCD" localSheetId="48">'4051'!$D$89</definedName>
    <definedName name="DCD" localSheetId="49">'4061'!$D$89</definedName>
    <definedName name="DCD" localSheetId="50">'4080'!$D$89</definedName>
    <definedName name="DCD" localSheetId="51">'4081'!$D$89</definedName>
    <definedName name="DCD" localSheetId="52">'4090'!$D$89</definedName>
    <definedName name="DCD" localSheetId="53">'4091'!$D$89</definedName>
    <definedName name="DCD" localSheetId="54">'4100'!$D$89</definedName>
    <definedName name="DCD" localSheetId="55">'4102'!$D$89</definedName>
    <definedName name="DCD" localSheetId="56">'4103'!$D$89</definedName>
    <definedName name="DCD" localSheetId="57">'4111'!$D$89</definedName>
    <definedName name="DCD" localSheetId="58">'4131'!$D$89</definedName>
    <definedName name="DCD" localSheetId="59">'4141'!$D$89</definedName>
    <definedName name="DCD">'0040'!$D$89</definedName>
    <definedName name="District_Cost_Differential" localSheetId="10">'0100'!$G$6</definedName>
    <definedName name="District_Cost_Differential" localSheetId="9">'0571'!$G$6</definedName>
    <definedName name="District_Cost_Differential" localSheetId="11">'1461'!$G$6</definedName>
    <definedName name="District_Cost_Differential" localSheetId="12">'1571'!$G$6</definedName>
    <definedName name="District_Cost_Differential" localSheetId="13">'2521'!$G$6</definedName>
    <definedName name="District_Cost_Differential" localSheetId="14">'2531'!$G$6</definedName>
    <definedName name="District_Cost_Differential" localSheetId="15">'2791'!$G$6</definedName>
    <definedName name="District_Cost_Differential" localSheetId="16">'2801'!$G$6</definedName>
    <definedName name="District_Cost_Differential" localSheetId="17">'2911'!$G$6</definedName>
    <definedName name="District_Cost_Differential" localSheetId="18">'2941'!$G$6</definedName>
    <definedName name="District_Cost_Differential" localSheetId="19">'3083'!$G$6</definedName>
    <definedName name="District_Cost_Differential" localSheetId="20">'3345'!$G$6</definedName>
    <definedName name="District_Cost_Differential" localSheetId="21">'3362'!$G$6</definedName>
    <definedName name="District_Cost_Differential" localSheetId="22">'3381'!$G$6</definedName>
    <definedName name="District_Cost_Differential" localSheetId="23">'3382'!$G$6</definedName>
    <definedName name="District_Cost_Differential" localSheetId="24">'3391'!$G$6</definedName>
    <definedName name="District_Cost_Differential" localSheetId="25">'3394'!$G$6</definedName>
    <definedName name="District_Cost_Differential" localSheetId="26">'3395'!$G$6</definedName>
    <definedName name="District_Cost_Differential" localSheetId="27">'3396'!$G$6</definedName>
    <definedName name="District_Cost_Differential" localSheetId="28">'3398'!$G$6</definedName>
    <definedName name="District_Cost_Differential" localSheetId="29">'3400'!$G$6</definedName>
    <definedName name="District_Cost_Differential" localSheetId="30">'3401'!$G$6</definedName>
    <definedName name="District_Cost_Differential" localSheetId="31">'3413'!$G$6</definedName>
    <definedName name="District_Cost_Differential" localSheetId="32">'3421'!$G$6</definedName>
    <definedName name="District_Cost_Differential" localSheetId="33">'3431'!$G$6</definedName>
    <definedName name="District_Cost_Differential" localSheetId="34">'3441'!$G$6</definedName>
    <definedName name="District_Cost_Differential" localSheetId="35">'3924'!$G$6</definedName>
    <definedName name="District_Cost_Differential" localSheetId="36">'3941'!$G$6</definedName>
    <definedName name="District_Cost_Differential" localSheetId="37">'3961'!$G$6</definedName>
    <definedName name="District_Cost_Differential" localSheetId="38">'3971'!$G$6</definedName>
    <definedName name="District_Cost_Differential" localSheetId="39">'4001'!$G$6</definedName>
    <definedName name="District_Cost_Differential" localSheetId="40">'4002'!$G$6</definedName>
    <definedName name="District_Cost_Differential" localSheetId="41">'4012'!$G$6</definedName>
    <definedName name="District_Cost_Differential" localSheetId="42">'4013'!$G$6</definedName>
    <definedName name="District_Cost_Differential" localSheetId="43">'4020'!$G$6</definedName>
    <definedName name="District_Cost_Differential" localSheetId="44">'4030'!$G$6</definedName>
    <definedName name="District_Cost_Differential" localSheetId="45">'4031'!$G$6</definedName>
    <definedName name="District_Cost_Differential" localSheetId="46">'4041'!$G$6</definedName>
    <definedName name="District_Cost_Differential" localSheetId="47">'4050'!$G$6</definedName>
    <definedName name="District_Cost_Differential" localSheetId="48">'4051'!$G$6</definedName>
    <definedName name="District_Cost_Differential" localSheetId="49">'4061'!$G$6</definedName>
    <definedName name="District_Cost_Differential" localSheetId="50">'4080'!$G$6</definedName>
    <definedName name="District_Cost_Differential" localSheetId="51">'4081'!$G$6</definedName>
    <definedName name="District_Cost_Differential" localSheetId="52">'4090'!$G$6</definedName>
    <definedName name="District_Cost_Differential" localSheetId="53">'4091'!$G$6</definedName>
    <definedName name="District_Cost_Differential" localSheetId="54">'4100'!$G$6</definedName>
    <definedName name="District_Cost_Differential" localSheetId="55">'4102'!$G$6</definedName>
    <definedName name="District_Cost_Differential" localSheetId="56">'4103'!$G$6</definedName>
    <definedName name="District_Cost_Differential" localSheetId="57">'4111'!$G$6</definedName>
    <definedName name="District_Cost_Differential" localSheetId="58">'4131'!$G$6</definedName>
    <definedName name="District_Cost_Differential" localSheetId="59">'4141'!$G$6</definedName>
    <definedName name="District_Cost_Differential">'0040'!$G$6</definedName>
    <definedName name="District_SAI_Allocation" localSheetId="10">'0100'!#REF!</definedName>
    <definedName name="District_SAI_Allocation" localSheetId="9">'0571'!#REF!</definedName>
    <definedName name="District_SAI_Allocation" localSheetId="11">'1461'!#REF!</definedName>
    <definedName name="District_SAI_Allocation" localSheetId="12">'1571'!#REF!</definedName>
    <definedName name="District_SAI_Allocation" localSheetId="13">'2521'!#REF!</definedName>
    <definedName name="District_SAI_Allocation" localSheetId="14">'2531'!#REF!</definedName>
    <definedName name="District_SAI_Allocation" localSheetId="15">'2791'!#REF!</definedName>
    <definedName name="District_SAI_Allocation" localSheetId="16">'2801'!#REF!</definedName>
    <definedName name="District_SAI_Allocation" localSheetId="17">'2911'!#REF!</definedName>
    <definedName name="District_SAI_Allocation" localSheetId="18">'2941'!#REF!</definedName>
    <definedName name="District_SAI_Allocation" localSheetId="19">'3083'!#REF!</definedName>
    <definedName name="District_SAI_Allocation" localSheetId="20">'3345'!#REF!</definedName>
    <definedName name="District_SAI_Allocation" localSheetId="21">'3362'!#REF!</definedName>
    <definedName name="District_SAI_Allocation" localSheetId="22">'3381'!#REF!</definedName>
    <definedName name="District_SAI_Allocation" localSheetId="23">'3382'!#REF!</definedName>
    <definedName name="District_SAI_Allocation" localSheetId="24">'3391'!#REF!</definedName>
    <definedName name="District_SAI_Allocation" localSheetId="25">'3394'!#REF!</definedName>
    <definedName name="District_SAI_Allocation" localSheetId="26">'3395'!#REF!</definedName>
    <definedName name="District_SAI_Allocation" localSheetId="27">'3396'!#REF!</definedName>
    <definedName name="District_SAI_Allocation" localSheetId="28">'3398'!#REF!</definedName>
    <definedName name="District_SAI_Allocation" localSheetId="29">'3400'!#REF!</definedName>
    <definedName name="District_SAI_Allocation" localSheetId="30">'3401'!#REF!</definedName>
    <definedName name="District_SAI_Allocation" localSheetId="31">'3413'!#REF!</definedName>
    <definedName name="District_SAI_Allocation" localSheetId="32">'3421'!#REF!</definedName>
    <definedName name="District_SAI_Allocation" localSheetId="33">'3431'!#REF!</definedName>
    <definedName name="District_SAI_Allocation" localSheetId="34">'3441'!#REF!</definedName>
    <definedName name="District_SAI_Allocation" localSheetId="35">'3924'!#REF!</definedName>
    <definedName name="District_SAI_Allocation" localSheetId="36">'3941'!#REF!</definedName>
    <definedName name="District_SAI_Allocation" localSheetId="37">'3961'!#REF!</definedName>
    <definedName name="District_SAI_Allocation" localSheetId="38">'3971'!#REF!</definedName>
    <definedName name="District_SAI_Allocation" localSheetId="39">'4001'!#REF!</definedName>
    <definedName name="District_SAI_Allocation" localSheetId="40">'4002'!#REF!</definedName>
    <definedName name="District_SAI_Allocation" localSheetId="41">'4012'!#REF!</definedName>
    <definedName name="District_SAI_Allocation" localSheetId="42">'4013'!#REF!</definedName>
    <definedName name="District_SAI_Allocation" localSheetId="43">'4020'!#REF!</definedName>
    <definedName name="District_SAI_Allocation" localSheetId="44">'4030'!#REF!</definedName>
    <definedName name="District_SAI_Allocation" localSheetId="45">'4031'!#REF!</definedName>
    <definedName name="District_SAI_Allocation" localSheetId="46">'4041'!#REF!</definedName>
    <definedName name="District_SAI_Allocation" localSheetId="47">'4050'!#REF!</definedName>
    <definedName name="District_SAI_Allocation" localSheetId="48">'4051'!#REF!</definedName>
    <definedName name="District_SAI_Allocation" localSheetId="49">'4061'!#REF!</definedName>
    <definedName name="District_SAI_Allocation" localSheetId="50">'4080'!#REF!</definedName>
    <definedName name="District_SAI_Allocation" localSheetId="51">'4081'!#REF!</definedName>
    <definedName name="District_SAI_Allocation" localSheetId="52">'4090'!#REF!</definedName>
    <definedName name="District_SAI_Allocation" localSheetId="53">'4091'!#REF!</definedName>
    <definedName name="District_SAI_Allocation" localSheetId="54">'4100'!#REF!</definedName>
    <definedName name="District_SAI_Allocation" localSheetId="55">'4102'!#REF!</definedName>
    <definedName name="District_SAI_Allocation" localSheetId="56">'4103'!#REF!</definedName>
    <definedName name="District_SAI_Allocation" localSheetId="57">'4111'!#REF!</definedName>
    <definedName name="District_SAI_Allocation" localSheetId="58">'4131'!#REF!</definedName>
    <definedName name="District_SAI_Allocation" localSheetId="59">'4141'!#REF!</definedName>
    <definedName name="divided_by_district_FTE" localSheetId="10">'0100'!#REF!</definedName>
    <definedName name="divided_by_district_FTE" localSheetId="9">'0571'!#REF!</definedName>
    <definedName name="divided_by_district_FTE" localSheetId="11">'1461'!#REF!</definedName>
    <definedName name="divided_by_district_FTE" localSheetId="12">'1571'!#REF!</definedName>
    <definedName name="divided_by_district_FTE" localSheetId="13">'2521'!#REF!</definedName>
    <definedName name="divided_by_district_FTE" localSheetId="14">'2531'!#REF!</definedName>
    <definedName name="divided_by_district_FTE" localSheetId="15">'2791'!#REF!</definedName>
    <definedName name="divided_by_district_FTE" localSheetId="16">'2801'!#REF!</definedName>
    <definedName name="divided_by_district_FTE" localSheetId="17">'2911'!#REF!</definedName>
    <definedName name="divided_by_district_FTE" localSheetId="18">'2941'!#REF!</definedName>
    <definedName name="divided_by_district_FTE" localSheetId="19">'3083'!#REF!</definedName>
    <definedName name="divided_by_district_FTE" localSheetId="20">'3345'!#REF!</definedName>
    <definedName name="divided_by_district_FTE" localSheetId="21">'3362'!#REF!</definedName>
    <definedName name="divided_by_district_FTE" localSheetId="22">'3381'!#REF!</definedName>
    <definedName name="divided_by_district_FTE" localSheetId="23">'3382'!#REF!</definedName>
    <definedName name="divided_by_district_FTE" localSheetId="24">'3391'!#REF!</definedName>
    <definedName name="divided_by_district_FTE" localSheetId="25">'3394'!#REF!</definedName>
    <definedName name="divided_by_district_FTE" localSheetId="26">'3395'!#REF!</definedName>
    <definedName name="divided_by_district_FTE" localSheetId="27">'3396'!#REF!</definedName>
    <definedName name="divided_by_district_FTE" localSheetId="28">'3398'!#REF!</definedName>
    <definedName name="divided_by_district_FTE" localSheetId="29">'3400'!#REF!</definedName>
    <definedName name="divided_by_district_FTE" localSheetId="30">'3401'!#REF!</definedName>
    <definedName name="divided_by_district_FTE" localSheetId="31">'3413'!#REF!</definedName>
    <definedName name="divided_by_district_FTE" localSheetId="32">'3421'!#REF!</definedName>
    <definedName name="divided_by_district_FTE" localSheetId="33">'3431'!#REF!</definedName>
    <definedName name="divided_by_district_FTE" localSheetId="34">'3441'!#REF!</definedName>
    <definedName name="divided_by_district_FTE" localSheetId="35">'3924'!#REF!</definedName>
    <definedName name="divided_by_district_FTE" localSheetId="36">'3941'!#REF!</definedName>
    <definedName name="divided_by_district_FTE" localSheetId="37">'3961'!#REF!</definedName>
    <definedName name="divided_by_district_FTE" localSheetId="38">'3971'!#REF!</definedName>
    <definedName name="divided_by_district_FTE" localSheetId="39">'4001'!#REF!</definedName>
    <definedName name="divided_by_district_FTE" localSheetId="40">'4002'!#REF!</definedName>
    <definedName name="divided_by_district_FTE" localSheetId="41">'4012'!#REF!</definedName>
    <definedName name="divided_by_district_FTE" localSheetId="42">'4013'!#REF!</definedName>
    <definedName name="divided_by_district_FTE" localSheetId="43">'4020'!#REF!</definedName>
    <definedName name="divided_by_district_FTE" localSheetId="44">'4030'!#REF!</definedName>
    <definedName name="divided_by_district_FTE" localSheetId="45">'4031'!#REF!</definedName>
    <definedName name="divided_by_district_FTE" localSheetId="46">'4041'!#REF!</definedName>
    <definedName name="divided_by_district_FTE" localSheetId="47">'4050'!#REF!</definedName>
    <definedName name="divided_by_district_FTE" localSheetId="48">'4051'!#REF!</definedName>
    <definedName name="divided_by_district_FTE" localSheetId="49">'4061'!#REF!</definedName>
    <definedName name="divided_by_district_FTE" localSheetId="50">'4080'!#REF!</definedName>
    <definedName name="divided_by_district_FTE" localSheetId="51">'4081'!#REF!</definedName>
    <definedName name="divided_by_district_FTE" localSheetId="52">'4090'!#REF!</definedName>
    <definedName name="divided_by_district_FTE" localSheetId="53">'4091'!#REF!</definedName>
    <definedName name="divided_by_district_FTE" localSheetId="54">'4100'!#REF!</definedName>
    <definedName name="divided_by_district_FTE" localSheetId="55">'4102'!#REF!</definedName>
    <definedName name="divided_by_district_FTE" localSheetId="56">'4103'!#REF!</definedName>
    <definedName name="divided_by_district_FTE" localSheetId="57">'4111'!#REF!</definedName>
    <definedName name="divided_by_district_FTE" localSheetId="58">'4131'!#REF!</definedName>
    <definedName name="divided_by_district_FTE" localSheetId="59">'4141'!#REF!</definedName>
    <definedName name="FTE" localSheetId="10">'0100'!#REF!</definedName>
    <definedName name="FTE" localSheetId="9">'0571'!#REF!</definedName>
    <definedName name="FTE" localSheetId="11">'1461'!#REF!</definedName>
    <definedName name="FTE" localSheetId="12">'1571'!#REF!</definedName>
    <definedName name="FTE" localSheetId="13">'2521'!#REF!</definedName>
    <definedName name="FTE" localSheetId="14">'2531'!#REF!</definedName>
    <definedName name="FTE" localSheetId="15">'2791'!#REF!</definedName>
    <definedName name="FTE" localSheetId="16">'2801'!#REF!</definedName>
    <definedName name="FTE" localSheetId="17">'2911'!#REF!</definedName>
    <definedName name="FTE" localSheetId="18">'2941'!#REF!</definedName>
    <definedName name="FTE" localSheetId="19">'3083'!#REF!</definedName>
    <definedName name="FTE" localSheetId="20">'3345'!#REF!</definedName>
    <definedName name="FTE" localSheetId="21">'3362'!#REF!</definedName>
    <definedName name="FTE" localSheetId="22">'3381'!#REF!</definedName>
    <definedName name="FTE" localSheetId="23">'3382'!#REF!</definedName>
    <definedName name="FTE" localSheetId="24">'3391'!#REF!</definedName>
    <definedName name="FTE" localSheetId="25">'3394'!#REF!</definedName>
    <definedName name="FTE" localSheetId="26">'3395'!#REF!</definedName>
    <definedName name="FTE" localSheetId="27">'3396'!#REF!</definedName>
    <definedName name="FTE" localSheetId="28">'3398'!#REF!</definedName>
    <definedName name="FTE" localSheetId="29">'3400'!#REF!</definedName>
    <definedName name="FTE" localSheetId="30">'3401'!#REF!</definedName>
    <definedName name="FTE" localSheetId="31">'3413'!#REF!</definedName>
    <definedName name="FTE" localSheetId="32">'3421'!#REF!</definedName>
    <definedName name="FTE" localSheetId="33">'3431'!#REF!</definedName>
    <definedName name="FTE" localSheetId="34">'3441'!#REF!</definedName>
    <definedName name="FTE" localSheetId="35">'3924'!#REF!</definedName>
    <definedName name="FTE" localSheetId="36">'3941'!#REF!</definedName>
    <definedName name="FTE" localSheetId="37">'3961'!#REF!</definedName>
    <definedName name="FTE" localSheetId="38">'3971'!#REF!</definedName>
    <definedName name="FTE" localSheetId="39">'4001'!#REF!</definedName>
    <definedName name="FTE" localSheetId="40">'4002'!#REF!</definedName>
    <definedName name="FTE" localSheetId="41">'4012'!#REF!</definedName>
    <definedName name="FTE" localSheetId="42">'4013'!#REF!</definedName>
    <definedName name="FTE" localSheetId="43">'4020'!#REF!</definedName>
    <definedName name="FTE" localSheetId="44">'4030'!#REF!</definedName>
    <definedName name="FTE" localSheetId="45">'4031'!#REF!</definedName>
    <definedName name="FTE" localSheetId="46">'4041'!#REF!</definedName>
    <definedName name="FTE" localSheetId="47">'4050'!#REF!</definedName>
    <definedName name="FTE" localSheetId="48">'4051'!#REF!</definedName>
    <definedName name="FTE" localSheetId="49">'4061'!#REF!</definedName>
    <definedName name="FTE" localSheetId="50">'4080'!#REF!</definedName>
    <definedName name="FTE" localSheetId="51">'4081'!#REF!</definedName>
    <definedName name="FTE" localSheetId="52">'4090'!#REF!</definedName>
    <definedName name="FTE" localSheetId="53">'4091'!#REF!</definedName>
    <definedName name="FTE" localSheetId="54">'4100'!#REF!</definedName>
    <definedName name="FTE" localSheetId="55">'4102'!#REF!</definedName>
    <definedName name="FTE" localSheetId="56">'4103'!#REF!</definedName>
    <definedName name="FTE" localSheetId="57">'4111'!#REF!</definedName>
    <definedName name="FTE" localSheetId="58">'4131'!#REF!</definedName>
    <definedName name="FTE" localSheetId="59">'4141'!#REF!</definedName>
    <definedName name="Grade_Level" localSheetId="10">'0100'!#REF!</definedName>
    <definedName name="Grade_Level" localSheetId="9">'0571'!#REF!</definedName>
    <definedName name="Grade_Level" localSheetId="11">'1461'!#REF!</definedName>
    <definedName name="Grade_Level" localSheetId="12">'1571'!#REF!</definedName>
    <definedName name="Grade_Level" localSheetId="13">'2521'!#REF!</definedName>
    <definedName name="Grade_Level" localSheetId="14">'2531'!#REF!</definedName>
    <definedName name="Grade_Level" localSheetId="15">'2791'!#REF!</definedName>
    <definedName name="Grade_Level" localSheetId="16">'2801'!#REF!</definedName>
    <definedName name="Grade_Level" localSheetId="17">'2911'!#REF!</definedName>
    <definedName name="Grade_Level" localSheetId="18">'2941'!#REF!</definedName>
    <definedName name="Grade_Level" localSheetId="19">'3083'!#REF!</definedName>
    <definedName name="Grade_Level" localSheetId="20">'3345'!#REF!</definedName>
    <definedName name="Grade_Level" localSheetId="21">'3362'!#REF!</definedName>
    <definedName name="Grade_Level" localSheetId="22">'3381'!#REF!</definedName>
    <definedName name="Grade_Level" localSheetId="23">'3382'!#REF!</definedName>
    <definedName name="Grade_Level" localSheetId="24">'3391'!#REF!</definedName>
    <definedName name="Grade_Level" localSheetId="25">'3394'!#REF!</definedName>
    <definedName name="Grade_Level" localSheetId="26">'3395'!#REF!</definedName>
    <definedName name="Grade_Level" localSheetId="27">'3396'!#REF!</definedName>
    <definedName name="Grade_Level" localSheetId="28">'3398'!#REF!</definedName>
    <definedName name="Grade_Level" localSheetId="29">'3400'!#REF!</definedName>
    <definedName name="Grade_Level" localSheetId="30">'3401'!#REF!</definedName>
    <definedName name="Grade_Level" localSheetId="31">'3413'!#REF!</definedName>
    <definedName name="Grade_Level" localSheetId="32">'3421'!#REF!</definedName>
    <definedName name="Grade_Level" localSheetId="33">'3431'!#REF!</definedName>
    <definedName name="Grade_Level" localSheetId="34">'3441'!#REF!</definedName>
    <definedName name="Grade_Level" localSheetId="35">'3924'!#REF!</definedName>
    <definedName name="Grade_Level" localSheetId="36">'3941'!#REF!</definedName>
    <definedName name="Grade_Level" localSheetId="37">'3961'!#REF!</definedName>
    <definedName name="Grade_Level" localSheetId="38">'3971'!#REF!</definedName>
    <definedName name="Grade_Level" localSheetId="39">'4001'!#REF!</definedName>
    <definedName name="Grade_Level" localSheetId="40">'4002'!#REF!</definedName>
    <definedName name="Grade_Level" localSheetId="41">'4012'!#REF!</definedName>
    <definedName name="Grade_Level" localSheetId="42">'4013'!#REF!</definedName>
    <definedName name="Grade_Level" localSheetId="43">'4020'!#REF!</definedName>
    <definedName name="Grade_Level" localSheetId="44">'4030'!#REF!</definedName>
    <definedName name="Grade_Level" localSheetId="45">'4031'!#REF!</definedName>
    <definedName name="Grade_Level" localSheetId="46">'4041'!#REF!</definedName>
    <definedName name="Grade_Level" localSheetId="47">'4050'!#REF!</definedName>
    <definedName name="Grade_Level" localSheetId="48">'4051'!#REF!</definedName>
    <definedName name="Grade_Level" localSheetId="49">'4061'!#REF!</definedName>
    <definedName name="Grade_Level" localSheetId="50">'4080'!#REF!</definedName>
    <definedName name="Grade_Level" localSheetId="51">'4081'!#REF!</definedName>
    <definedName name="Grade_Level" localSheetId="52">'4090'!#REF!</definedName>
    <definedName name="Grade_Level" localSheetId="53">'4091'!#REF!</definedName>
    <definedName name="Grade_Level" localSheetId="54">'4100'!#REF!</definedName>
    <definedName name="Grade_Level" localSheetId="55">'4102'!#REF!</definedName>
    <definedName name="Grade_Level" localSheetId="56">'4103'!#REF!</definedName>
    <definedName name="Grade_Level" localSheetId="57">'4111'!#REF!</definedName>
    <definedName name="Grade_Level" localSheetId="58">'4131'!#REF!</definedName>
    <definedName name="Grade_Level" localSheetId="59">'4141'!#REF!</definedName>
    <definedName name="Guarantee_Per_Student" localSheetId="10">'0100'!#REF!</definedName>
    <definedName name="Guarantee_Per_Student" localSheetId="9">'0571'!#REF!</definedName>
    <definedName name="Guarantee_Per_Student" localSheetId="11">'1461'!#REF!</definedName>
    <definedName name="Guarantee_Per_Student" localSheetId="12">'1571'!#REF!</definedName>
    <definedName name="Guarantee_Per_Student" localSheetId="13">'2521'!#REF!</definedName>
    <definedName name="Guarantee_Per_Student" localSheetId="14">'2531'!#REF!</definedName>
    <definedName name="Guarantee_Per_Student" localSheetId="15">'2791'!#REF!</definedName>
    <definedName name="Guarantee_Per_Student" localSheetId="16">'2801'!#REF!</definedName>
    <definedName name="Guarantee_Per_Student" localSheetId="17">'2911'!#REF!</definedName>
    <definedName name="Guarantee_Per_Student" localSheetId="18">'2941'!#REF!</definedName>
    <definedName name="Guarantee_Per_Student" localSheetId="19">'3083'!#REF!</definedName>
    <definedName name="Guarantee_Per_Student" localSheetId="20">'3345'!#REF!</definedName>
    <definedName name="Guarantee_Per_Student" localSheetId="21">'3362'!#REF!</definedName>
    <definedName name="Guarantee_Per_Student" localSheetId="22">'3381'!#REF!</definedName>
    <definedName name="Guarantee_Per_Student" localSheetId="23">'3382'!#REF!</definedName>
    <definedName name="Guarantee_Per_Student" localSheetId="24">'3391'!#REF!</definedName>
    <definedName name="Guarantee_Per_Student" localSheetId="25">'3394'!#REF!</definedName>
    <definedName name="Guarantee_Per_Student" localSheetId="26">'3395'!#REF!</definedName>
    <definedName name="Guarantee_Per_Student" localSheetId="27">'3396'!#REF!</definedName>
    <definedName name="Guarantee_Per_Student" localSheetId="28">'3398'!#REF!</definedName>
    <definedName name="Guarantee_Per_Student" localSheetId="29">'3400'!#REF!</definedName>
    <definedName name="Guarantee_Per_Student" localSheetId="30">'3401'!#REF!</definedName>
    <definedName name="Guarantee_Per_Student" localSheetId="31">'3413'!#REF!</definedName>
    <definedName name="Guarantee_Per_Student" localSheetId="32">'3421'!#REF!</definedName>
    <definedName name="Guarantee_Per_Student" localSheetId="33">'3431'!#REF!</definedName>
    <definedName name="Guarantee_Per_Student" localSheetId="34">'3441'!#REF!</definedName>
    <definedName name="Guarantee_Per_Student" localSheetId="35">'3924'!#REF!</definedName>
    <definedName name="Guarantee_Per_Student" localSheetId="36">'3941'!#REF!</definedName>
    <definedName name="Guarantee_Per_Student" localSheetId="37">'3961'!#REF!</definedName>
    <definedName name="Guarantee_Per_Student" localSheetId="38">'3971'!#REF!</definedName>
    <definedName name="Guarantee_Per_Student" localSheetId="39">'4001'!#REF!</definedName>
    <definedName name="Guarantee_Per_Student" localSheetId="40">'4002'!#REF!</definedName>
    <definedName name="Guarantee_Per_Student" localSheetId="41">'4012'!#REF!</definedName>
    <definedName name="Guarantee_Per_Student" localSheetId="42">'4013'!#REF!</definedName>
    <definedName name="Guarantee_Per_Student" localSheetId="43">'4020'!#REF!</definedName>
    <definedName name="Guarantee_Per_Student" localSheetId="44">'4030'!#REF!</definedName>
    <definedName name="Guarantee_Per_Student" localSheetId="45">'4031'!#REF!</definedName>
    <definedName name="Guarantee_Per_Student" localSheetId="46">'4041'!#REF!</definedName>
    <definedName name="Guarantee_Per_Student" localSheetId="47">'4050'!#REF!</definedName>
    <definedName name="Guarantee_Per_Student" localSheetId="48">'4051'!#REF!</definedName>
    <definedName name="Guarantee_Per_Student" localSheetId="49">'4061'!#REF!</definedName>
    <definedName name="Guarantee_Per_Student" localSheetId="50">'4080'!#REF!</definedName>
    <definedName name="Guarantee_Per_Student" localSheetId="51">'4081'!#REF!</definedName>
    <definedName name="Guarantee_Per_Student" localSheetId="52">'4090'!#REF!</definedName>
    <definedName name="Guarantee_Per_Student" localSheetId="53">'4091'!#REF!</definedName>
    <definedName name="Guarantee_Per_Student" localSheetId="54">'4100'!#REF!</definedName>
    <definedName name="Guarantee_Per_Student" localSheetId="55">'4102'!#REF!</definedName>
    <definedName name="Guarantee_Per_Student" localSheetId="56">'4103'!#REF!</definedName>
    <definedName name="Guarantee_Per_Student" localSheetId="57">'4111'!#REF!</definedName>
    <definedName name="Guarantee_Per_Student" localSheetId="58">'4131'!#REF!</definedName>
    <definedName name="Guarantee_Per_Student" localSheetId="59">'4141'!#REF!</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5"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1"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Matrix_Level" localSheetId="10">'0100'!#REF!</definedName>
    <definedName name="Matrix_Level" localSheetId="9">'0571'!#REF!</definedName>
    <definedName name="Matrix_Level" localSheetId="11">'1461'!#REF!</definedName>
    <definedName name="Matrix_Level" localSheetId="12">'1571'!#REF!</definedName>
    <definedName name="Matrix_Level" localSheetId="13">'2521'!#REF!</definedName>
    <definedName name="Matrix_Level" localSheetId="14">'2531'!#REF!</definedName>
    <definedName name="Matrix_Level" localSheetId="15">'2791'!#REF!</definedName>
    <definedName name="Matrix_Level" localSheetId="16">'2801'!#REF!</definedName>
    <definedName name="Matrix_Level" localSheetId="17">'2911'!#REF!</definedName>
    <definedName name="Matrix_Level" localSheetId="18">'2941'!#REF!</definedName>
    <definedName name="Matrix_Level" localSheetId="19">'3083'!#REF!</definedName>
    <definedName name="Matrix_Level" localSheetId="20">'3345'!#REF!</definedName>
    <definedName name="Matrix_Level" localSheetId="21">'3362'!#REF!</definedName>
    <definedName name="Matrix_Level" localSheetId="22">'3381'!#REF!</definedName>
    <definedName name="Matrix_Level" localSheetId="23">'3382'!#REF!</definedName>
    <definedName name="Matrix_Level" localSheetId="24">'3391'!#REF!</definedName>
    <definedName name="Matrix_Level" localSheetId="25">'3394'!#REF!</definedName>
    <definedName name="Matrix_Level" localSheetId="26">'3395'!#REF!</definedName>
    <definedName name="Matrix_Level" localSheetId="27">'3396'!#REF!</definedName>
    <definedName name="Matrix_Level" localSheetId="28">'3398'!#REF!</definedName>
    <definedName name="Matrix_Level" localSheetId="29">'3400'!#REF!</definedName>
    <definedName name="Matrix_Level" localSheetId="30">'3401'!#REF!</definedName>
    <definedName name="Matrix_Level" localSheetId="31">'3413'!#REF!</definedName>
    <definedName name="Matrix_Level" localSheetId="32">'3421'!#REF!</definedName>
    <definedName name="Matrix_Level" localSheetId="33">'3431'!#REF!</definedName>
    <definedName name="Matrix_Level" localSheetId="34">'3441'!#REF!</definedName>
    <definedName name="Matrix_Level" localSheetId="35">'3924'!#REF!</definedName>
    <definedName name="Matrix_Level" localSheetId="36">'3941'!#REF!</definedName>
    <definedName name="Matrix_Level" localSheetId="37">'3961'!#REF!</definedName>
    <definedName name="Matrix_Level" localSheetId="38">'3971'!#REF!</definedName>
    <definedName name="Matrix_Level" localSheetId="39">'4001'!#REF!</definedName>
    <definedName name="Matrix_Level" localSheetId="40">'4002'!#REF!</definedName>
    <definedName name="Matrix_Level" localSheetId="41">'4012'!#REF!</definedName>
    <definedName name="Matrix_Level" localSheetId="42">'4013'!#REF!</definedName>
    <definedName name="Matrix_Level" localSheetId="43">'4020'!#REF!</definedName>
    <definedName name="Matrix_Level" localSheetId="44">'4030'!#REF!</definedName>
    <definedName name="Matrix_Level" localSheetId="45">'4031'!#REF!</definedName>
    <definedName name="Matrix_Level" localSheetId="46">'4041'!#REF!</definedName>
    <definedName name="Matrix_Level" localSheetId="47">'4050'!#REF!</definedName>
    <definedName name="Matrix_Level" localSheetId="48">'4051'!#REF!</definedName>
    <definedName name="Matrix_Level" localSheetId="49">'4061'!#REF!</definedName>
    <definedName name="Matrix_Level" localSheetId="50">'4080'!#REF!</definedName>
    <definedName name="Matrix_Level" localSheetId="51">'4081'!#REF!</definedName>
    <definedName name="Matrix_Level" localSheetId="52">'4090'!#REF!</definedName>
    <definedName name="Matrix_Level" localSheetId="53">'4091'!#REF!</definedName>
    <definedName name="Matrix_Level" localSheetId="54">'4100'!#REF!</definedName>
    <definedName name="Matrix_Level" localSheetId="55">'4102'!#REF!</definedName>
    <definedName name="Matrix_Level" localSheetId="56">'4103'!#REF!</definedName>
    <definedName name="Matrix_Level" localSheetId="57">'4111'!#REF!</definedName>
    <definedName name="Matrix_Level" localSheetId="58">'4131'!#REF!</definedName>
    <definedName name="Matrix_Level" localSheetId="59">'4141'!#REF!</definedName>
    <definedName name="Number_of_FTE" localSheetId="10">'0100'!$E$10</definedName>
    <definedName name="Number_of_FTE" localSheetId="9">'0571'!$E$10</definedName>
    <definedName name="Number_of_FTE" localSheetId="11">'1461'!$E$10</definedName>
    <definedName name="Number_of_FTE" localSheetId="12">'1571'!$E$10</definedName>
    <definedName name="Number_of_FTE" localSheetId="13">'2521'!$E$10</definedName>
    <definedName name="Number_of_FTE" localSheetId="14">'2531'!$E$10</definedName>
    <definedName name="Number_of_FTE" localSheetId="15">'2791'!$E$10</definedName>
    <definedName name="Number_of_FTE" localSheetId="16">'2801'!$E$10</definedName>
    <definedName name="Number_of_FTE" localSheetId="17">'2911'!$E$10</definedName>
    <definedName name="Number_of_FTE" localSheetId="18">'2941'!$E$10</definedName>
    <definedName name="Number_of_FTE" localSheetId="19">'3083'!$E$10</definedName>
    <definedName name="Number_of_FTE" localSheetId="20">'3345'!$E$10</definedName>
    <definedName name="Number_of_FTE" localSheetId="21">'3362'!$E$10</definedName>
    <definedName name="Number_of_FTE" localSheetId="22">'3381'!$E$10</definedName>
    <definedName name="Number_of_FTE" localSheetId="23">'3382'!$E$10</definedName>
    <definedName name="Number_of_FTE" localSheetId="24">'3391'!$E$10</definedName>
    <definedName name="Number_of_FTE" localSheetId="25">'3394'!$E$10</definedName>
    <definedName name="Number_of_FTE" localSheetId="26">'3395'!$E$10</definedName>
    <definedName name="Number_of_FTE" localSheetId="27">'3396'!$E$10</definedName>
    <definedName name="Number_of_FTE" localSheetId="28">'3398'!$E$10</definedName>
    <definedName name="Number_of_FTE" localSheetId="29">'3400'!$E$10</definedName>
    <definedName name="Number_of_FTE" localSheetId="30">'3401'!$E$10</definedName>
    <definedName name="Number_of_FTE" localSheetId="31">'3413'!$E$10</definedName>
    <definedName name="Number_of_FTE" localSheetId="32">'3421'!$E$10</definedName>
    <definedName name="Number_of_FTE" localSheetId="33">'3431'!$E$10</definedName>
    <definedName name="Number_of_FTE" localSheetId="34">'3441'!$E$10</definedName>
    <definedName name="Number_of_FTE" localSheetId="35">'3924'!$E$10</definedName>
    <definedName name="Number_of_FTE" localSheetId="36">'3941'!$E$10</definedName>
    <definedName name="Number_of_FTE" localSheetId="37">'3961'!$E$10</definedName>
    <definedName name="Number_of_FTE" localSheetId="38">'3971'!$E$10</definedName>
    <definedName name="Number_of_FTE" localSheetId="39">'4001'!$E$10</definedName>
    <definedName name="Number_of_FTE" localSheetId="40">'4002'!$E$10</definedName>
    <definedName name="Number_of_FTE" localSheetId="41">'4012'!$E$10</definedName>
    <definedName name="Number_of_FTE" localSheetId="42">'4013'!$E$10</definedName>
    <definedName name="Number_of_FTE" localSheetId="43">'4020'!$E$10</definedName>
    <definedName name="Number_of_FTE" localSheetId="44">'4030'!$E$10</definedName>
    <definedName name="Number_of_FTE" localSheetId="45">'4031'!$E$10</definedName>
    <definedName name="Number_of_FTE" localSheetId="46">'4041'!$E$10</definedName>
    <definedName name="Number_of_FTE" localSheetId="47">'4050'!$E$10</definedName>
    <definedName name="Number_of_FTE" localSheetId="48">'4051'!$E$10</definedName>
    <definedName name="Number_of_FTE" localSheetId="49">'4061'!$E$10</definedName>
    <definedName name="Number_of_FTE" localSheetId="50">'4080'!$E$10</definedName>
    <definedName name="Number_of_FTE" localSheetId="51">'4081'!$E$10</definedName>
    <definedName name="Number_of_FTE" localSheetId="52">'4090'!$E$10</definedName>
    <definedName name="Number_of_FTE" localSheetId="53">'4091'!$E$10</definedName>
    <definedName name="Number_of_FTE" localSheetId="54">'4100'!$E$10</definedName>
    <definedName name="Number_of_FTE" localSheetId="55">'4102'!$E$10</definedName>
    <definedName name="Number_of_FTE" localSheetId="56">'4103'!$E$10</definedName>
    <definedName name="Number_of_FTE" localSheetId="57">'4111'!$E$10</definedName>
    <definedName name="Number_of_FTE" localSheetId="58">'4131'!$E$10</definedName>
    <definedName name="Number_of_FTE" localSheetId="59">'4141'!$E$10</definedName>
    <definedName name="Number_of_FTE">'0040'!$E$10</definedName>
    <definedName name="Per_Student" localSheetId="10">'0100'!#REF!</definedName>
    <definedName name="Per_Student" localSheetId="9">'0571'!#REF!</definedName>
    <definedName name="Per_Student" localSheetId="11">'1461'!#REF!</definedName>
    <definedName name="Per_Student" localSheetId="12">'1571'!#REF!</definedName>
    <definedName name="Per_Student" localSheetId="13">'2521'!#REF!</definedName>
    <definedName name="Per_Student" localSheetId="14">'2531'!#REF!</definedName>
    <definedName name="Per_Student" localSheetId="15">'2791'!#REF!</definedName>
    <definedName name="Per_Student" localSheetId="16">'2801'!#REF!</definedName>
    <definedName name="Per_Student" localSheetId="17">'2911'!#REF!</definedName>
    <definedName name="Per_Student" localSheetId="18">'2941'!#REF!</definedName>
    <definedName name="Per_Student" localSheetId="19">'3083'!#REF!</definedName>
    <definedName name="Per_Student" localSheetId="20">'3345'!#REF!</definedName>
    <definedName name="Per_Student" localSheetId="21">'3362'!#REF!</definedName>
    <definedName name="Per_Student" localSheetId="22">'3381'!#REF!</definedName>
    <definedName name="Per_Student" localSheetId="23">'3382'!#REF!</definedName>
    <definedName name="Per_Student" localSheetId="24">'3391'!#REF!</definedName>
    <definedName name="Per_Student" localSheetId="25">'3394'!#REF!</definedName>
    <definedName name="Per_Student" localSheetId="26">'3395'!#REF!</definedName>
    <definedName name="Per_Student" localSheetId="27">'3396'!#REF!</definedName>
    <definedName name="Per_Student" localSheetId="28">'3398'!#REF!</definedName>
    <definedName name="Per_Student" localSheetId="29">'3400'!#REF!</definedName>
    <definedName name="Per_Student" localSheetId="30">'3401'!#REF!</definedName>
    <definedName name="Per_Student" localSheetId="31">'3413'!#REF!</definedName>
    <definedName name="Per_Student" localSheetId="32">'3421'!#REF!</definedName>
    <definedName name="Per_Student" localSheetId="33">'3431'!#REF!</definedName>
    <definedName name="Per_Student" localSheetId="34">'3441'!#REF!</definedName>
    <definedName name="Per_Student" localSheetId="35">'3924'!#REF!</definedName>
    <definedName name="Per_Student" localSheetId="36">'3941'!#REF!</definedName>
    <definedName name="Per_Student" localSheetId="37">'3961'!#REF!</definedName>
    <definedName name="Per_Student" localSheetId="38">'3971'!#REF!</definedName>
    <definedName name="Per_Student" localSheetId="39">'4001'!#REF!</definedName>
    <definedName name="Per_Student" localSheetId="40">'4002'!#REF!</definedName>
    <definedName name="Per_Student" localSheetId="41">'4012'!#REF!</definedName>
    <definedName name="Per_Student" localSheetId="42">'4013'!#REF!</definedName>
    <definedName name="Per_Student" localSheetId="43">'4020'!#REF!</definedName>
    <definedName name="Per_Student" localSheetId="44">'4030'!#REF!</definedName>
    <definedName name="Per_Student" localSheetId="45">'4031'!#REF!</definedName>
    <definedName name="Per_Student" localSheetId="46">'4041'!#REF!</definedName>
    <definedName name="Per_Student" localSheetId="47">'4050'!#REF!</definedName>
    <definedName name="Per_Student" localSheetId="48">'4051'!#REF!</definedName>
    <definedName name="Per_Student" localSheetId="49">'4061'!#REF!</definedName>
    <definedName name="Per_Student" localSheetId="50">'4080'!#REF!</definedName>
    <definedName name="Per_Student" localSheetId="51">'4081'!#REF!</definedName>
    <definedName name="Per_Student" localSheetId="52">'4090'!#REF!</definedName>
    <definedName name="Per_Student" localSheetId="53">'4091'!#REF!</definedName>
    <definedName name="Per_Student" localSheetId="54">'4100'!#REF!</definedName>
    <definedName name="Per_Student" localSheetId="55">'4102'!#REF!</definedName>
    <definedName name="Per_Student" localSheetId="56">'4103'!#REF!</definedName>
    <definedName name="Per_Student" localSheetId="57">'4111'!#REF!</definedName>
    <definedName name="Per_Student" localSheetId="58">'4131'!#REF!</definedName>
    <definedName name="Per_Student" localSheetId="59">'4141'!#REF!</definedName>
    <definedName name="PK___3" localSheetId="10">'0100'!$A$90</definedName>
    <definedName name="PK___3" localSheetId="9">'0571'!$A$90</definedName>
    <definedName name="PK___3" localSheetId="11">'1461'!$A$90</definedName>
    <definedName name="PK___3" localSheetId="12">'1571'!$A$90</definedName>
    <definedName name="PK___3" localSheetId="13">'2521'!$A$90</definedName>
    <definedName name="PK___3" localSheetId="14">'2531'!$A$90</definedName>
    <definedName name="PK___3" localSheetId="15">'2791'!$A$90</definedName>
    <definedName name="PK___3" localSheetId="16">'2801'!$A$90</definedName>
    <definedName name="PK___3" localSheetId="17">'2911'!$A$90</definedName>
    <definedName name="PK___3" localSheetId="18">'2941'!$A$90</definedName>
    <definedName name="PK___3" localSheetId="19">'3083'!$A$90</definedName>
    <definedName name="PK___3" localSheetId="20">'3345'!$A$90</definedName>
    <definedName name="PK___3" localSheetId="21">'3362'!$A$90</definedName>
    <definedName name="PK___3" localSheetId="22">'3381'!$A$90</definedName>
    <definedName name="PK___3" localSheetId="23">'3382'!$A$90</definedName>
    <definedName name="PK___3" localSheetId="24">'3391'!$A$90</definedName>
    <definedName name="PK___3" localSheetId="25">'3394'!$A$90</definedName>
    <definedName name="PK___3" localSheetId="26">'3395'!$A$90</definedName>
    <definedName name="PK___3" localSheetId="27">'3396'!$A$90</definedName>
    <definedName name="PK___3" localSheetId="28">'3398'!$A$90</definedName>
    <definedName name="PK___3" localSheetId="29">'3400'!$A$90</definedName>
    <definedName name="PK___3" localSheetId="30">'3401'!$A$90</definedName>
    <definedName name="PK___3" localSheetId="31">'3413'!$A$90</definedName>
    <definedName name="PK___3" localSheetId="32">'3421'!$A$90</definedName>
    <definedName name="PK___3" localSheetId="33">'3431'!$A$90</definedName>
    <definedName name="PK___3" localSheetId="34">'3441'!$A$90</definedName>
    <definedName name="PK___3" localSheetId="35">'3924'!$A$90</definedName>
    <definedName name="PK___3" localSheetId="36">'3941'!$A$90</definedName>
    <definedName name="PK___3" localSheetId="37">'3961'!$A$90</definedName>
    <definedName name="PK___3" localSheetId="38">'3971'!$A$90</definedName>
    <definedName name="PK___3" localSheetId="39">'4001'!$A$90</definedName>
    <definedName name="PK___3" localSheetId="40">'4002'!$A$90</definedName>
    <definedName name="PK___3" localSheetId="41">'4012'!$A$90</definedName>
    <definedName name="PK___3" localSheetId="42">'4013'!$A$90</definedName>
    <definedName name="PK___3" localSheetId="43">'4020'!$A$90</definedName>
    <definedName name="PK___3" localSheetId="44">'4030'!$A$90</definedName>
    <definedName name="PK___3" localSheetId="45">'4031'!$A$90</definedName>
    <definedName name="PK___3" localSheetId="46">'4041'!$A$90</definedName>
    <definedName name="PK___3" localSheetId="47">'4050'!$A$90</definedName>
    <definedName name="PK___3" localSheetId="48">'4051'!$A$90</definedName>
    <definedName name="PK___3" localSheetId="49">'4061'!$A$90</definedName>
    <definedName name="PK___3" localSheetId="50">'4080'!$A$90</definedName>
    <definedName name="PK___3" localSheetId="51">'4081'!$A$90</definedName>
    <definedName name="PK___3" localSheetId="52">'4090'!$A$90</definedName>
    <definedName name="PK___3" localSheetId="53">'4091'!$A$90</definedName>
    <definedName name="PK___3" localSheetId="54">'4100'!$A$90</definedName>
    <definedName name="PK___3" localSheetId="55">'4102'!$A$90</definedName>
    <definedName name="PK___3" localSheetId="56">'4103'!$A$90</definedName>
    <definedName name="PK___3" localSheetId="57">'4111'!$A$90</definedName>
    <definedName name="PK___3" localSheetId="58">'4131'!$A$90</definedName>
    <definedName name="PK___3" localSheetId="59">'4141'!$A$90</definedName>
    <definedName name="PK___3">'0040'!$A$90</definedName>
    <definedName name="PRACTICE" localSheetId="8"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56" hidden="1">{#N/A,#N/A,FALSE,"Summation";#N/A,#N/A,FALSE,"BSA";#N/A,#N/A,FALSE,"Detail1";#N/A,#N/A,FALSE,"Detail2";#N/A,#N/A,FALSE,"Detail3";#N/A,#N/A,FALSE,"WFTE_Summary";#N/A,#N/A,FALSE,"Funded_WFTE";#N/A,#N/A,FALSE,"PYADJ96"}</definedName>
    <definedName name="PRACTICE" localSheetId="57" hidden="1">{#N/A,#N/A,FALSE,"Summation";#N/A,#N/A,FALSE,"BSA";#N/A,#N/A,FALSE,"Detail1";#N/A,#N/A,FALSE,"Detail2";#N/A,#N/A,FALSE,"Detail3";#N/A,#N/A,FALSE,"WFTE_Summary";#N/A,#N/A,FALSE,"Funded_WFTE";#N/A,#N/A,FALSE,"PYADJ96"}</definedName>
    <definedName name="PRACTICE" localSheetId="58" hidden="1">{#N/A,#N/A,FALSE,"Summation";#N/A,#N/A,FALSE,"BSA";#N/A,#N/A,FALSE,"Detail1";#N/A,#N/A,FALSE,"Detail2";#N/A,#N/A,FALSE,"Detail3";#N/A,#N/A,FALSE,"WFTE_Summary";#N/A,#N/A,FALSE,"Funded_WFTE";#N/A,#N/A,FALSE,"PYADJ96"}</definedName>
    <definedName name="PRACTICE" localSheetId="59"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5"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56" hidden="1">{#N/A,#N/A,FALSE,"Summation";#N/A,#N/A,FALSE,"BSA";#N/A,#N/A,FALSE,"Detail1";#N/A,#N/A,FALSE,"Detail2";#N/A,#N/A,FALSE,"Detail3";#N/A,#N/A,FALSE,"WFTE_Summary";#N/A,#N/A,FALSE,"Funded_WFTE";#N/A,#N/A,FALSE,"PYADJ96"}</definedName>
    <definedName name="PRACTOCE" localSheetId="57" hidden="1">{#N/A,#N/A,FALSE,"Summation";#N/A,#N/A,FALSE,"BSA";#N/A,#N/A,FALSE,"Detail1";#N/A,#N/A,FALSE,"Detail2";#N/A,#N/A,FALSE,"Detail3";#N/A,#N/A,FALSE,"WFTE_Summary";#N/A,#N/A,FALSE,"Funded_WFTE";#N/A,#N/A,FALSE,"PYADJ96"}</definedName>
    <definedName name="PRACTOCE" localSheetId="58" hidden="1">{#N/A,#N/A,FALSE,"Summation";#N/A,#N/A,FALSE,"BSA";#N/A,#N/A,FALSE,"Detail1";#N/A,#N/A,FALSE,"Detail2";#N/A,#N/A,FALSE,"Detail3";#N/A,#N/A,FALSE,"WFTE_Summary";#N/A,#N/A,FALSE,"Funded_WFTE";#N/A,#N/A,FALSE,"PYADJ96"}</definedName>
    <definedName name="PRACTOCE" localSheetId="59"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8">'0040'!$A$2:$J$146</definedName>
    <definedName name="_xlnm.Print_Area" localSheetId="10">'0100'!$A$2:$J$146</definedName>
    <definedName name="_xlnm.Print_Area" localSheetId="9">'0571'!$A$2:$J$146</definedName>
    <definedName name="_xlnm.Print_Area" localSheetId="11">'1461'!$A$2:$J$146</definedName>
    <definedName name="_xlnm.Print_Area" localSheetId="12">'1571'!$A$2:$J$146</definedName>
    <definedName name="_xlnm.Print_Area" localSheetId="13">'2521'!$A$2:$J$146</definedName>
    <definedName name="_xlnm.Print_Area" localSheetId="14">'2531'!$A$2:$J$146</definedName>
    <definedName name="_xlnm.Print_Area" localSheetId="15">'2791'!$A$2:$J$146</definedName>
    <definedName name="_xlnm.Print_Area" localSheetId="16">'2801'!$A$2:$J$146</definedName>
    <definedName name="_xlnm.Print_Area" localSheetId="17">'2911'!$A$2:$J$146</definedName>
    <definedName name="_xlnm.Print_Area" localSheetId="18">'2941'!$A$2:$J$146</definedName>
    <definedName name="_xlnm.Print_Area" localSheetId="19">'3083'!$A$2:$J$146</definedName>
    <definedName name="_xlnm.Print_Area" localSheetId="20">'3345'!$A$2:$J$146</definedName>
    <definedName name="_xlnm.Print_Area" localSheetId="21">'3362'!$A$2:$J$146</definedName>
    <definedName name="_xlnm.Print_Area" localSheetId="22">'3381'!$A$2:$J$146</definedName>
    <definedName name="_xlnm.Print_Area" localSheetId="23">'3382'!$A$2:$J$146</definedName>
    <definedName name="_xlnm.Print_Area" localSheetId="24">'3391'!$A$2:$J$146</definedName>
    <definedName name="_xlnm.Print_Area" localSheetId="25">'3394'!$A$2:$J$146</definedName>
    <definedName name="_xlnm.Print_Area" localSheetId="26">'3395'!$A$2:$J$146</definedName>
    <definedName name="_xlnm.Print_Area" localSheetId="27">'3396'!$A$2:$J$146</definedName>
    <definedName name="_xlnm.Print_Area" localSheetId="28">'3398'!$A$2:$J$146</definedName>
    <definedName name="_xlnm.Print_Area" localSheetId="29">'3400'!$A$2:$J$146</definedName>
    <definedName name="_xlnm.Print_Area" localSheetId="30">'3401'!$A$2:$J$146</definedName>
    <definedName name="_xlnm.Print_Area" localSheetId="31">'3413'!$A$2:$J$146</definedName>
    <definedName name="_xlnm.Print_Area" localSheetId="32">'3421'!$A$2:$J$146</definedName>
    <definedName name="_xlnm.Print_Area" localSheetId="33">'3431'!$A$2:$J$146</definedName>
    <definedName name="_xlnm.Print_Area" localSheetId="34">'3441'!$A$2:$J$146</definedName>
    <definedName name="_xlnm.Print_Area" localSheetId="35">'3924'!$A$2:$J$146</definedName>
    <definedName name="_xlnm.Print_Area" localSheetId="36">'3941'!$A$2:$J$146</definedName>
    <definedName name="_xlnm.Print_Area" localSheetId="37">'3961'!$A$2:$J$146</definedName>
    <definedName name="_xlnm.Print_Area" localSheetId="38">'3971'!$A$2:$J$146</definedName>
    <definedName name="_xlnm.Print_Area" localSheetId="39">'4001'!$A$2:$J$146</definedName>
    <definedName name="_xlnm.Print_Area" localSheetId="40">'4002'!$A$2:$J$146</definedName>
    <definedName name="_xlnm.Print_Area" localSheetId="41">'4012'!$A$2:$J$146</definedName>
    <definedName name="_xlnm.Print_Area" localSheetId="42">'4013'!$A$2:$J$146</definedName>
    <definedName name="_xlnm.Print_Area" localSheetId="43">'4020'!$A$2:$J$146</definedName>
    <definedName name="_xlnm.Print_Area" localSheetId="44">'4030'!$A$2:$J$146</definedName>
    <definedName name="_xlnm.Print_Area" localSheetId="45">'4031'!$A$2:$J$146</definedName>
    <definedName name="_xlnm.Print_Area" localSheetId="46">'4041'!$A$2:$J$146</definedName>
    <definedName name="_xlnm.Print_Area" localSheetId="47">'4050'!$A$2:$J$146</definedName>
    <definedName name="_xlnm.Print_Area" localSheetId="48">'4051'!$A$2:$J$146</definedName>
    <definedName name="_xlnm.Print_Area" localSheetId="49">'4061'!$A$2:$J$146</definedName>
    <definedName name="_xlnm.Print_Area" localSheetId="50">'4080'!$A$2:$J$146</definedName>
    <definedName name="_xlnm.Print_Area" localSheetId="51">'4081'!$A$2:$J$146</definedName>
    <definedName name="_xlnm.Print_Area" localSheetId="52">'4090'!$A$2:$J$146</definedName>
    <definedName name="_xlnm.Print_Area" localSheetId="53">'4091'!$A$2:$J$146</definedName>
    <definedName name="_xlnm.Print_Area" localSheetId="54">'4100'!$A$2:$J$146</definedName>
    <definedName name="_xlnm.Print_Area" localSheetId="55">'4102'!$A$2:$J$146</definedName>
    <definedName name="_xlnm.Print_Area" localSheetId="56">'4103'!$A$2:$J$146</definedName>
    <definedName name="_xlnm.Print_Area" localSheetId="57">'4111'!$A$2:$J$146</definedName>
    <definedName name="_xlnm.Print_Area" localSheetId="58">'4131'!$A$2:$J$146</definedName>
    <definedName name="_xlnm.Print_Area" localSheetId="59">'4141'!$A$2:$J$146</definedName>
    <definedName name="_xlnm.Print_Area" localSheetId="5">Consolidated!$A$2:$I$160</definedName>
    <definedName name="_xlnm.Print_Area" localSheetId="1">'Net Payment'!$A$1:$G$510</definedName>
    <definedName name="_xlnm.Print_Titles" localSheetId="1">'Net Payment'!$1:$4</definedName>
    <definedName name="Program" localSheetId="10">'0100'!$A$10</definedName>
    <definedName name="Program" localSheetId="9">'0571'!$A$10</definedName>
    <definedName name="Program" localSheetId="11">'1461'!$A$10</definedName>
    <definedName name="Program" localSheetId="12">'1571'!$A$10</definedName>
    <definedName name="Program" localSheetId="13">'2521'!$A$10</definedName>
    <definedName name="Program" localSheetId="14">'2531'!$A$10</definedName>
    <definedName name="Program" localSheetId="15">'2791'!$A$10</definedName>
    <definedName name="Program" localSheetId="16">'2801'!$A$10</definedName>
    <definedName name="Program" localSheetId="17">'2911'!$A$10</definedName>
    <definedName name="Program" localSheetId="18">'2941'!$A$10</definedName>
    <definedName name="Program" localSheetId="19">'3083'!$A$10</definedName>
    <definedName name="Program" localSheetId="20">'3345'!$A$10</definedName>
    <definedName name="Program" localSheetId="21">'3362'!$A$10</definedName>
    <definedName name="Program" localSheetId="22">'3381'!$A$10</definedName>
    <definedName name="Program" localSheetId="23">'3382'!$A$10</definedName>
    <definedName name="Program" localSheetId="24">'3391'!$A$10</definedName>
    <definedName name="Program" localSheetId="25">'3394'!$A$10</definedName>
    <definedName name="Program" localSheetId="26">'3395'!$A$10</definedName>
    <definedName name="Program" localSheetId="27">'3396'!$A$10</definedName>
    <definedName name="Program" localSheetId="28">'3398'!$A$10</definedName>
    <definedName name="Program" localSheetId="29">'3400'!$A$10</definedName>
    <definedName name="Program" localSheetId="30">'3401'!$A$10</definedName>
    <definedName name="Program" localSheetId="31">'3413'!$A$10</definedName>
    <definedName name="Program" localSheetId="32">'3421'!$A$10</definedName>
    <definedName name="Program" localSheetId="33">'3431'!$A$10</definedName>
    <definedName name="Program" localSheetId="34">'3441'!$A$10</definedName>
    <definedName name="Program" localSheetId="35">'3924'!$A$10</definedName>
    <definedName name="Program" localSheetId="36">'3941'!$A$10</definedName>
    <definedName name="Program" localSheetId="37">'3961'!$A$10</definedName>
    <definedName name="Program" localSheetId="38">'3971'!$A$10</definedName>
    <definedName name="Program" localSheetId="39">'4001'!$A$10</definedName>
    <definedName name="Program" localSheetId="40">'4002'!$A$10</definedName>
    <definedName name="Program" localSheetId="41">'4012'!$A$10</definedName>
    <definedName name="Program" localSheetId="42">'4013'!$A$10</definedName>
    <definedName name="Program" localSheetId="43">'4020'!$A$10</definedName>
    <definedName name="Program" localSheetId="44">'4030'!$A$10</definedName>
    <definedName name="Program" localSheetId="45">'4031'!$A$10</definedName>
    <definedName name="Program" localSheetId="46">'4041'!$A$10</definedName>
    <definedName name="Program" localSheetId="47">'4050'!$A$10</definedName>
    <definedName name="Program" localSheetId="48">'4051'!$A$10</definedName>
    <definedName name="Program" localSheetId="49">'4061'!$A$10</definedName>
    <definedName name="Program" localSheetId="50">'4080'!$A$10</definedName>
    <definedName name="Program" localSheetId="51">'4081'!$A$10</definedName>
    <definedName name="Program" localSheetId="52">'4090'!$A$10</definedName>
    <definedName name="Program" localSheetId="53">'4091'!$A$10</definedName>
    <definedName name="Program" localSheetId="54">'4100'!$A$10</definedName>
    <definedName name="Program" localSheetId="55">'4102'!$A$10</definedName>
    <definedName name="Program" localSheetId="56">'4103'!$A$10</definedName>
    <definedName name="Program" localSheetId="57">'4111'!$A$10</definedName>
    <definedName name="Program" localSheetId="58">'4131'!$A$10</definedName>
    <definedName name="Program" localSheetId="59">'4141'!$A$10</definedName>
    <definedName name="Program">'0040'!$A$10</definedName>
    <definedName name="Program______________________________Cost_Factor" localSheetId="10">'0100'!$G$10</definedName>
    <definedName name="Program______________________________Cost_Factor" localSheetId="9">'0571'!$G$10</definedName>
    <definedName name="Program______________________________Cost_Factor" localSheetId="11">'1461'!$G$10</definedName>
    <definedName name="Program______________________________Cost_Factor" localSheetId="12">'1571'!$G$10</definedName>
    <definedName name="Program______________________________Cost_Factor" localSheetId="13">'2521'!$G$10</definedName>
    <definedName name="Program______________________________Cost_Factor" localSheetId="14">'2531'!$G$10</definedName>
    <definedName name="Program______________________________Cost_Factor" localSheetId="15">'2791'!$G$10</definedName>
    <definedName name="Program______________________________Cost_Factor" localSheetId="16">'2801'!$G$10</definedName>
    <definedName name="Program______________________________Cost_Factor" localSheetId="17">'2911'!$G$10</definedName>
    <definedName name="Program______________________________Cost_Factor" localSheetId="18">'2941'!$G$10</definedName>
    <definedName name="Program______________________________Cost_Factor" localSheetId="19">'3083'!$G$10</definedName>
    <definedName name="Program______________________________Cost_Factor" localSheetId="20">'3345'!$G$10</definedName>
    <definedName name="Program______________________________Cost_Factor" localSheetId="21">'3362'!$G$10</definedName>
    <definedName name="Program______________________________Cost_Factor" localSheetId="22">'3381'!$G$10</definedName>
    <definedName name="Program______________________________Cost_Factor" localSheetId="23">'3382'!$G$10</definedName>
    <definedName name="Program______________________________Cost_Factor" localSheetId="24">'3391'!$G$10</definedName>
    <definedName name="Program______________________________Cost_Factor" localSheetId="25">'3394'!$G$10</definedName>
    <definedName name="Program______________________________Cost_Factor" localSheetId="26">'3395'!$G$10</definedName>
    <definedName name="Program______________________________Cost_Factor" localSheetId="27">'3396'!$G$10</definedName>
    <definedName name="Program______________________________Cost_Factor" localSheetId="28">'3398'!$G$10</definedName>
    <definedName name="Program______________________________Cost_Factor" localSheetId="29">'3400'!$G$10</definedName>
    <definedName name="Program______________________________Cost_Factor" localSheetId="30">'3401'!$G$10</definedName>
    <definedName name="Program______________________________Cost_Factor" localSheetId="31">'3413'!$G$10</definedName>
    <definedName name="Program______________________________Cost_Factor" localSheetId="32">'3421'!$G$10</definedName>
    <definedName name="Program______________________________Cost_Factor" localSheetId="33">'3431'!$G$10</definedName>
    <definedName name="Program______________________________Cost_Factor" localSheetId="34">'3441'!$G$10</definedName>
    <definedName name="Program______________________________Cost_Factor" localSheetId="35">'3924'!$G$10</definedName>
    <definedName name="Program______________________________Cost_Factor" localSheetId="36">'3941'!$G$10</definedName>
    <definedName name="Program______________________________Cost_Factor" localSheetId="37">'3961'!$G$10</definedName>
    <definedName name="Program______________________________Cost_Factor" localSheetId="38">'3971'!$G$10</definedName>
    <definedName name="Program______________________________Cost_Factor" localSheetId="39">'4001'!$G$10</definedName>
    <definedName name="Program______________________________Cost_Factor" localSheetId="40">'4002'!$G$10</definedName>
    <definedName name="Program______________________________Cost_Factor" localSheetId="41">'4012'!$G$10</definedName>
    <definedName name="Program______________________________Cost_Factor" localSheetId="42">'4013'!$G$10</definedName>
    <definedName name="Program______________________________Cost_Factor" localSheetId="43">'4020'!$G$10</definedName>
    <definedName name="Program______________________________Cost_Factor" localSheetId="44">'4030'!$G$10</definedName>
    <definedName name="Program______________________________Cost_Factor" localSheetId="45">'4031'!$G$10</definedName>
    <definedName name="Program______________________________Cost_Factor" localSheetId="46">'4041'!$G$10</definedName>
    <definedName name="Program______________________________Cost_Factor" localSheetId="47">'4050'!$G$10</definedName>
    <definedName name="Program______________________________Cost_Factor" localSheetId="48">'4051'!$G$10</definedName>
    <definedName name="Program______________________________Cost_Factor" localSheetId="49">'4061'!$G$10</definedName>
    <definedName name="Program______________________________Cost_Factor" localSheetId="50">'4080'!$G$10</definedName>
    <definedName name="Program______________________________Cost_Factor" localSheetId="51">'4081'!$G$10</definedName>
    <definedName name="Program______________________________Cost_Factor" localSheetId="52">'4090'!$G$10</definedName>
    <definedName name="Program______________________________Cost_Factor" localSheetId="53">'4091'!$G$10</definedName>
    <definedName name="Program______________________________Cost_Factor" localSheetId="54">'4100'!$G$10</definedName>
    <definedName name="Program______________________________Cost_Factor" localSheetId="55">'4102'!$G$10</definedName>
    <definedName name="Program______________________________Cost_Factor" localSheetId="56">'4103'!$G$10</definedName>
    <definedName name="Program______________________________Cost_Factor" localSheetId="57">'4111'!$G$10</definedName>
    <definedName name="Program______________________________Cost_Factor" localSheetId="58">'4131'!$G$10</definedName>
    <definedName name="Program______________________________Cost_Factor" localSheetId="59">'4141'!$G$10</definedName>
    <definedName name="Program______________________________Cost_Factor">'0040'!$G$10</definedName>
    <definedName name="Revenue_Estimate_Worksheet_for___________Charter_School" localSheetId="10">'0100'!$A$2</definedName>
    <definedName name="Revenue_Estimate_Worksheet_for___________Charter_School" localSheetId="9">'0571'!$A$2</definedName>
    <definedName name="Revenue_Estimate_Worksheet_for___________Charter_School" localSheetId="11">'1461'!$A$2</definedName>
    <definedName name="Revenue_Estimate_Worksheet_for___________Charter_School" localSheetId="12">'1571'!$A$2</definedName>
    <definedName name="Revenue_Estimate_Worksheet_for___________Charter_School" localSheetId="13">'2521'!$A$2</definedName>
    <definedName name="Revenue_Estimate_Worksheet_for___________Charter_School" localSheetId="14">'2531'!$A$2</definedName>
    <definedName name="Revenue_Estimate_Worksheet_for___________Charter_School" localSheetId="15">'2791'!$A$2</definedName>
    <definedName name="Revenue_Estimate_Worksheet_for___________Charter_School" localSheetId="16">'2801'!$A$2</definedName>
    <definedName name="Revenue_Estimate_Worksheet_for___________Charter_School" localSheetId="17">'2911'!$A$2</definedName>
    <definedName name="Revenue_Estimate_Worksheet_for___________Charter_School" localSheetId="18">'2941'!$A$2</definedName>
    <definedName name="Revenue_Estimate_Worksheet_for___________Charter_School" localSheetId="19">'3083'!$A$2</definedName>
    <definedName name="Revenue_Estimate_Worksheet_for___________Charter_School" localSheetId="20">'3345'!$A$2</definedName>
    <definedName name="Revenue_Estimate_Worksheet_for___________Charter_School" localSheetId="21">'3362'!$A$2</definedName>
    <definedName name="Revenue_Estimate_Worksheet_for___________Charter_School" localSheetId="22">'3381'!$A$2</definedName>
    <definedName name="Revenue_Estimate_Worksheet_for___________Charter_School" localSheetId="23">'3382'!$A$2</definedName>
    <definedName name="Revenue_Estimate_Worksheet_for___________Charter_School" localSheetId="24">'3391'!$A$2</definedName>
    <definedName name="Revenue_Estimate_Worksheet_for___________Charter_School" localSheetId="25">'3394'!$A$2</definedName>
    <definedName name="Revenue_Estimate_Worksheet_for___________Charter_School" localSheetId="26">'3395'!$A$2</definedName>
    <definedName name="Revenue_Estimate_Worksheet_for___________Charter_School" localSheetId="27">'3396'!$A$2</definedName>
    <definedName name="Revenue_Estimate_Worksheet_for___________Charter_School" localSheetId="28">'3398'!$A$2</definedName>
    <definedName name="Revenue_Estimate_Worksheet_for___________Charter_School" localSheetId="29">'3400'!$A$2</definedName>
    <definedName name="Revenue_Estimate_Worksheet_for___________Charter_School" localSheetId="30">'3401'!$A$2</definedName>
    <definedName name="Revenue_Estimate_Worksheet_for___________Charter_School" localSheetId="31">'3413'!$A$2</definedName>
    <definedName name="Revenue_Estimate_Worksheet_for___________Charter_School" localSheetId="32">'3421'!$A$2</definedName>
    <definedName name="Revenue_Estimate_Worksheet_for___________Charter_School" localSheetId="33">'3431'!$A$2</definedName>
    <definedName name="Revenue_Estimate_Worksheet_for___________Charter_School" localSheetId="34">'3441'!$A$2</definedName>
    <definedName name="Revenue_Estimate_Worksheet_for___________Charter_School" localSheetId="35">'3924'!$A$2</definedName>
    <definedName name="Revenue_Estimate_Worksheet_for___________Charter_School" localSheetId="36">'3941'!$A$2</definedName>
    <definedName name="Revenue_Estimate_Worksheet_for___________Charter_School" localSheetId="37">'3961'!$A$2</definedName>
    <definedName name="Revenue_Estimate_Worksheet_for___________Charter_School" localSheetId="38">'3971'!$A$2</definedName>
    <definedName name="Revenue_Estimate_Worksheet_for___________Charter_School" localSheetId="39">'4001'!$A$2</definedName>
    <definedName name="Revenue_Estimate_Worksheet_for___________Charter_School" localSheetId="40">'4002'!$A$2</definedName>
    <definedName name="Revenue_Estimate_Worksheet_for___________Charter_School" localSheetId="41">'4012'!$A$2</definedName>
    <definedName name="Revenue_Estimate_Worksheet_for___________Charter_School" localSheetId="42">'4013'!$A$2</definedName>
    <definedName name="Revenue_Estimate_Worksheet_for___________Charter_School" localSheetId="43">'4020'!$A$2</definedName>
    <definedName name="Revenue_Estimate_Worksheet_for___________Charter_School" localSheetId="44">'4030'!$A$2</definedName>
    <definedName name="Revenue_Estimate_Worksheet_for___________Charter_School" localSheetId="45">'4031'!$A$2</definedName>
    <definedName name="Revenue_Estimate_Worksheet_for___________Charter_School" localSheetId="46">'4041'!$A$2</definedName>
    <definedName name="Revenue_Estimate_Worksheet_for___________Charter_School" localSheetId="47">'4050'!$A$2</definedName>
    <definedName name="Revenue_Estimate_Worksheet_for___________Charter_School" localSheetId="48">'4051'!$A$2</definedName>
    <definedName name="Revenue_Estimate_Worksheet_for___________Charter_School" localSheetId="49">'4061'!$A$2</definedName>
    <definedName name="Revenue_Estimate_Worksheet_for___________Charter_School" localSheetId="50">'4080'!$A$2</definedName>
    <definedName name="Revenue_Estimate_Worksheet_for___________Charter_School" localSheetId="51">'4081'!$A$2</definedName>
    <definedName name="Revenue_Estimate_Worksheet_for___________Charter_School" localSheetId="52">'4090'!$A$2</definedName>
    <definedName name="Revenue_Estimate_Worksheet_for___________Charter_School" localSheetId="53">'4091'!$A$2</definedName>
    <definedName name="Revenue_Estimate_Worksheet_for___________Charter_School" localSheetId="54">'4100'!$A$2</definedName>
    <definedName name="Revenue_Estimate_Worksheet_for___________Charter_School" localSheetId="55">'4102'!$A$2</definedName>
    <definedName name="Revenue_Estimate_Worksheet_for___________Charter_School" localSheetId="56">'4103'!$A$2</definedName>
    <definedName name="Revenue_Estimate_Worksheet_for___________Charter_School" localSheetId="57">'4111'!$A$2</definedName>
    <definedName name="Revenue_Estimate_Worksheet_for___________Charter_School" localSheetId="58">'4131'!$A$2</definedName>
    <definedName name="Revenue_Estimate_Worksheet_for___________Charter_School" localSheetId="59">'4141'!$A$2</definedName>
    <definedName name="Revenue_Estimate_Worksheet_for___________Charter_School">'0040'!$A$2</definedName>
    <definedName name="School_District" localSheetId="10">'0100'!$A$4</definedName>
    <definedName name="School_District" localSheetId="9">'0571'!$A$4</definedName>
    <definedName name="School_District" localSheetId="11">'1461'!$A$4</definedName>
    <definedName name="School_District" localSheetId="12">'1571'!$A$4</definedName>
    <definedName name="School_District" localSheetId="13">'2521'!$A$4</definedName>
    <definedName name="School_District" localSheetId="14">'2531'!$A$4</definedName>
    <definedName name="School_District" localSheetId="15">'2791'!$A$4</definedName>
    <definedName name="School_District" localSheetId="16">'2801'!$A$4</definedName>
    <definedName name="School_District" localSheetId="17">'2911'!$A$4</definedName>
    <definedName name="School_District" localSheetId="18">'2941'!$A$4</definedName>
    <definedName name="School_District" localSheetId="19">'3083'!$A$4</definedName>
    <definedName name="School_District" localSheetId="20">'3345'!$A$4</definedName>
    <definedName name="School_District" localSheetId="21">'3362'!$A$4</definedName>
    <definedName name="School_District" localSheetId="22">'3381'!$A$4</definedName>
    <definedName name="School_District" localSheetId="23">'3382'!$A$4</definedName>
    <definedName name="School_District" localSheetId="24">'3391'!$A$4</definedName>
    <definedName name="School_District" localSheetId="25">'3394'!$A$4</definedName>
    <definedName name="School_District" localSheetId="26">'3395'!$A$4</definedName>
    <definedName name="School_District" localSheetId="27">'3396'!$A$4</definedName>
    <definedName name="School_District" localSheetId="28">'3398'!$A$4</definedName>
    <definedName name="School_District" localSheetId="29">'3400'!$A$4</definedName>
    <definedName name="School_District" localSheetId="30">'3401'!$A$4</definedName>
    <definedName name="School_District" localSheetId="31">'3413'!$A$4</definedName>
    <definedName name="School_District" localSheetId="32">'3421'!$A$4</definedName>
    <definedName name="School_District" localSheetId="33">'3431'!$A$4</definedName>
    <definedName name="School_District" localSheetId="34">'3441'!$A$4</definedName>
    <definedName name="School_District" localSheetId="35">'3924'!$A$4</definedName>
    <definedName name="School_District" localSheetId="36">'3941'!$A$4</definedName>
    <definedName name="School_District" localSheetId="37">'3961'!$A$4</definedName>
    <definedName name="School_District" localSheetId="38">'3971'!$A$4</definedName>
    <definedName name="School_District" localSheetId="39">'4001'!$A$4</definedName>
    <definedName name="School_District" localSheetId="40">'4002'!$A$4</definedName>
    <definedName name="School_District" localSheetId="41">'4012'!$A$4</definedName>
    <definedName name="School_District" localSheetId="42">'4013'!$A$4</definedName>
    <definedName name="School_District" localSheetId="43">'4020'!$A$4</definedName>
    <definedName name="School_District" localSheetId="44">'4030'!$A$4</definedName>
    <definedName name="School_District" localSheetId="45">'4031'!$A$4</definedName>
    <definedName name="School_District" localSheetId="46">'4041'!$A$4</definedName>
    <definedName name="School_District" localSheetId="47">'4050'!$A$4</definedName>
    <definedName name="School_District" localSheetId="48">'4051'!$A$4</definedName>
    <definedName name="School_District" localSheetId="49">'4061'!$A$4</definedName>
    <definedName name="School_District" localSheetId="50">'4080'!$A$4</definedName>
    <definedName name="School_District" localSheetId="51">'4081'!$A$4</definedName>
    <definedName name="School_District" localSheetId="52">'4090'!$A$4</definedName>
    <definedName name="School_District" localSheetId="53">'4091'!$A$4</definedName>
    <definedName name="School_District" localSheetId="54">'4100'!$A$4</definedName>
    <definedName name="School_District" localSheetId="55">'4102'!$A$4</definedName>
    <definedName name="School_District" localSheetId="56">'4103'!$A$4</definedName>
    <definedName name="School_District" localSheetId="57">'4111'!$A$4</definedName>
    <definedName name="School_District" localSheetId="58">'4131'!$A$4</definedName>
    <definedName name="School_District" localSheetId="59">'4141'!$A$4</definedName>
    <definedName name="School_District">'0040'!$A$4</definedName>
    <definedName name="Total" localSheetId="10">'0100'!$A$93</definedName>
    <definedName name="Total" localSheetId="9">'0571'!$A$93</definedName>
    <definedName name="Total" localSheetId="11">'1461'!$A$93</definedName>
    <definedName name="Total" localSheetId="12">'1571'!$A$93</definedName>
    <definedName name="Total" localSheetId="13">'2521'!$A$93</definedName>
    <definedName name="Total" localSheetId="14">'2531'!$A$93</definedName>
    <definedName name="Total" localSheetId="15">'2791'!$A$93</definedName>
    <definedName name="Total" localSheetId="16">'2801'!$A$93</definedName>
    <definedName name="Total" localSheetId="17">'2911'!$A$93</definedName>
    <definedName name="Total" localSheetId="18">'2941'!$A$93</definedName>
    <definedName name="Total" localSheetId="19">'3083'!$A$93</definedName>
    <definedName name="Total" localSheetId="20">'3345'!$A$93</definedName>
    <definedName name="Total" localSheetId="21">'3362'!$A$93</definedName>
    <definedName name="Total" localSheetId="22">'3381'!$A$93</definedName>
    <definedName name="Total" localSheetId="23">'3382'!$A$93</definedName>
    <definedName name="Total" localSheetId="24">'3391'!$A$93</definedName>
    <definedName name="Total" localSheetId="25">'3394'!$A$93</definedName>
    <definedName name="Total" localSheetId="26">'3395'!$A$93</definedName>
    <definedName name="Total" localSheetId="27">'3396'!$A$93</definedName>
    <definedName name="Total" localSheetId="28">'3398'!$A$93</definedName>
    <definedName name="Total" localSheetId="29">'3400'!$A$93</definedName>
    <definedName name="Total" localSheetId="30">'3401'!$A$93</definedName>
    <definedName name="Total" localSheetId="31">'3413'!$A$93</definedName>
    <definedName name="Total" localSheetId="32">'3421'!$A$93</definedName>
    <definedName name="Total" localSheetId="33">'3431'!$A$93</definedName>
    <definedName name="Total" localSheetId="34">'3441'!$A$93</definedName>
    <definedName name="Total" localSheetId="35">'3924'!$A$93</definedName>
    <definedName name="Total" localSheetId="36">'3941'!$A$93</definedName>
    <definedName name="Total" localSheetId="37">'3961'!$A$93</definedName>
    <definedName name="Total" localSheetId="38">'3971'!$A$93</definedName>
    <definedName name="Total" localSheetId="39">'4001'!$A$93</definedName>
    <definedName name="Total" localSheetId="40">'4002'!$A$93</definedName>
    <definedName name="Total" localSheetId="41">'4012'!$A$93</definedName>
    <definedName name="Total" localSheetId="42">'4013'!$A$93</definedName>
    <definedName name="Total" localSheetId="43">'4020'!$A$93</definedName>
    <definedName name="Total" localSheetId="44">'4030'!$A$93</definedName>
    <definedName name="Total" localSheetId="45">'4031'!$A$93</definedName>
    <definedName name="Total" localSheetId="46">'4041'!$A$93</definedName>
    <definedName name="Total" localSheetId="47">'4050'!$A$93</definedName>
    <definedName name="Total" localSheetId="48">'4051'!$A$93</definedName>
    <definedName name="Total" localSheetId="49">'4061'!$A$93</definedName>
    <definedName name="Total" localSheetId="50">'4080'!$A$93</definedName>
    <definedName name="Total" localSheetId="51">'4081'!$A$93</definedName>
    <definedName name="Total" localSheetId="52">'4090'!$A$93</definedName>
    <definedName name="Total" localSheetId="53">'4091'!$A$93</definedName>
    <definedName name="Total" localSheetId="54">'4100'!$A$93</definedName>
    <definedName name="Total" localSheetId="55">'4102'!$A$93</definedName>
    <definedName name="Total" localSheetId="56">'4103'!$A$93</definedName>
    <definedName name="Total" localSheetId="57">'4111'!$A$93</definedName>
    <definedName name="Total" localSheetId="58">'4131'!$A$93</definedName>
    <definedName name="Total" localSheetId="59">'4141'!$A$93</definedName>
    <definedName name="Total">'0040'!$A$93</definedName>
    <definedName name="Total_Class_Size_Reduction_Funds" localSheetId="10">'0100'!$E$93</definedName>
    <definedName name="Total_Class_Size_Reduction_Funds" localSheetId="9">'0571'!$E$93</definedName>
    <definedName name="Total_Class_Size_Reduction_Funds" localSheetId="11">'1461'!$E$93</definedName>
    <definedName name="Total_Class_Size_Reduction_Funds" localSheetId="12">'1571'!$E$93</definedName>
    <definedName name="Total_Class_Size_Reduction_Funds" localSheetId="13">'2521'!$E$93</definedName>
    <definedName name="Total_Class_Size_Reduction_Funds" localSheetId="14">'2531'!$E$93</definedName>
    <definedName name="Total_Class_Size_Reduction_Funds" localSheetId="15">'2791'!$E$93</definedName>
    <definedName name="Total_Class_Size_Reduction_Funds" localSheetId="16">'2801'!$E$93</definedName>
    <definedName name="Total_Class_Size_Reduction_Funds" localSheetId="17">'2911'!$E$93</definedName>
    <definedName name="Total_Class_Size_Reduction_Funds" localSheetId="18">'2941'!$E$93</definedName>
    <definedName name="Total_Class_Size_Reduction_Funds" localSheetId="19">'3083'!$E$93</definedName>
    <definedName name="Total_Class_Size_Reduction_Funds" localSheetId="20">'3345'!$E$93</definedName>
    <definedName name="Total_Class_Size_Reduction_Funds" localSheetId="21">'3362'!$E$93</definedName>
    <definedName name="Total_Class_Size_Reduction_Funds" localSheetId="22">'3381'!$E$93</definedName>
    <definedName name="Total_Class_Size_Reduction_Funds" localSheetId="23">'3382'!$E$93</definedName>
    <definedName name="Total_Class_Size_Reduction_Funds" localSheetId="24">'3391'!$E$93</definedName>
    <definedName name="Total_Class_Size_Reduction_Funds" localSheetId="25">'3394'!$E$93</definedName>
    <definedName name="Total_Class_Size_Reduction_Funds" localSheetId="26">'3395'!$E$93</definedName>
    <definedName name="Total_Class_Size_Reduction_Funds" localSheetId="27">'3396'!$E$93</definedName>
    <definedName name="Total_Class_Size_Reduction_Funds" localSheetId="28">'3398'!$E$93</definedName>
    <definedName name="Total_Class_Size_Reduction_Funds" localSheetId="29">'3400'!$E$93</definedName>
    <definedName name="Total_Class_Size_Reduction_Funds" localSheetId="30">'3401'!$E$93</definedName>
    <definedName name="Total_Class_Size_Reduction_Funds" localSheetId="31">'3413'!$E$93</definedName>
    <definedName name="Total_Class_Size_Reduction_Funds" localSheetId="32">'3421'!$E$93</definedName>
    <definedName name="Total_Class_Size_Reduction_Funds" localSheetId="33">'3431'!$E$93</definedName>
    <definedName name="Total_Class_Size_Reduction_Funds" localSheetId="34">'3441'!$E$93</definedName>
    <definedName name="Total_Class_Size_Reduction_Funds" localSheetId="35">'3924'!$E$93</definedName>
    <definedName name="Total_Class_Size_Reduction_Funds" localSheetId="36">'3941'!$E$93</definedName>
    <definedName name="Total_Class_Size_Reduction_Funds" localSheetId="37">'3961'!$E$93</definedName>
    <definedName name="Total_Class_Size_Reduction_Funds" localSheetId="38">'3971'!$E$93</definedName>
    <definedName name="Total_Class_Size_Reduction_Funds" localSheetId="39">'4001'!$E$93</definedName>
    <definedName name="Total_Class_Size_Reduction_Funds" localSheetId="40">'4002'!$E$93</definedName>
    <definedName name="Total_Class_Size_Reduction_Funds" localSheetId="41">'4012'!$E$93</definedName>
    <definedName name="Total_Class_Size_Reduction_Funds" localSheetId="42">'4013'!$E$93</definedName>
    <definedName name="Total_Class_Size_Reduction_Funds" localSheetId="43">'4020'!$E$93</definedName>
    <definedName name="Total_Class_Size_Reduction_Funds" localSheetId="44">'4030'!$E$93</definedName>
    <definedName name="Total_Class_Size_Reduction_Funds" localSheetId="45">'4031'!$E$93</definedName>
    <definedName name="Total_Class_Size_Reduction_Funds" localSheetId="46">'4041'!$E$93</definedName>
    <definedName name="Total_Class_Size_Reduction_Funds" localSheetId="47">'4050'!$E$93</definedName>
    <definedName name="Total_Class_Size_Reduction_Funds" localSheetId="48">'4051'!$E$93</definedName>
    <definedName name="Total_Class_Size_Reduction_Funds" localSheetId="49">'4061'!$E$93</definedName>
    <definedName name="Total_Class_Size_Reduction_Funds" localSheetId="50">'4080'!$E$93</definedName>
    <definedName name="Total_Class_Size_Reduction_Funds" localSheetId="51">'4081'!$E$93</definedName>
    <definedName name="Total_Class_Size_Reduction_Funds" localSheetId="52">'4090'!$E$93</definedName>
    <definedName name="Total_Class_Size_Reduction_Funds" localSheetId="53">'4091'!$E$93</definedName>
    <definedName name="Total_Class_Size_Reduction_Funds" localSheetId="54">'4100'!$E$93</definedName>
    <definedName name="Total_Class_Size_Reduction_Funds" localSheetId="55">'4102'!$E$93</definedName>
    <definedName name="Total_Class_Size_Reduction_Funds" localSheetId="56">'4103'!$E$93</definedName>
    <definedName name="Total_Class_Size_Reduction_Funds" localSheetId="57">'4111'!$E$93</definedName>
    <definedName name="Total_Class_Size_Reduction_Funds" localSheetId="58">'4131'!$E$93</definedName>
    <definedName name="Total_Class_Size_Reduction_Funds" localSheetId="59">'4141'!$E$93</definedName>
    <definedName name="Total_Class_Size_Reduction_Funds">'0040'!$E$93</definedName>
    <definedName name="Total_from_ESE_Guarantee" localSheetId="10">'0100'!#REF!</definedName>
    <definedName name="Total_from_ESE_Guarantee" localSheetId="9">'0571'!#REF!</definedName>
    <definedName name="Total_from_ESE_Guarantee" localSheetId="11">'1461'!#REF!</definedName>
    <definedName name="Total_from_ESE_Guarantee" localSheetId="12">'1571'!#REF!</definedName>
    <definedName name="Total_from_ESE_Guarantee" localSheetId="13">'2521'!#REF!</definedName>
    <definedName name="Total_from_ESE_Guarantee" localSheetId="14">'2531'!#REF!</definedName>
    <definedName name="Total_from_ESE_Guarantee" localSheetId="15">'2791'!#REF!</definedName>
    <definedName name="Total_from_ESE_Guarantee" localSheetId="16">'2801'!#REF!</definedName>
    <definedName name="Total_from_ESE_Guarantee" localSheetId="17">'2911'!#REF!</definedName>
    <definedName name="Total_from_ESE_Guarantee" localSheetId="18">'2941'!#REF!</definedName>
    <definedName name="Total_from_ESE_Guarantee" localSheetId="19">'3083'!#REF!</definedName>
    <definedName name="Total_from_ESE_Guarantee" localSheetId="20">'3345'!#REF!</definedName>
    <definedName name="Total_from_ESE_Guarantee" localSheetId="21">'3362'!#REF!</definedName>
    <definedName name="Total_from_ESE_Guarantee" localSheetId="22">'3381'!#REF!</definedName>
    <definedName name="Total_from_ESE_Guarantee" localSheetId="23">'3382'!#REF!</definedName>
    <definedName name="Total_from_ESE_Guarantee" localSheetId="24">'3391'!#REF!</definedName>
    <definedName name="Total_from_ESE_Guarantee" localSheetId="25">'3394'!#REF!</definedName>
    <definedName name="Total_from_ESE_Guarantee" localSheetId="26">'3395'!#REF!</definedName>
    <definedName name="Total_from_ESE_Guarantee" localSheetId="27">'3396'!#REF!</definedName>
    <definedName name="Total_from_ESE_Guarantee" localSheetId="28">'3398'!#REF!</definedName>
    <definedName name="Total_from_ESE_Guarantee" localSheetId="29">'3400'!#REF!</definedName>
    <definedName name="Total_from_ESE_Guarantee" localSheetId="30">'3401'!#REF!</definedName>
    <definedName name="Total_from_ESE_Guarantee" localSheetId="31">'3413'!#REF!</definedName>
    <definedName name="Total_from_ESE_Guarantee" localSheetId="32">'3421'!#REF!</definedName>
    <definedName name="Total_from_ESE_Guarantee" localSheetId="33">'3431'!#REF!</definedName>
    <definedName name="Total_from_ESE_Guarantee" localSheetId="34">'3441'!#REF!</definedName>
    <definedName name="Total_from_ESE_Guarantee" localSheetId="35">'3924'!#REF!</definedName>
    <definedName name="Total_from_ESE_Guarantee" localSheetId="36">'3941'!#REF!</definedName>
    <definedName name="Total_from_ESE_Guarantee" localSheetId="37">'3961'!#REF!</definedName>
    <definedName name="Total_from_ESE_Guarantee" localSheetId="38">'3971'!#REF!</definedName>
    <definedName name="Total_from_ESE_Guarantee" localSheetId="39">'4001'!#REF!</definedName>
    <definedName name="Total_from_ESE_Guarantee" localSheetId="40">'4002'!#REF!</definedName>
    <definedName name="Total_from_ESE_Guarantee" localSheetId="41">'4012'!#REF!</definedName>
    <definedName name="Total_from_ESE_Guarantee" localSheetId="42">'4013'!#REF!</definedName>
    <definedName name="Total_from_ESE_Guarantee" localSheetId="43">'4020'!#REF!</definedName>
    <definedName name="Total_from_ESE_Guarantee" localSheetId="44">'4030'!#REF!</definedName>
    <definedName name="Total_from_ESE_Guarantee" localSheetId="45">'4031'!#REF!</definedName>
    <definedName name="Total_from_ESE_Guarantee" localSheetId="46">'4041'!#REF!</definedName>
    <definedName name="Total_from_ESE_Guarantee" localSheetId="47">'4050'!#REF!</definedName>
    <definedName name="Total_from_ESE_Guarantee" localSheetId="48">'4051'!#REF!</definedName>
    <definedName name="Total_from_ESE_Guarantee" localSheetId="49">'4061'!#REF!</definedName>
    <definedName name="Total_from_ESE_Guarantee" localSheetId="50">'4080'!#REF!</definedName>
    <definedName name="Total_from_ESE_Guarantee" localSheetId="51">'4081'!#REF!</definedName>
    <definedName name="Total_from_ESE_Guarantee" localSheetId="52">'4090'!#REF!</definedName>
    <definedName name="Total_from_ESE_Guarantee" localSheetId="53">'4091'!#REF!</definedName>
    <definedName name="Total_from_ESE_Guarantee" localSheetId="54">'4100'!#REF!</definedName>
    <definedName name="Total_from_ESE_Guarantee" localSheetId="55">'4102'!#REF!</definedName>
    <definedName name="Total_from_ESE_Guarantee" localSheetId="56">'4103'!#REF!</definedName>
    <definedName name="Total_from_ESE_Guarantee" localSheetId="57">'4111'!#REF!</definedName>
    <definedName name="Total_from_ESE_Guarantee" localSheetId="58">'4131'!#REF!</definedName>
    <definedName name="Total_from_ESE_Guarantee" localSheetId="59">'4141'!#REF!</definedName>
    <definedName name="Total_FTE_with_ESE_Services" localSheetId="10">'0100'!#REF!</definedName>
    <definedName name="Total_FTE_with_ESE_Services" localSheetId="9">'0571'!#REF!</definedName>
    <definedName name="Total_FTE_with_ESE_Services" localSheetId="11">'1461'!#REF!</definedName>
    <definedName name="Total_FTE_with_ESE_Services" localSheetId="12">'1571'!#REF!</definedName>
    <definedName name="Total_FTE_with_ESE_Services" localSheetId="13">'2521'!#REF!</definedName>
    <definedName name="Total_FTE_with_ESE_Services" localSheetId="14">'2531'!#REF!</definedName>
    <definedName name="Total_FTE_with_ESE_Services" localSheetId="15">'2791'!#REF!</definedName>
    <definedName name="Total_FTE_with_ESE_Services" localSheetId="16">'2801'!#REF!</definedName>
    <definedName name="Total_FTE_with_ESE_Services" localSheetId="17">'2911'!#REF!</definedName>
    <definedName name="Total_FTE_with_ESE_Services" localSheetId="18">'2941'!#REF!</definedName>
    <definedName name="Total_FTE_with_ESE_Services" localSheetId="19">'3083'!#REF!</definedName>
    <definedName name="Total_FTE_with_ESE_Services" localSheetId="20">'3345'!#REF!</definedName>
    <definedName name="Total_FTE_with_ESE_Services" localSheetId="21">'3362'!#REF!</definedName>
    <definedName name="Total_FTE_with_ESE_Services" localSheetId="22">'3381'!#REF!</definedName>
    <definedName name="Total_FTE_with_ESE_Services" localSheetId="23">'3382'!#REF!</definedName>
    <definedName name="Total_FTE_with_ESE_Services" localSheetId="24">'3391'!#REF!</definedName>
    <definedName name="Total_FTE_with_ESE_Services" localSheetId="25">'3394'!#REF!</definedName>
    <definedName name="Total_FTE_with_ESE_Services" localSheetId="26">'3395'!#REF!</definedName>
    <definedName name="Total_FTE_with_ESE_Services" localSheetId="27">'3396'!#REF!</definedName>
    <definedName name="Total_FTE_with_ESE_Services" localSheetId="28">'3398'!#REF!</definedName>
    <definedName name="Total_FTE_with_ESE_Services" localSheetId="29">'3400'!#REF!</definedName>
    <definedName name="Total_FTE_with_ESE_Services" localSheetId="30">'3401'!#REF!</definedName>
    <definedName name="Total_FTE_with_ESE_Services" localSheetId="31">'3413'!#REF!</definedName>
    <definedName name="Total_FTE_with_ESE_Services" localSheetId="32">'3421'!#REF!</definedName>
    <definedName name="Total_FTE_with_ESE_Services" localSheetId="33">'3431'!#REF!</definedName>
    <definedName name="Total_FTE_with_ESE_Services" localSheetId="34">'3441'!#REF!</definedName>
    <definedName name="Total_FTE_with_ESE_Services" localSheetId="35">'3924'!#REF!</definedName>
    <definedName name="Total_FTE_with_ESE_Services" localSheetId="36">'3941'!#REF!</definedName>
    <definedName name="Total_FTE_with_ESE_Services" localSheetId="37">'3961'!#REF!</definedName>
    <definedName name="Total_FTE_with_ESE_Services" localSheetId="38">'3971'!#REF!</definedName>
    <definedName name="Total_FTE_with_ESE_Services" localSheetId="39">'4001'!#REF!</definedName>
    <definedName name="Total_FTE_with_ESE_Services" localSheetId="40">'4002'!#REF!</definedName>
    <definedName name="Total_FTE_with_ESE_Services" localSheetId="41">'4012'!#REF!</definedName>
    <definedName name="Total_FTE_with_ESE_Services" localSheetId="42">'4013'!#REF!</definedName>
    <definedName name="Total_FTE_with_ESE_Services" localSheetId="43">'4020'!#REF!</definedName>
    <definedName name="Total_FTE_with_ESE_Services" localSheetId="44">'4030'!#REF!</definedName>
    <definedName name="Total_FTE_with_ESE_Services" localSheetId="45">'4031'!#REF!</definedName>
    <definedName name="Total_FTE_with_ESE_Services" localSheetId="46">'4041'!#REF!</definedName>
    <definedName name="Total_FTE_with_ESE_Services" localSheetId="47">'4050'!#REF!</definedName>
    <definedName name="Total_FTE_with_ESE_Services" localSheetId="48">'4051'!#REF!</definedName>
    <definedName name="Total_FTE_with_ESE_Services" localSheetId="49">'4061'!#REF!</definedName>
    <definedName name="Total_FTE_with_ESE_Services" localSheetId="50">'4080'!#REF!</definedName>
    <definedName name="Total_FTE_with_ESE_Services" localSheetId="51">'4081'!#REF!</definedName>
    <definedName name="Total_FTE_with_ESE_Services" localSheetId="52">'4090'!#REF!</definedName>
    <definedName name="Total_FTE_with_ESE_Services" localSheetId="53">'4091'!#REF!</definedName>
    <definedName name="Total_FTE_with_ESE_Services" localSheetId="54">'4100'!#REF!</definedName>
    <definedName name="Total_FTE_with_ESE_Services" localSheetId="55">'4102'!#REF!</definedName>
    <definedName name="Total_FTE_with_ESE_Services" localSheetId="56">'4103'!#REF!</definedName>
    <definedName name="Total_FTE_with_ESE_Services" localSheetId="57">'4111'!#REF!</definedName>
    <definedName name="Total_FTE_with_ESE_Services" localSheetId="58">'4131'!#REF!</definedName>
    <definedName name="Total_FTE_with_ESE_Services" localSheetId="59">'4141'!#REF!</definedName>
    <definedName name="Totals" localSheetId="10">'0100'!$A$28</definedName>
    <definedName name="Totals" localSheetId="9">'0571'!$A$28</definedName>
    <definedName name="Totals" localSheetId="11">'1461'!$A$28</definedName>
    <definedName name="Totals" localSheetId="12">'1571'!$A$28</definedName>
    <definedName name="Totals" localSheetId="13">'2521'!$A$28</definedName>
    <definedName name="Totals" localSheetId="14">'2531'!$A$28</definedName>
    <definedName name="Totals" localSheetId="15">'2791'!$A$28</definedName>
    <definedName name="Totals" localSheetId="16">'2801'!$A$28</definedName>
    <definedName name="Totals" localSheetId="17">'2911'!$A$28</definedName>
    <definedName name="Totals" localSheetId="18">'2941'!$A$28</definedName>
    <definedName name="Totals" localSheetId="19">'3083'!$A$28</definedName>
    <definedName name="Totals" localSheetId="20">'3345'!$A$28</definedName>
    <definedName name="Totals" localSheetId="21">'3362'!$A$28</definedName>
    <definedName name="Totals" localSheetId="22">'3381'!$A$28</definedName>
    <definedName name="Totals" localSheetId="23">'3382'!$A$28</definedName>
    <definedName name="Totals" localSheetId="24">'3391'!$A$28</definedName>
    <definedName name="Totals" localSheetId="25">'3394'!$A$28</definedName>
    <definedName name="Totals" localSheetId="26">'3395'!$A$28</definedName>
    <definedName name="Totals" localSheetId="27">'3396'!$A$28</definedName>
    <definedName name="Totals" localSheetId="28">'3398'!$A$28</definedName>
    <definedName name="Totals" localSheetId="29">'3400'!$A$28</definedName>
    <definedName name="Totals" localSheetId="30">'3401'!$A$28</definedName>
    <definedName name="Totals" localSheetId="31">'3413'!$A$28</definedName>
    <definedName name="Totals" localSheetId="32">'3421'!$A$28</definedName>
    <definedName name="Totals" localSheetId="33">'3431'!$A$28</definedName>
    <definedName name="Totals" localSheetId="34">'3441'!$A$28</definedName>
    <definedName name="Totals" localSheetId="35">'3924'!$A$28</definedName>
    <definedName name="Totals" localSheetId="36">'3941'!$A$28</definedName>
    <definedName name="Totals" localSheetId="37">'3961'!$A$28</definedName>
    <definedName name="Totals" localSheetId="38">'3971'!$A$28</definedName>
    <definedName name="Totals" localSheetId="39">'4001'!$A$28</definedName>
    <definedName name="Totals" localSheetId="40">'4002'!$A$28</definedName>
    <definedName name="Totals" localSheetId="41">'4012'!$A$28</definedName>
    <definedName name="Totals" localSheetId="42">'4013'!$A$28</definedName>
    <definedName name="Totals" localSheetId="43">'4020'!$A$28</definedName>
    <definedName name="Totals" localSheetId="44">'4030'!$A$28</definedName>
    <definedName name="Totals" localSheetId="45">'4031'!$A$28</definedName>
    <definedName name="Totals" localSheetId="46">'4041'!$A$28</definedName>
    <definedName name="Totals" localSheetId="47">'4050'!$A$28</definedName>
    <definedName name="Totals" localSheetId="48">'4051'!$A$28</definedName>
    <definedName name="Totals" localSheetId="49">'4061'!$A$28</definedName>
    <definedName name="Totals" localSheetId="50">'4080'!$A$28</definedName>
    <definedName name="Totals" localSheetId="51">'4081'!$A$28</definedName>
    <definedName name="Totals" localSheetId="52">'4090'!$A$28</definedName>
    <definedName name="Totals" localSheetId="53">'4091'!$A$28</definedName>
    <definedName name="Totals" localSheetId="54">'4100'!$A$28</definedName>
    <definedName name="Totals" localSheetId="55">'4102'!$A$28</definedName>
    <definedName name="Totals" localSheetId="56">'4103'!$A$28</definedName>
    <definedName name="Totals" localSheetId="57">'4111'!$A$28</definedName>
    <definedName name="Totals" localSheetId="58">'4131'!$A$28</definedName>
    <definedName name="Totals" localSheetId="59">'4141'!$A$28</definedName>
    <definedName name="Totals">'0040'!$A$28</definedName>
    <definedName name="Weighted_FTE____________b__x__c" localSheetId="10">'0100'!$I$10</definedName>
    <definedName name="Weighted_FTE____________b__x__c" localSheetId="9">'0571'!$I$10</definedName>
    <definedName name="Weighted_FTE____________b__x__c" localSheetId="11">'1461'!$I$10</definedName>
    <definedName name="Weighted_FTE____________b__x__c" localSheetId="12">'1571'!$I$10</definedName>
    <definedName name="Weighted_FTE____________b__x__c" localSheetId="13">'2521'!$I$10</definedName>
    <definedName name="Weighted_FTE____________b__x__c" localSheetId="14">'2531'!$I$10</definedName>
    <definedName name="Weighted_FTE____________b__x__c" localSheetId="15">'2791'!$I$10</definedName>
    <definedName name="Weighted_FTE____________b__x__c" localSheetId="16">'2801'!$I$10</definedName>
    <definedName name="Weighted_FTE____________b__x__c" localSheetId="17">'2911'!$I$10</definedName>
    <definedName name="Weighted_FTE____________b__x__c" localSheetId="18">'2941'!$I$10</definedName>
    <definedName name="Weighted_FTE____________b__x__c" localSheetId="19">'3083'!$I$10</definedName>
    <definedName name="Weighted_FTE____________b__x__c" localSheetId="20">'3345'!$I$10</definedName>
    <definedName name="Weighted_FTE____________b__x__c" localSheetId="21">'3362'!$I$10</definedName>
    <definedName name="Weighted_FTE____________b__x__c" localSheetId="22">'3381'!$I$10</definedName>
    <definedName name="Weighted_FTE____________b__x__c" localSheetId="23">'3382'!$I$10</definedName>
    <definedName name="Weighted_FTE____________b__x__c" localSheetId="24">'3391'!$I$10</definedName>
    <definedName name="Weighted_FTE____________b__x__c" localSheetId="25">'3394'!$I$10</definedName>
    <definedName name="Weighted_FTE____________b__x__c" localSheetId="26">'3395'!$I$10</definedName>
    <definedName name="Weighted_FTE____________b__x__c" localSheetId="27">'3396'!$I$10</definedName>
    <definedName name="Weighted_FTE____________b__x__c" localSheetId="28">'3398'!$I$10</definedName>
    <definedName name="Weighted_FTE____________b__x__c" localSheetId="29">'3400'!$I$10</definedName>
    <definedName name="Weighted_FTE____________b__x__c" localSheetId="30">'3401'!$I$10</definedName>
    <definedName name="Weighted_FTE____________b__x__c" localSheetId="31">'3413'!$I$10</definedName>
    <definedName name="Weighted_FTE____________b__x__c" localSheetId="32">'3421'!$I$10</definedName>
    <definedName name="Weighted_FTE____________b__x__c" localSheetId="33">'3431'!$I$10</definedName>
    <definedName name="Weighted_FTE____________b__x__c" localSheetId="34">'3441'!$I$10</definedName>
    <definedName name="Weighted_FTE____________b__x__c" localSheetId="35">'3924'!$I$10</definedName>
    <definedName name="Weighted_FTE____________b__x__c" localSheetId="36">'3941'!$I$10</definedName>
    <definedName name="Weighted_FTE____________b__x__c" localSheetId="37">'3961'!$I$10</definedName>
    <definedName name="Weighted_FTE____________b__x__c" localSheetId="38">'3971'!$I$10</definedName>
    <definedName name="Weighted_FTE____________b__x__c" localSheetId="39">'4001'!$I$10</definedName>
    <definedName name="Weighted_FTE____________b__x__c" localSheetId="40">'4002'!$I$10</definedName>
    <definedName name="Weighted_FTE____________b__x__c" localSheetId="41">'4012'!$I$10</definedName>
    <definedName name="Weighted_FTE____________b__x__c" localSheetId="42">'4013'!$I$10</definedName>
    <definedName name="Weighted_FTE____________b__x__c" localSheetId="43">'4020'!$I$10</definedName>
    <definedName name="Weighted_FTE____________b__x__c" localSheetId="44">'4030'!$I$10</definedName>
    <definedName name="Weighted_FTE____________b__x__c" localSheetId="45">'4031'!$I$10</definedName>
    <definedName name="Weighted_FTE____________b__x__c" localSheetId="46">'4041'!$I$10</definedName>
    <definedName name="Weighted_FTE____________b__x__c" localSheetId="47">'4050'!$I$10</definedName>
    <definedName name="Weighted_FTE____________b__x__c" localSheetId="48">'4051'!$I$10</definedName>
    <definedName name="Weighted_FTE____________b__x__c" localSheetId="49">'4061'!$I$10</definedName>
    <definedName name="Weighted_FTE____________b__x__c" localSheetId="50">'4080'!$I$10</definedName>
    <definedName name="Weighted_FTE____________b__x__c" localSheetId="51">'4081'!$I$10</definedName>
    <definedName name="Weighted_FTE____________b__x__c" localSheetId="52">'4090'!$I$10</definedName>
    <definedName name="Weighted_FTE____________b__x__c" localSheetId="53">'4091'!$I$10</definedName>
    <definedName name="Weighted_FTE____________b__x__c" localSheetId="54">'4100'!$I$10</definedName>
    <definedName name="Weighted_FTE____________b__x__c" localSheetId="55">'4102'!$I$10</definedName>
    <definedName name="Weighted_FTE____________b__x__c" localSheetId="56">'4103'!$I$10</definedName>
    <definedName name="Weighted_FTE____________b__x__c" localSheetId="57">'4111'!$I$10</definedName>
    <definedName name="Weighted_FTE____________b__x__c" localSheetId="58">'4131'!$I$10</definedName>
    <definedName name="Weighted_FTE____________b__x__c" localSheetId="59">'4141'!$I$10</definedName>
    <definedName name="Weighted_FTE____________b__x__c">'0040'!$I$10</definedName>
    <definedName name="Weighted_FTE__From_Section_1" localSheetId="10">'0100'!$B$89</definedName>
    <definedName name="Weighted_FTE__From_Section_1" localSheetId="9">'0571'!$B$89</definedName>
    <definedName name="Weighted_FTE__From_Section_1" localSheetId="11">'1461'!$B$89</definedName>
    <definedName name="Weighted_FTE__From_Section_1" localSheetId="12">'1571'!$B$89</definedName>
    <definedName name="Weighted_FTE__From_Section_1" localSheetId="13">'2521'!$B$89</definedName>
    <definedName name="Weighted_FTE__From_Section_1" localSheetId="14">'2531'!$B$89</definedName>
    <definedName name="Weighted_FTE__From_Section_1" localSheetId="15">'2791'!$B$89</definedName>
    <definedName name="Weighted_FTE__From_Section_1" localSheetId="16">'2801'!$B$89</definedName>
    <definedName name="Weighted_FTE__From_Section_1" localSheetId="17">'2911'!$B$89</definedName>
    <definedName name="Weighted_FTE__From_Section_1" localSheetId="18">'2941'!$B$89</definedName>
    <definedName name="Weighted_FTE__From_Section_1" localSheetId="19">'3083'!$B$89</definedName>
    <definedName name="Weighted_FTE__From_Section_1" localSheetId="20">'3345'!$B$89</definedName>
    <definedName name="Weighted_FTE__From_Section_1" localSheetId="21">'3362'!$B$89</definedName>
    <definedName name="Weighted_FTE__From_Section_1" localSheetId="22">'3381'!$B$89</definedName>
    <definedName name="Weighted_FTE__From_Section_1" localSheetId="23">'3382'!$B$89</definedName>
    <definedName name="Weighted_FTE__From_Section_1" localSheetId="24">'3391'!$B$89</definedName>
    <definedName name="Weighted_FTE__From_Section_1" localSheetId="25">'3394'!$B$89</definedName>
    <definedName name="Weighted_FTE__From_Section_1" localSheetId="26">'3395'!$B$89</definedName>
    <definedName name="Weighted_FTE__From_Section_1" localSheetId="27">'3396'!$B$89</definedName>
    <definedName name="Weighted_FTE__From_Section_1" localSheetId="28">'3398'!$B$89</definedName>
    <definedName name="Weighted_FTE__From_Section_1" localSheetId="29">'3400'!$B$89</definedName>
    <definedName name="Weighted_FTE__From_Section_1" localSheetId="30">'3401'!$B$89</definedName>
    <definedName name="Weighted_FTE__From_Section_1" localSheetId="31">'3413'!$B$89</definedName>
    <definedName name="Weighted_FTE__From_Section_1" localSheetId="32">'3421'!$B$89</definedName>
    <definedName name="Weighted_FTE__From_Section_1" localSheetId="33">'3431'!$B$89</definedName>
    <definedName name="Weighted_FTE__From_Section_1" localSheetId="34">'3441'!$B$89</definedName>
    <definedName name="Weighted_FTE__From_Section_1" localSheetId="35">'3924'!$B$89</definedName>
    <definedName name="Weighted_FTE__From_Section_1" localSheetId="36">'3941'!$B$89</definedName>
    <definedName name="Weighted_FTE__From_Section_1" localSheetId="37">'3961'!$B$89</definedName>
    <definedName name="Weighted_FTE__From_Section_1" localSheetId="38">'3971'!$B$89</definedName>
    <definedName name="Weighted_FTE__From_Section_1" localSheetId="39">'4001'!$B$89</definedName>
    <definedName name="Weighted_FTE__From_Section_1" localSheetId="40">'4002'!$B$89</definedName>
    <definedName name="Weighted_FTE__From_Section_1" localSheetId="41">'4012'!$B$89</definedName>
    <definedName name="Weighted_FTE__From_Section_1" localSheetId="42">'4013'!$B$89</definedName>
    <definedName name="Weighted_FTE__From_Section_1" localSheetId="43">'4020'!$B$89</definedName>
    <definedName name="Weighted_FTE__From_Section_1" localSheetId="44">'4030'!$B$89</definedName>
    <definedName name="Weighted_FTE__From_Section_1" localSheetId="45">'4031'!$B$89</definedName>
    <definedName name="Weighted_FTE__From_Section_1" localSheetId="46">'4041'!$B$89</definedName>
    <definedName name="Weighted_FTE__From_Section_1" localSheetId="47">'4050'!$B$89</definedName>
    <definedName name="Weighted_FTE__From_Section_1" localSheetId="48">'4051'!$B$89</definedName>
    <definedName name="Weighted_FTE__From_Section_1" localSheetId="49">'4061'!$B$89</definedName>
    <definedName name="Weighted_FTE__From_Section_1" localSheetId="50">'4080'!$B$89</definedName>
    <definedName name="Weighted_FTE__From_Section_1" localSheetId="51">'4081'!$B$89</definedName>
    <definedName name="Weighted_FTE__From_Section_1" localSheetId="52">'4090'!$B$89</definedName>
    <definedName name="Weighted_FTE__From_Section_1" localSheetId="53">'4091'!$B$89</definedName>
    <definedName name="Weighted_FTE__From_Section_1" localSheetId="54">'4100'!$B$89</definedName>
    <definedName name="Weighted_FTE__From_Section_1" localSheetId="55">'4102'!$B$89</definedName>
    <definedName name="Weighted_FTE__From_Section_1" localSheetId="56">'4103'!$B$89</definedName>
    <definedName name="Weighted_FTE__From_Section_1" localSheetId="57">'4111'!$B$89</definedName>
    <definedName name="Weighted_FTE__From_Section_1" localSheetId="58">'4131'!$B$89</definedName>
    <definedName name="Weighted_FTE__From_Section_1" localSheetId="59">'4141'!$B$89</definedName>
    <definedName name="Weighted_FTE__From_Section_1">'0040'!$B$89</definedName>
    <definedName name="wrn.Base._.Data._.Comparison." localSheetId="8"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56" hidden="1">{#N/A,#N/A,FALSE,"Summation";#N/A,#N/A,FALSE,"BSA";#N/A,#N/A,FALSE,"Detail1";#N/A,#N/A,FALSE,"Detail2";#N/A,#N/A,FALSE,"Detail3";#N/A,#N/A,FALSE,"WFTE_Summary";#N/A,#N/A,FALSE,"Funded_WFTE";#N/A,#N/A,FALSE,"PYADJ96"}</definedName>
    <definedName name="wrn.Base._.Data._.Comparison." localSheetId="57" hidden="1">{#N/A,#N/A,FALSE,"Summation";#N/A,#N/A,FALSE,"BSA";#N/A,#N/A,FALSE,"Detail1";#N/A,#N/A,FALSE,"Detail2";#N/A,#N/A,FALSE,"Detail3";#N/A,#N/A,FALSE,"WFTE_Summary";#N/A,#N/A,FALSE,"Funded_WFTE";#N/A,#N/A,FALSE,"PYADJ96"}</definedName>
    <definedName name="wrn.Base._.Data._.Comparison." localSheetId="58" hidden="1">{#N/A,#N/A,FALSE,"Summation";#N/A,#N/A,FALSE,"BSA";#N/A,#N/A,FALSE,"Detail1";#N/A,#N/A,FALSE,"Detail2";#N/A,#N/A,FALSE,"Detail3";#N/A,#N/A,FALSE,"WFTE_Summary";#N/A,#N/A,FALSE,"Funded_WFTE";#N/A,#N/A,FALSE,"PYADJ96"}</definedName>
    <definedName name="wrn.Base._.Data._.Comparison." localSheetId="59"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5"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24" i="89" l="1"/>
  <c r="D103" i="57"/>
  <c r="D97" i="85"/>
  <c r="C97" i="85"/>
  <c r="D97" i="2"/>
  <c r="C97" i="2"/>
  <c r="G37" i="2"/>
  <c r="G36" i="2"/>
  <c r="G37" i="85"/>
  <c r="G36" i="85"/>
  <c r="P129" i="57" l="1"/>
  <c r="O129" i="57"/>
  <c r="N129" i="57"/>
  <c r="M129" i="57"/>
  <c r="L129" i="57"/>
  <c r="K129" i="57"/>
  <c r="J129" i="57"/>
  <c r="I129" i="57"/>
  <c r="H129" i="57"/>
  <c r="F37" i="106"/>
  <c r="G21" i="57"/>
  <c r="G34" i="57"/>
  <c r="G47" i="57"/>
  <c r="J25" i="106"/>
  <c r="J27" i="106" s="1"/>
  <c r="J28" i="106" s="1"/>
  <c r="F21" i="106" s="1"/>
  <c r="D49" i="59"/>
  <c r="D49" i="60"/>
  <c r="D49" i="61"/>
  <c r="D49" i="62"/>
  <c r="D49" i="63"/>
  <c r="D49" i="64"/>
  <c r="D49" i="65"/>
  <c r="D49" i="66"/>
  <c r="D49" i="67"/>
  <c r="D49" i="68"/>
  <c r="D49" i="108"/>
  <c r="D49" i="69"/>
  <c r="D49" i="70"/>
  <c r="D49" i="71"/>
  <c r="D49" i="72"/>
  <c r="D49" i="73"/>
  <c r="D49" i="74"/>
  <c r="D49" i="75"/>
  <c r="D49" i="76"/>
  <c r="D49" i="77"/>
  <c r="D49" i="78"/>
  <c r="D49" i="79"/>
  <c r="D49" i="80"/>
  <c r="D49" i="81"/>
  <c r="D49" i="82"/>
  <c r="D49" i="83"/>
  <c r="D49" i="84"/>
  <c r="D49" i="85"/>
  <c r="D49" i="86"/>
  <c r="D49" i="87"/>
  <c r="D49" i="88"/>
  <c r="D49" i="89"/>
  <c r="D49" i="90"/>
  <c r="D49" i="91"/>
  <c r="D49" i="92"/>
  <c r="D49" i="93"/>
  <c r="D49" i="94"/>
  <c r="D49" i="95"/>
  <c r="D49" i="96"/>
  <c r="D49" i="97"/>
  <c r="D49" i="98"/>
  <c r="D49" i="99"/>
  <c r="D49" i="100"/>
  <c r="D49" i="101"/>
  <c r="D49" i="102"/>
  <c r="D49" i="103"/>
  <c r="D49" i="104"/>
  <c r="D49" i="105"/>
  <c r="D49" i="111"/>
  <c r="D48" i="59"/>
  <c r="D48" i="60"/>
  <c r="D48" i="61"/>
  <c r="D48" i="62"/>
  <c r="D48" i="63"/>
  <c r="D48" i="64"/>
  <c r="D48" i="65"/>
  <c r="D48" i="66"/>
  <c r="D48" i="67"/>
  <c r="D48" i="68"/>
  <c r="D48" i="108"/>
  <c r="D48" i="69"/>
  <c r="D48" i="70"/>
  <c r="D48" i="71"/>
  <c r="D48" i="72"/>
  <c r="D48" i="73"/>
  <c r="D48" i="74"/>
  <c r="D48" i="75"/>
  <c r="D48" i="76"/>
  <c r="D48" i="77"/>
  <c r="D48" i="78"/>
  <c r="D48" i="79"/>
  <c r="D48" i="80"/>
  <c r="D48" i="81"/>
  <c r="D48" i="82"/>
  <c r="D48" i="83"/>
  <c r="D48" i="84"/>
  <c r="D48" i="85"/>
  <c r="D48" i="86"/>
  <c r="D48" i="87"/>
  <c r="D48" i="88"/>
  <c r="D48" i="89"/>
  <c r="D48" i="90"/>
  <c r="D48" i="91"/>
  <c r="D48" i="92"/>
  <c r="D48" i="93"/>
  <c r="D48" i="94"/>
  <c r="D48" i="95"/>
  <c r="D48" i="96"/>
  <c r="D48" i="97"/>
  <c r="D48" i="98"/>
  <c r="D48" i="99"/>
  <c r="D48" i="100"/>
  <c r="D48" i="101"/>
  <c r="D48" i="102"/>
  <c r="D48" i="103"/>
  <c r="D48" i="104"/>
  <c r="D48" i="105"/>
  <c r="D48" i="111"/>
  <c r="D47" i="59"/>
  <c r="D47" i="60"/>
  <c r="D47" i="61"/>
  <c r="D47" i="62"/>
  <c r="D47" i="63"/>
  <c r="D47" i="64"/>
  <c r="D47" i="65"/>
  <c r="D47" i="66"/>
  <c r="D47" i="67"/>
  <c r="D47" i="68"/>
  <c r="D47" i="108"/>
  <c r="D47" i="69"/>
  <c r="D47" i="70"/>
  <c r="D47" i="71"/>
  <c r="D47" i="72"/>
  <c r="D47" i="73"/>
  <c r="D47" i="74"/>
  <c r="D47" i="75"/>
  <c r="D47" i="76"/>
  <c r="D47" i="77"/>
  <c r="D47" i="78"/>
  <c r="D47" i="79"/>
  <c r="D47" i="80"/>
  <c r="D47" i="81"/>
  <c r="D47" i="82"/>
  <c r="D47" i="83"/>
  <c r="D47" i="84"/>
  <c r="D47" i="85"/>
  <c r="D47" i="86"/>
  <c r="D47" i="87"/>
  <c r="D47" i="88"/>
  <c r="D47" i="89"/>
  <c r="D47" i="90"/>
  <c r="D47" i="91"/>
  <c r="D47" i="92"/>
  <c r="D47" i="93"/>
  <c r="D47" i="94"/>
  <c r="D47" i="95"/>
  <c r="D47" i="96"/>
  <c r="D47" i="97"/>
  <c r="D47" i="98"/>
  <c r="D47" i="99"/>
  <c r="D47" i="100"/>
  <c r="D47" i="101"/>
  <c r="D47" i="102"/>
  <c r="D47" i="103"/>
  <c r="D47" i="104"/>
  <c r="D47" i="105"/>
  <c r="D47" i="111"/>
  <c r="D46" i="59"/>
  <c r="D46" i="60"/>
  <c r="D46" i="61"/>
  <c r="D46" i="62"/>
  <c r="D46" i="63"/>
  <c r="D46" i="64"/>
  <c r="D46" i="65"/>
  <c r="D46" i="66"/>
  <c r="D46" i="67"/>
  <c r="D46" i="68"/>
  <c r="D46" i="108"/>
  <c r="D46" i="69"/>
  <c r="D46" i="70"/>
  <c r="D46" i="71"/>
  <c r="D46" i="72"/>
  <c r="D46" i="73"/>
  <c r="D46" i="74"/>
  <c r="D46" i="75"/>
  <c r="D46" i="76"/>
  <c r="D46" i="77"/>
  <c r="D46" i="78"/>
  <c r="D46" i="79"/>
  <c r="D46" i="80"/>
  <c r="D46" i="81"/>
  <c r="D46" i="82"/>
  <c r="D46" i="83"/>
  <c r="D46" i="84"/>
  <c r="D46" i="85"/>
  <c r="D46" i="86"/>
  <c r="D46" i="87"/>
  <c r="D46" i="88"/>
  <c r="D46" i="89"/>
  <c r="D46" i="90"/>
  <c r="D46" i="91"/>
  <c r="D46" i="92"/>
  <c r="D46" i="93"/>
  <c r="D46" i="94"/>
  <c r="D46" i="95"/>
  <c r="D46" i="96"/>
  <c r="D46" i="97"/>
  <c r="D46" i="98"/>
  <c r="D46" i="99"/>
  <c r="D46" i="100"/>
  <c r="D46" i="101"/>
  <c r="D46" i="102"/>
  <c r="D46" i="103"/>
  <c r="D46" i="104"/>
  <c r="D46" i="105"/>
  <c r="D46" i="111"/>
  <c r="D45" i="59"/>
  <c r="D45" i="60"/>
  <c r="D45" i="61"/>
  <c r="D45" i="62"/>
  <c r="D45" i="63"/>
  <c r="D45" i="64"/>
  <c r="D45" i="65"/>
  <c r="D45" i="66"/>
  <c r="D45" i="67"/>
  <c r="D45" i="68"/>
  <c r="D45" i="108"/>
  <c r="D45" i="69"/>
  <c r="D45" i="70"/>
  <c r="D45" i="71"/>
  <c r="D45" i="72"/>
  <c r="D45" i="73"/>
  <c r="D45" i="74"/>
  <c r="D45" i="75"/>
  <c r="D45" i="76"/>
  <c r="D45" i="77"/>
  <c r="D45" i="78"/>
  <c r="D45" i="79"/>
  <c r="D45" i="80"/>
  <c r="D45" i="81"/>
  <c r="D45" i="82"/>
  <c r="D45" i="83"/>
  <c r="D45" i="84"/>
  <c r="D45" i="85"/>
  <c r="D45" i="86"/>
  <c r="D45" i="87"/>
  <c r="D45" i="88"/>
  <c r="D45" i="89"/>
  <c r="D45" i="90"/>
  <c r="D45" i="91"/>
  <c r="D45" i="92"/>
  <c r="D45" i="93"/>
  <c r="D45" i="94"/>
  <c r="D45" i="95"/>
  <c r="D45" i="96"/>
  <c r="D45" i="97"/>
  <c r="D45" i="98"/>
  <c r="D45" i="99"/>
  <c r="D45" i="100"/>
  <c r="D45" i="101"/>
  <c r="D45" i="102"/>
  <c r="D45" i="103"/>
  <c r="D45" i="104"/>
  <c r="D45" i="105"/>
  <c r="D45" i="111"/>
  <c r="D44" i="59"/>
  <c r="D44" i="60"/>
  <c r="D44" i="61"/>
  <c r="D44" i="62"/>
  <c r="D44" i="63"/>
  <c r="D44" i="64"/>
  <c r="D44" i="65"/>
  <c r="D44" i="66"/>
  <c r="D44" i="67"/>
  <c r="D44" i="68"/>
  <c r="D44" i="108"/>
  <c r="D44" i="69"/>
  <c r="D44" i="70"/>
  <c r="D44" i="71"/>
  <c r="D44" i="72"/>
  <c r="D44" i="73"/>
  <c r="D44" i="74"/>
  <c r="D44" i="75"/>
  <c r="D44" i="76"/>
  <c r="D44" i="77"/>
  <c r="D44" i="78"/>
  <c r="D44" i="79"/>
  <c r="D44" i="80"/>
  <c r="D44" i="81"/>
  <c r="D44" i="82"/>
  <c r="D44" i="83"/>
  <c r="D44" i="84"/>
  <c r="D44" i="85"/>
  <c r="D44" i="86"/>
  <c r="D44" i="87"/>
  <c r="D44" i="88"/>
  <c r="D44" i="89"/>
  <c r="D44" i="90"/>
  <c r="D44" i="91"/>
  <c r="D44" i="92"/>
  <c r="D44" i="93"/>
  <c r="D44" i="94"/>
  <c r="D44" i="95"/>
  <c r="D44" i="96"/>
  <c r="D44" i="97"/>
  <c r="D44" i="98"/>
  <c r="D44" i="99"/>
  <c r="D44" i="100"/>
  <c r="D44" i="101"/>
  <c r="D44" i="102"/>
  <c r="D44" i="103"/>
  <c r="D44" i="104"/>
  <c r="D44" i="105"/>
  <c r="D44" i="111"/>
  <c r="D43" i="59"/>
  <c r="D43" i="60"/>
  <c r="D43" i="61"/>
  <c r="D43" i="62"/>
  <c r="D43" i="63"/>
  <c r="D43" i="64"/>
  <c r="D43" i="65"/>
  <c r="D43" i="66"/>
  <c r="D43" i="67"/>
  <c r="D43" i="68"/>
  <c r="D43" i="108"/>
  <c r="D43" i="69"/>
  <c r="D43" i="70"/>
  <c r="D43" i="71"/>
  <c r="D43" i="72"/>
  <c r="D43" i="73"/>
  <c r="D43" i="74"/>
  <c r="D43" i="75"/>
  <c r="D43" i="76"/>
  <c r="D43" i="77"/>
  <c r="D43" i="78"/>
  <c r="D43" i="79"/>
  <c r="D43" i="80"/>
  <c r="D43" i="81"/>
  <c r="D43" i="82"/>
  <c r="D43" i="83"/>
  <c r="D43" i="84"/>
  <c r="D43" i="85"/>
  <c r="D43" i="86"/>
  <c r="D43" i="87"/>
  <c r="D43" i="88"/>
  <c r="D43" i="89"/>
  <c r="D43" i="90"/>
  <c r="D43" i="91"/>
  <c r="D43" i="92"/>
  <c r="D43" i="93"/>
  <c r="D43" i="94"/>
  <c r="D43" i="95"/>
  <c r="D43" i="96"/>
  <c r="D43" i="97"/>
  <c r="D43" i="98"/>
  <c r="D43" i="99"/>
  <c r="D43" i="100"/>
  <c r="D43" i="101"/>
  <c r="D43" i="102"/>
  <c r="D43" i="103"/>
  <c r="D43" i="104"/>
  <c r="D43" i="105"/>
  <c r="D43" i="111"/>
  <c r="D42" i="59"/>
  <c r="D42" i="60"/>
  <c r="D42" i="61"/>
  <c r="D42" i="62"/>
  <c r="D42" i="63"/>
  <c r="D42" i="64"/>
  <c r="D42" i="65"/>
  <c r="D42" i="66"/>
  <c r="D42" i="67"/>
  <c r="D42" i="68"/>
  <c r="D42" i="108"/>
  <c r="D42" i="69"/>
  <c r="D42" i="70"/>
  <c r="D42" i="71"/>
  <c r="D42" i="72"/>
  <c r="D42" i="73"/>
  <c r="D42" i="74"/>
  <c r="D42" i="75"/>
  <c r="D42" i="76"/>
  <c r="D42" i="77"/>
  <c r="D42" i="78"/>
  <c r="D42" i="79"/>
  <c r="D42" i="80"/>
  <c r="D42" i="81"/>
  <c r="D42" i="82"/>
  <c r="D42" i="83"/>
  <c r="D42" i="84"/>
  <c r="D42" i="85"/>
  <c r="D42" i="86"/>
  <c r="D42" i="87"/>
  <c r="D42" i="88"/>
  <c r="D42" i="89"/>
  <c r="D42" i="90"/>
  <c r="D42" i="91"/>
  <c r="D42" i="92"/>
  <c r="D42" i="93"/>
  <c r="D42" i="94"/>
  <c r="D42" i="95"/>
  <c r="D42" i="96"/>
  <c r="D42" i="97"/>
  <c r="D42" i="98"/>
  <c r="D42" i="99"/>
  <c r="D42" i="100"/>
  <c r="D42" i="101"/>
  <c r="D42" i="102"/>
  <c r="D42" i="103"/>
  <c r="D42" i="104"/>
  <c r="D42" i="105"/>
  <c r="D42" i="111"/>
  <c r="D41" i="59"/>
  <c r="D41" i="60"/>
  <c r="D41" i="61"/>
  <c r="D41" i="62"/>
  <c r="D41" i="63"/>
  <c r="D41" i="64"/>
  <c r="D41" i="65"/>
  <c r="D41" i="66"/>
  <c r="D41" i="67"/>
  <c r="D41" i="68"/>
  <c r="D41" i="108"/>
  <c r="D41" i="69"/>
  <c r="D41" i="70"/>
  <c r="D41" i="71"/>
  <c r="D41" i="72"/>
  <c r="D41" i="73"/>
  <c r="D41" i="74"/>
  <c r="D41" i="75"/>
  <c r="D41" i="76"/>
  <c r="D41" i="77"/>
  <c r="D41" i="78"/>
  <c r="D41" i="79"/>
  <c r="D41" i="80"/>
  <c r="D41" i="81"/>
  <c r="D41" i="82"/>
  <c r="D41" i="83"/>
  <c r="D41" i="84"/>
  <c r="D41" i="85"/>
  <c r="D41" i="86"/>
  <c r="D41" i="87"/>
  <c r="D41" i="88"/>
  <c r="D41" i="89"/>
  <c r="D41" i="90"/>
  <c r="D41" i="91"/>
  <c r="D41" i="92"/>
  <c r="D41" i="93"/>
  <c r="D41" i="94"/>
  <c r="D41" i="95"/>
  <c r="D41" i="96"/>
  <c r="D41" i="97"/>
  <c r="D41" i="98"/>
  <c r="D41" i="99"/>
  <c r="D41" i="100"/>
  <c r="D41" i="101"/>
  <c r="D41" i="102"/>
  <c r="D41" i="103"/>
  <c r="D41" i="104"/>
  <c r="D41" i="105"/>
  <c r="D41" i="111"/>
  <c r="C49" i="59"/>
  <c r="C49" i="60"/>
  <c r="C49" i="61"/>
  <c r="C49" i="62"/>
  <c r="C49" i="63"/>
  <c r="C49" i="64"/>
  <c r="C49" i="65"/>
  <c r="C49" i="66"/>
  <c r="C49" i="67"/>
  <c r="C49" i="68"/>
  <c r="C49" i="108"/>
  <c r="C49" i="69"/>
  <c r="C49" i="70"/>
  <c r="C49" i="71"/>
  <c r="C49" i="72"/>
  <c r="C49" i="73"/>
  <c r="C49" i="74"/>
  <c r="C49" i="75"/>
  <c r="C49" i="76"/>
  <c r="C49" i="77"/>
  <c r="C49" i="78"/>
  <c r="C49" i="79"/>
  <c r="C49" i="80"/>
  <c r="C49" i="81"/>
  <c r="C49" i="82"/>
  <c r="C49" i="83"/>
  <c r="C49" i="84"/>
  <c r="C49" i="85"/>
  <c r="C49" i="86"/>
  <c r="C49" i="87"/>
  <c r="C49" i="88"/>
  <c r="C49" i="89"/>
  <c r="C49" i="90"/>
  <c r="C49" i="91"/>
  <c r="C49" i="92"/>
  <c r="C49" i="93"/>
  <c r="C49" i="94"/>
  <c r="C49" i="95"/>
  <c r="C49" i="96"/>
  <c r="C49" i="97"/>
  <c r="C49" i="98"/>
  <c r="C49" i="99"/>
  <c r="C49" i="100"/>
  <c r="C49" i="101"/>
  <c r="C49" i="102"/>
  <c r="C49" i="103"/>
  <c r="C49" i="104"/>
  <c r="C49" i="105"/>
  <c r="C49" i="111"/>
  <c r="C48" i="59"/>
  <c r="C48" i="60"/>
  <c r="C48" i="61"/>
  <c r="C48" i="62"/>
  <c r="C48" i="63"/>
  <c r="C48" i="64"/>
  <c r="C48" i="65"/>
  <c r="C48" i="66"/>
  <c r="C48" i="67"/>
  <c r="C48" i="68"/>
  <c r="C48" i="108"/>
  <c r="C48" i="69"/>
  <c r="C48" i="70"/>
  <c r="C48" i="71"/>
  <c r="C48" i="72"/>
  <c r="C48" i="73"/>
  <c r="C48" i="74"/>
  <c r="C48" i="75"/>
  <c r="C48" i="76"/>
  <c r="C48" i="77"/>
  <c r="C48" i="78"/>
  <c r="C48" i="79"/>
  <c r="C48" i="80"/>
  <c r="C48" i="81"/>
  <c r="C48" i="82"/>
  <c r="C48" i="83"/>
  <c r="C48" i="84"/>
  <c r="C48" i="85"/>
  <c r="C48" i="86"/>
  <c r="C48" i="87"/>
  <c r="C48" i="88"/>
  <c r="C48" i="89"/>
  <c r="C48" i="90"/>
  <c r="C48" i="91"/>
  <c r="C48" i="92"/>
  <c r="C48" i="93"/>
  <c r="C48" i="94"/>
  <c r="C48" i="95"/>
  <c r="C48" i="96"/>
  <c r="C48" i="97"/>
  <c r="C48" i="98"/>
  <c r="C48" i="99"/>
  <c r="C48" i="100"/>
  <c r="C48" i="101"/>
  <c r="C48" i="102"/>
  <c r="C48" i="103"/>
  <c r="C48" i="104"/>
  <c r="C48" i="105"/>
  <c r="C48" i="111"/>
  <c r="C47" i="59"/>
  <c r="C47" i="60"/>
  <c r="C47" i="61"/>
  <c r="C47" i="62"/>
  <c r="C47" i="63"/>
  <c r="C47" i="64"/>
  <c r="C47" i="65"/>
  <c r="C47" i="66"/>
  <c r="C47" i="67"/>
  <c r="C47" i="68"/>
  <c r="C47" i="108"/>
  <c r="C47" i="69"/>
  <c r="C47" i="70"/>
  <c r="C47" i="71"/>
  <c r="C47" i="72"/>
  <c r="C47" i="73"/>
  <c r="C47" i="74"/>
  <c r="C47" i="75"/>
  <c r="C47" i="76"/>
  <c r="C47" i="77"/>
  <c r="C47" i="78"/>
  <c r="C47" i="79"/>
  <c r="C47" i="80"/>
  <c r="C47" i="81"/>
  <c r="C47" i="82"/>
  <c r="C47" i="83"/>
  <c r="C47" i="84"/>
  <c r="C47" i="85"/>
  <c r="C47" i="86"/>
  <c r="C47" i="87"/>
  <c r="C47" i="88"/>
  <c r="C47" i="89"/>
  <c r="C47" i="90"/>
  <c r="C47" i="91"/>
  <c r="C47" i="92"/>
  <c r="C47" i="93"/>
  <c r="C47" i="94"/>
  <c r="C47" i="95"/>
  <c r="C47" i="96"/>
  <c r="C47" i="97"/>
  <c r="C47" i="98"/>
  <c r="C47" i="99"/>
  <c r="C47" i="100"/>
  <c r="C47" i="101"/>
  <c r="C47" i="102"/>
  <c r="C47" i="103"/>
  <c r="C47" i="104"/>
  <c r="C47" i="105"/>
  <c r="C47" i="111"/>
  <c r="C46" i="59"/>
  <c r="C46" i="60"/>
  <c r="C46" i="61"/>
  <c r="C46" i="62"/>
  <c r="C46" i="63"/>
  <c r="C46" i="64"/>
  <c r="C46" i="65"/>
  <c r="C46" i="66"/>
  <c r="C46" i="67"/>
  <c r="C46" i="68"/>
  <c r="C46" i="108"/>
  <c r="C46" i="69"/>
  <c r="C46" i="70"/>
  <c r="C46" i="71"/>
  <c r="C46" i="72"/>
  <c r="C46" i="73"/>
  <c r="C46" i="74"/>
  <c r="C46" i="75"/>
  <c r="C46" i="76"/>
  <c r="C46" i="77"/>
  <c r="C46" i="78"/>
  <c r="C46" i="79"/>
  <c r="C46" i="80"/>
  <c r="C46" i="81"/>
  <c r="C46" i="82"/>
  <c r="C46" i="83"/>
  <c r="C46" i="84"/>
  <c r="C46" i="85"/>
  <c r="C46" i="86"/>
  <c r="C46" i="87"/>
  <c r="C46" i="88"/>
  <c r="C46" i="89"/>
  <c r="C46" i="90"/>
  <c r="C46" i="91"/>
  <c r="C46" i="92"/>
  <c r="C46" i="93"/>
  <c r="C46" i="94"/>
  <c r="C46" i="95"/>
  <c r="C46" i="96"/>
  <c r="C46" i="97"/>
  <c r="C46" i="98"/>
  <c r="C46" i="99"/>
  <c r="C46" i="100"/>
  <c r="C46" i="101"/>
  <c r="C46" i="102"/>
  <c r="C46" i="103"/>
  <c r="C46" i="104"/>
  <c r="C46" i="105"/>
  <c r="C46" i="111"/>
  <c r="C45" i="59"/>
  <c r="C45" i="60"/>
  <c r="C45" i="61"/>
  <c r="C45" i="62"/>
  <c r="C45" i="63"/>
  <c r="C45" i="64"/>
  <c r="C45" i="65"/>
  <c r="C45" i="66"/>
  <c r="C45" i="67"/>
  <c r="C45" i="68"/>
  <c r="C45" i="108"/>
  <c r="C45" i="69"/>
  <c r="C45" i="70"/>
  <c r="C45" i="71"/>
  <c r="C45" i="72"/>
  <c r="C45" i="73"/>
  <c r="C45" i="74"/>
  <c r="C45" i="75"/>
  <c r="C45" i="76"/>
  <c r="C45" i="77"/>
  <c r="C45" i="78"/>
  <c r="C45" i="79"/>
  <c r="C45" i="80"/>
  <c r="C45" i="81"/>
  <c r="C45" i="82"/>
  <c r="C45" i="83"/>
  <c r="C45" i="84"/>
  <c r="C45" i="85"/>
  <c r="C45" i="86"/>
  <c r="C45" i="87"/>
  <c r="C45" i="88"/>
  <c r="C45" i="89"/>
  <c r="C45" i="90"/>
  <c r="C45" i="91"/>
  <c r="C45" i="92"/>
  <c r="C45" i="93"/>
  <c r="C45" i="94"/>
  <c r="C45" i="95"/>
  <c r="C45" i="96"/>
  <c r="C45" i="97"/>
  <c r="C45" i="98"/>
  <c r="C45" i="99"/>
  <c r="C45" i="100"/>
  <c r="C45" i="101"/>
  <c r="C45" i="102"/>
  <c r="C45" i="103"/>
  <c r="C45" i="104"/>
  <c r="C45" i="105"/>
  <c r="C45" i="111"/>
  <c r="C44" i="59"/>
  <c r="C44" i="60"/>
  <c r="C44" i="61"/>
  <c r="C44" i="62"/>
  <c r="C44" i="63"/>
  <c r="C44" i="64"/>
  <c r="C44" i="65"/>
  <c r="C44" i="66"/>
  <c r="C44" i="67"/>
  <c r="C44" i="68"/>
  <c r="C44" i="108"/>
  <c r="C44" i="69"/>
  <c r="C44" i="70"/>
  <c r="C44" i="71"/>
  <c r="C44" i="72"/>
  <c r="C44" i="73"/>
  <c r="C44" i="74"/>
  <c r="C44" i="75"/>
  <c r="C44" i="76"/>
  <c r="C44" i="77"/>
  <c r="C44" i="78"/>
  <c r="C44" i="79"/>
  <c r="C44" i="80"/>
  <c r="C44" i="81"/>
  <c r="C44" i="82"/>
  <c r="C44" i="83"/>
  <c r="C44" i="84"/>
  <c r="C44" i="85"/>
  <c r="C44" i="86"/>
  <c r="C44" i="87"/>
  <c r="C44" i="88"/>
  <c r="C44" i="89"/>
  <c r="C44" i="90"/>
  <c r="C44" i="91"/>
  <c r="C44" i="92"/>
  <c r="C44" i="93"/>
  <c r="C44" i="94"/>
  <c r="C44" i="95"/>
  <c r="C44" i="96"/>
  <c r="C44" i="97"/>
  <c r="C44" i="98"/>
  <c r="C44" i="99"/>
  <c r="C44" i="100"/>
  <c r="C44" i="101"/>
  <c r="C44" i="102"/>
  <c r="C44" i="103"/>
  <c r="C44" i="104"/>
  <c r="C44" i="105"/>
  <c r="C44" i="111"/>
  <c r="C43" i="59"/>
  <c r="C43" i="60"/>
  <c r="C43" i="61"/>
  <c r="C43" i="62"/>
  <c r="C43" i="63"/>
  <c r="C43" i="64"/>
  <c r="C43" i="65"/>
  <c r="C43" i="66"/>
  <c r="C43" i="67"/>
  <c r="C43" i="68"/>
  <c r="C43" i="108"/>
  <c r="C43" i="69"/>
  <c r="C43" i="70"/>
  <c r="C43" i="71"/>
  <c r="C43" i="72"/>
  <c r="C43" i="73"/>
  <c r="C43" i="74"/>
  <c r="C43" i="75"/>
  <c r="C43" i="76"/>
  <c r="C43" i="77"/>
  <c r="C43" i="78"/>
  <c r="C43" i="79"/>
  <c r="C43" i="80"/>
  <c r="C43" i="81"/>
  <c r="C43" i="82"/>
  <c r="C43" i="83"/>
  <c r="C43" i="84"/>
  <c r="C43" i="85"/>
  <c r="C43" i="86"/>
  <c r="C43" i="87"/>
  <c r="C43" i="88"/>
  <c r="C43" i="89"/>
  <c r="C43" i="90"/>
  <c r="C43" i="91"/>
  <c r="C43" i="92"/>
  <c r="C43" i="93"/>
  <c r="C43" i="94"/>
  <c r="C43" i="95"/>
  <c r="C43" i="96"/>
  <c r="C43" i="97"/>
  <c r="C43" i="98"/>
  <c r="C43" i="99"/>
  <c r="C43" i="100"/>
  <c r="C43" i="101"/>
  <c r="C43" i="102"/>
  <c r="C43" i="103"/>
  <c r="C43" i="104"/>
  <c r="C43" i="105"/>
  <c r="C43" i="111"/>
  <c r="C42" i="59"/>
  <c r="C42" i="60"/>
  <c r="C42" i="61"/>
  <c r="C42" i="62"/>
  <c r="C42" i="63"/>
  <c r="C42" i="64"/>
  <c r="C42" i="65"/>
  <c r="C42" i="66"/>
  <c r="C42" i="67"/>
  <c r="C42" i="68"/>
  <c r="C42" i="108"/>
  <c r="C42" i="69"/>
  <c r="C42" i="70"/>
  <c r="C42" i="71"/>
  <c r="C42" i="72"/>
  <c r="C42" i="73"/>
  <c r="C42" i="74"/>
  <c r="C42" i="75"/>
  <c r="C42" i="76"/>
  <c r="C42" i="77"/>
  <c r="C42" i="78"/>
  <c r="C42" i="79"/>
  <c r="C42" i="80"/>
  <c r="C42" i="81"/>
  <c r="C42" i="82"/>
  <c r="C42" i="83"/>
  <c r="C42" i="84"/>
  <c r="C42" i="85"/>
  <c r="C42" i="86"/>
  <c r="C42" i="87"/>
  <c r="C42" i="88"/>
  <c r="C42" i="89"/>
  <c r="C42" i="90"/>
  <c r="C42" i="91"/>
  <c r="C42" i="92"/>
  <c r="C42" i="93"/>
  <c r="C42" i="94"/>
  <c r="C42" i="95"/>
  <c r="C42" i="96"/>
  <c r="C42" i="97"/>
  <c r="C42" i="98"/>
  <c r="C42" i="99"/>
  <c r="C42" i="100"/>
  <c r="C42" i="101"/>
  <c r="C42" i="102"/>
  <c r="C42" i="103"/>
  <c r="C42" i="104"/>
  <c r="C42" i="105"/>
  <c r="C42" i="111"/>
  <c r="C41" i="59"/>
  <c r="C41" i="60"/>
  <c r="C41" i="61"/>
  <c r="C41" i="62"/>
  <c r="C41" i="63"/>
  <c r="C41" i="64"/>
  <c r="C41" i="65"/>
  <c r="C41" i="66"/>
  <c r="C41" i="67"/>
  <c r="C41" i="68"/>
  <c r="C41" i="108"/>
  <c r="C41" i="69"/>
  <c r="C41" i="70"/>
  <c r="C41" i="71"/>
  <c r="C41" i="72"/>
  <c r="C41" i="73"/>
  <c r="C41" i="74"/>
  <c r="C41" i="75"/>
  <c r="C41" i="76"/>
  <c r="C41" i="77"/>
  <c r="C41" i="78"/>
  <c r="C41" i="79"/>
  <c r="C41" i="80"/>
  <c r="C41" i="81"/>
  <c r="C41" i="82"/>
  <c r="C41" i="83"/>
  <c r="C41" i="84"/>
  <c r="C41" i="85"/>
  <c r="C41" i="86"/>
  <c r="C41" i="87"/>
  <c r="C41" i="88"/>
  <c r="C41" i="89"/>
  <c r="C41" i="90"/>
  <c r="C41" i="91"/>
  <c r="C41" i="92"/>
  <c r="C41" i="93"/>
  <c r="C41" i="94"/>
  <c r="C41" i="95"/>
  <c r="C41" i="96"/>
  <c r="C41" i="97"/>
  <c r="C41" i="98"/>
  <c r="C41" i="99"/>
  <c r="C41" i="100"/>
  <c r="C41" i="101"/>
  <c r="C41" i="102"/>
  <c r="C41" i="103"/>
  <c r="C41" i="104"/>
  <c r="C41" i="105"/>
  <c r="C41" i="111"/>
  <c r="C725" i="112"/>
  <c r="D724" i="112"/>
  <c r="D723" i="112"/>
  <c r="D722" i="112"/>
  <c r="D721" i="112"/>
  <c r="D720" i="112"/>
  <c r="D719" i="112"/>
  <c r="D718" i="112"/>
  <c r="D717" i="112"/>
  <c r="D716" i="112"/>
  <c r="C715" i="112"/>
  <c r="D714" i="112"/>
  <c r="D713" i="112"/>
  <c r="D712" i="112"/>
  <c r="C710" i="112"/>
  <c r="D709" i="112"/>
  <c r="D708" i="112"/>
  <c r="D707" i="112"/>
  <c r="D706" i="112"/>
  <c r="D705" i="112"/>
  <c r="D704" i="112"/>
  <c r="D703" i="112"/>
  <c r="D702" i="112"/>
  <c r="D701" i="112"/>
  <c r="C700" i="112"/>
  <c r="D697" i="112" s="1"/>
  <c r="C695" i="112"/>
  <c r="D694" i="112"/>
  <c r="D693" i="112"/>
  <c r="D692" i="112"/>
  <c r="D691" i="112"/>
  <c r="D690" i="112"/>
  <c r="D689" i="112"/>
  <c r="D688" i="112"/>
  <c r="D687" i="112"/>
  <c r="D686" i="112"/>
  <c r="C685" i="112"/>
  <c r="D684" i="112" s="1"/>
  <c r="C680" i="112"/>
  <c r="D679" i="112"/>
  <c r="D678" i="112"/>
  <c r="D677" i="112"/>
  <c r="D676" i="112"/>
  <c r="D675" i="112"/>
  <c r="D674" i="112"/>
  <c r="D673" i="112"/>
  <c r="D672" i="112"/>
  <c r="D671" i="112"/>
  <c r="C670" i="112"/>
  <c r="D669" i="112"/>
  <c r="D668" i="112"/>
  <c r="D667" i="112"/>
  <c r="C665" i="112"/>
  <c r="D664" i="112"/>
  <c r="D663" i="112"/>
  <c r="D662" i="112"/>
  <c r="D661" i="112"/>
  <c r="D660" i="112"/>
  <c r="D659" i="112"/>
  <c r="D658" i="112"/>
  <c r="D657" i="112"/>
  <c r="D656" i="112"/>
  <c r="C655" i="112"/>
  <c r="D652" i="112"/>
  <c r="C650" i="112"/>
  <c r="D649" i="112"/>
  <c r="D648" i="112"/>
  <c r="D647" i="112"/>
  <c r="D646" i="112"/>
  <c r="D645" i="112"/>
  <c r="D644" i="112"/>
  <c r="D643" i="112"/>
  <c r="D642" i="112"/>
  <c r="D641" i="112"/>
  <c r="C640" i="112"/>
  <c r="D639" i="112"/>
  <c r="D638" i="112"/>
  <c r="D637" i="112"/>
  <c r="C635" i="112"/>
  <c r="D634" i="112"/>
  <c r="D633" i="112"/>
  <c r="D632" i="112"/>
  <c r="D631" i="112"/>
  <c r="D630" i="112"/>
  <c r="D629" i="112"/>
  <c r="D628" i="112"/>
  <c r="D627" i="112"/>
  <c r="D626" i="112"/>
  <c r="C625" i="112"/>
  <c r="D624" i="112"/>
  <c r="D623" i="112"/>
  <c r="D622" i="112"/>
  <c r="C620" i="112"/>
  <c r="D619" i="112"/>
  <c r="D618" i="112"/>
  <c r="D617" i="112"/>
  <c r="D616" i="112"/>
  <c r="D615" i="112"/>
  <c r="D614" i="112"/>
  <c r="D613" i="112"/>
  <c r="D612" i="112"/>
  <c r="D611" i="112"/>
  <c r="C610" i="112"/>
  <c r="D607" i="112"/>
  <c r="C605" i="112"/>
  <c r="D604" i="112"/>
  <c r="D603" i="112"/>
  <c r="D602" i="112"/>
  <c r="D601" i="112"/>
  <c r="D600" i="112"/>
  <c r="D599" i="112"/>
  <c r="D598" i="112"/>
  <c r="D597" i="112"/>
  <c r="D596" i="112"/>
  <c r="C595" i="112"/>
  <c r="D594" i="112"/>
  <c r="D593" i="112"/>
  <c r="D592" i="112"/>
  <c r="C590" i="112"/>
  <c r="D589" i="112"/>
  <c r="D588" i="112"/>
  <c r="D587" i="112"/>
  <c r="D586" i="112"/>
  <c r="D585" i="112"/>
  <c r="D584" i="112"/>
  <c r="D583" i="112"/>
  <c r="D582" i="112"/>
  <c r="D581" i="112"/>
  <c r="C580" i="112"/>
  <c r="D577" i="112" s="1"/>
  <c r="D579" i="112"/>
  <c r="D578" i="112"/>
  <c r="C575" i="112"/>
  <c r="D574" i="112"/>
  <c r="D573" i="112"/>
  <c r="D572" i="112"/>
  <c r="D571" i="112"/>
  <c r="D570" i="112"/>
  <c r="D569" i="112"/>
  <c r="D568" i="112"/>
  <c r="D567" i="112"/>
  <c r="D566" i="112"/>
  <c r="C565" i="112"/>
  <c r="D562" i="112"/>
  <c r="C560" i="112"/>
  <c r="D559" i="112"/>
  <c r="D558" i="112"/>
  <c r="D557" i="112"/>
  <c r="D556" i="112"/>
  <c r="D555" i="112"/>
  <c r="D554" i="112"/>
  <c r="D553" i="112"/>
  <c r="D552" i="112"/>
  <c r="D551" i="112"/>
  <c r="C550" i="112"/>
  <c r="C545" i="112"/>
  <c r="D544" i="112"/>
  <c r="D543" i="112"/>
  <c r="D542" i="112"/>
  <c r="D541" i="112"/>
  <c r="D540" i="112"/>
  <c r="D539" i="112"/>
  <c r="D538" i="112"/>
  <c r="D537" i="112"/>
  <c r="D536" i="112"/>
  <c r="C535" i="112"/>
  <c r="C530" i="112"/>
  <c r="D529" i="112"/>
  <c r="D528" i="112"/>
  <c r="D527" i="112"/>
  <c r="D526" i="112"/>
  <c r="D525" i="112"/>
  <c r="D524" i="112"/>
  <c r="D523" i="112"/>
  <c r="D522" i="112"/>
  <c r="D521" i="112"/>
  <c r="C520" i="112"/>
  <c r="C515" i="112"/>
  <c r="D514" i="112"/>
  <c r="D513" i="112"/>
  <c r="D512" i="112"/>
  <c r="D511" i="112"/>
  <c r="D510" i="112"/>
  <c r="D509" i="112"/>
  <c r="D508" i="112"/>
  <c r="D507" i="112"/>
  <c r="D506" i="112"/>
  <c r="C505" i="112"/>
  <c r="C500" i="112"/>
  <c r="D499" i="112"/>
  <c r="D498" i="112"/>
  <c r="D497" i="112"/>
  <c r="D496" i="112"/>
  <c r="D495" i="112"/>
  <c r="D494" i="112"/>
  <c r="D493" i="112"/>
  <c r="D492" i="112"/>
  <c r="D491" i="112"/>
  <c r="C490" i="112"/>
  <c r="C485" i="112"/>
  <c r="D484" i="112"/>
  <c r="D483" i="112"/>
  <c r="D482" i="112"/>
  <c r="D481" i="112"/>
  <c r="D480" i="112"/>
  <c r="D479" i="112"/>
  <c r="D478" i="112"/>
  <c r="D477" i="112"/>
  <c r="D476" i="112"/>
  <c r="C475" i="112"/>
  <c r="D472" i="112"/>
  <c r="C470" i="112"/>
  <c r="D469" i="112"/>
  <c r="D468" i="112"/>
  <c r="D467" i="112"/>
  <c r="D466" i="112"/>
  <c r="D465" i="112"/>
  <c r="D464" i="112"/>
  <c r="D463" i="112"/>
  <c r="D462" i="112"/>
  <c r="D461" i="112"/>
  <c r="C460" i="112"/>
  <c r="D459" i="112"/>
  <c r="D458" i="112"/>
  <c r="D457" i="112"/>
  <c r="C455" i="112"/>
  <c r="D454" i="112"/>
  <c r="D453" i="112"/>
  <c r="D452" i="112"/>
  <c r="D451" i="112"/>
  <c r="D450" i="112"/>
  <c r="D449" i="112"/>
  <c r="D448" i="112"/>
  <c r="D447" i="112"/>
  <c r="D446" i="112"/>
  <c r="C445" i="112"/>
  <c r="D444" i="112"/>
  <c r="D443" i="112"/>
  <c r="D442" i="112"/>
  <c r="C440" i="112"/>
  <c r="D439" i="112"/>
  <c r="D438" i="112"/>
  <c r="D437" i="112"/>
  <c r="D436" i="112"/>
  <c r="D435" i="112"/>
  <c r="D434" i="112"/>
  <c r="D433" i="112"/>
  <c r="D432" i="112"/>
  <c r="D431" i="112"/>
  <c r="C430" i="112"/>
  <c r="D427" i="112"/>
  <c r="C425" i="112"/>
  <c r="D424" i="112"/>
  <c r="D423" i="112"/>
  <c r="D422" i="112"/>
  <c r="D421" i="112"/>
  <c r="D420" i="112"/>
  <c r="D419" i="112"/>
  <c r="D418" i="112"/>
  <c r="D417" i="112"/>
  <c r="D416" i="112"/>
  <c r="C415" i="112"/>
  <c r="D412" i="112" s="1"/>
  <c r="D414" i="112"/>
  <c r="D413" i="112"/>
  <c r="C410" i="112"/>
  <c r="D409" i="112"/>
  <c r="D408" i="112"/>
  <c r="D407" i="112"/>
  <c r="D406" i="112"/>
  <c r="D405" i="112"/>
  <c r="D404" i="112"/>
  <c r="D403" i="112"/>
  <c r="D402" i="112"/>
  <c r="D401" i="112"/>
  <c r="C400" i="112"/>
  <c r="D397" i="112" s="1"/>
  <c r="D399" i="112"/>
  <c r="C395" i="112"/>
  <c r="D394" i="112"/>
  <c r="D393" i="112"/>
  <c r="D392" i="112"/>
  <c r="D391" i="112"/>
  <c r="D390" i="112"/>
  <c r="D389" i="112"/>
  <c r="D388" i="112"/>
  <c r="D387" i="112"/>
  <c r="D386" i="112"/>
  <c r="C385" i="112"/>
  <c r="D382" i="112"/>
  <c r="C380" i="112"/>
  <c r="D379" i="112"/>
  <c r="D378" i="112"/>
  <c r="D377" i="112"/>
  <c r="D376" i="112"/>
  <c r="D375" i="112"/>
  <c r="D374" i="112"/>
  <c r="D373" i="112"/>
  <c r="D372" i="112"/>
  <c r="D371" i="112"/>
  <c r="C370" i="112"/>
  <c r="C365" i="112"/>
  <c r="D364" i="112"/>
  <c r="D363" i="112"/>
  <c r="D362" i="112"/>
  <c r="D361" i="112"/>
  <c r="D360" i="112"/>
  <c r="D359" i="112"/>
  <c r="D358" i="112"/>
  <c r="D357" i="112"/>
  <c r="D356" i="112"/>
  <c r="C355" i="112"/>
  <c r="D354" i="112"/>
  <c r="D353" i="112"/>
  <c r="D352" i="112"/>
  <c r="C350" i="112"/>
  <c r="D349" i="112"/>
  <c r="D348" i="112"/>
  <c r="D347" i="112"/>
  <c r="D346" i="112"/>
  <c r="D345" i="112"/>
  <c r="D344" i="112"/>
  <c r="D343" i="112"/>
  <c r="D342" i="112"/>
  <c r="D341" i="112"/>
  <c r="C340" i="112"/>
  <c r="D337" i="112"/>
  <c r="C335" i="112"/>
  <c r="D334" i="112"/>
  <c r="D333" i="112"/>
  <c r="D332" i="112"/>
  <c r="D331" i="112"/>
  <c r="D330" i="112"/>
  <c r="D329" i="112"/>
  <c r="D328" i="112"/>
  <c r="D327" i="112"/>
  <c r="D326" i="112"/>
  <c r="C325" i="112"/>
  <c r="D324" i="112"/>
  <c r="C320" i="112"/>
  <c r="D319" i="112"/>
  <c r="D318" i="112"/>
  <c r="D317" i="112"/>
  <c r="D316" i="112"/>
  <c r="D315" i="112"/>
  <c r="D314" i="112"/>
  <c r="D313" i="112"/>
  <c r="D312" i="112"/>
  <c r="D311" i="112"/>
  <c r="C310" i="112"/>
  <c r="D309" i="112"/>
  <c r="D308" i="112"/>
  <c r="D307" i="112"/>
  <c r="C305" i="112"/>
  <c r="D304" i="112"/>
  <c r="D303" i="112"/>
  <c r="D302" i="112"/>
  <c r="D301" i="112"/>
  <c r="D300" i="112"/>
  <c r="D299" i="112"/>
  <c r="D298" i="112"/>
  <c r="D297" i="112"/>
  <c r="D296" i="112"/>
  <c r="C295" i="112"/>
  <c r="D292" i="112"/>
  <c r="C290" i="112"/>
  <c r="D289" i="112"/>
  <c r="D288" i="112"/>
  <c r="D287" i="112"/>
  <c r="D286" i="112"/>
  <c r="D285" i="112"/>
  <c r="D284" i="112"/>
  <c r="D283" i="112"/>
  <c r="D282" i="112"/>
  <c r="D281" i="112"/>
  <c r="C280" i="112"/>
  <c r="D279" i="112"/>
  <c r="D278" i="112"/>
  <c r="D277" i="112"/>
  <c r="C275" i="112"/>
  <c r="D274" i="112"/>
  <c r="D273" i="112"/>
  <c r="D272" i="112"/>
  <c r="D271" i="112"/>
  <c r="D270" i="112"/>
  <c r="D269" i="112"/>
  <c r="D268" i="112"/>
  <c r="D267" i="112"/>
  <c r="D266" i="112"/>
  <c r="C265" i="112"/>
  <c r="D264" i="112"/>
  <c r="D263" i="112"/>
  <c r="D262" i="112"/>
  <c r="C260" i="112"/>
  <c r="D259" i="112"/>
  <c r="D258" i="112"/>
  <c r="D257" i="112"/>
  <c r="D256" i="112"/>
  <c r="D255" i="112"/>
  <c r="D254" i="112"/>
  <c r="D253" i="112"/>
  <c r="D252" i="112"/>
  <c r="D251" i="112"/>
  <c r="C250" i="112"/>
  <c r="D247" i="112"/>
  <c r="C245" i="112"/>
  <c r="D244" i="112"/>
  <c r="D243" i="112"/>
  <c r="D242" i="112"/>
  <c r="D241" i="112"/>
  <c r="D240" i="112"/>
  <c r="D239" i="112"/>
  <c r="D238" i="112"/>
  <c r="D237" i="112"/>
  <c r="D236" i="112"/>
  <c r="C235" i="112"/>
  <c r="D234" i="112"/>
  <c r="D233" i="112"/>
  <c r="D232" i="112"/>
  <c r="C230" i="112"/>
  <c r="D229" i="112"/>
  <c r="D228" i="112"/>
  <c r="D227" i="112"/>
  <c r="D226" i="112"/>
  <c r="D225" i="112"/>
  <c r="D224" i="112"/>
  <c r="D223" i="112"/>
  <c r="D222" i="112"/>
  <c r="D221" i="112"/>
  <c r="C220" i="112"/>
  <c r="D217" i="112" s="1"/>
  <c r="D219" i="112"/>
  <c r="D218" i="112"/>
  <c r="C215" i="112"/>
  <c r="D214" i="112"/>
  <c r="D213" i="112"/>
  <c r="D212" i="112"/>
  <c r="D211" i="112"/>
  <c r="D210" i="112"/>
  <c r="D209" i="112"/>
  <c r="D208" i="112"/>
  <c r="D207" i="112"/>
  <c r="D206" i="112"/>
  <c r="C205" i="112"/>
  <c r="D202" i="112"/>
  <c r="C200" i="112"/>
  <c r="D199" i="112"/>
  <c r="D198" i="112"/>
  <c r="D197" i="112"/>
  <c r="D196" i="112"/>
  <c r="D195" i="112"/>
  <c r="D194" i="112"/>
  <c r="D193" i="112"/>
  <c r="D192" i="112"/>
  <c r="D191" i="112"/>
  <c r="C190" i="112"/>
  <c r="D189" i="112"/>
  <c r="D188" i="112"/>
  <c r="D187" i="112"/>
  <c r="C185" i="112"/>
  <c r="D184" i="112"/>
  <c r="D183" i="112"/>
  <c r="D182" i="112"/>
  <c r="D181" i="112"/>
  <c r="D180" i="112"/>
  <c r="D179" i="112"/>
  <c r="D178" i="112"/>
  <c r="D177" i="112"/>
  <c r="D176" i="112"/>
  <c r="C175" i="112"/>
  <c r="D172" i="112" s="1"/>
  <c r="C170" i="112"/>
  <c r="D169" i="112"/>
  <c r="D168" i="112"/>
  <c r="D167" i="112"/>
  <c r="D166" i="112"/>
  <c r="D165" i="112"/>
  <c r="D164" i="112"/>
  <c r="D163" i="112"/>
  <c r="D162" i="112"/>
  <c r="D161" i="112"/>
  <c r="C160" i="112"/>
  <c r="D159" i="112" s="1"/>
  <c r="D158" i="112"/>
  <c r="D157" i="112"/>
  <c r="C155" i="112"/>
  <c r="D154" i="112"/>
  <c r="D153" i="112"/>
  <c r="D152" i="112"/>
  <c r="D151" i="112"/>
  <c r="D150" i="112"/>
  <c r="D149" i="112"/>
  <c r="D148" i="112"/>
  <c r="D147" i="112"/>
  <c r="D146" i="112"/>
  <c r="C145" i="112"/>
  <c r="D144" i="112"/>
  <c r="D143" i="112"/>
  <c r="D142" i="112"/>
  <c r="C140" i="112"/>
  <c r="D139" i="112"/>
  <c r="D138" i="112"/>
  <c r="D137" i="112"/>
  <c r="D136" i="112"/>
  <c r="D135" i="112"/>
  <c r="D134" i="112"/>
  <c r="D133" i="112"/>
  <c r="D132" i="112"/>
  <c r="D131" i="112"/>
  <c r="C130" i="112"/>
  <c r="D129" i="112"/>
  <c r="C125" i="112"/>
  <c r="D124" i="112"/>
  <c r="D123" i="112"/>
  <c r="D122" i="112"/>
  <c r="D121" i="112"/>
  <c r="D120" i="112"/>
  <c r="D119" i="112"/>
  <c r="D118" i="112"/>
  <c r="D117" i="112"/>
  <c r="D116" i="112"/>
  <c r="C115" i="112"/>
  <c r="D114" i="112" s="1"/>
  <c r="D113" i="112"/>
  <c r="D112" i="112"/>
  <c r="C110" i="112"/>
  <c r="D109" i="112"/>
  <c r="D108" i="112"/>
  <c r="D107" i="112"/>
  <c r="D106" i="112"/>
  <c r="D105" i="112"/>
  <c r="D104" i="112"/>
  <c r="D103" i="112"/>
  <c r="D102" i="112"/>
  <c r="D101" i="112"/>
  <c r="C100" i="112"/>
  <c r="D99" i="112"/>
  <c r="D98" i="112"/>
  <c r="D97" i="112"/>
  <c r="C95" i="112"/>
  <c r="D94" i="112"/>
  <c r="D93" i="112"/>
  <c r="D92" i="112"/>
  <c r="D91" i="112"/>
  <c r="D90" i="112"/>
  <c r="D89" i="112"/>
  <c r="D88" i="112"/>
  <c r="D87" i="112"/>
  <c r="D86" i="112"/>
  <c r="C85" i="112"/>
  <c r="D84" i="112"/>
  <c r="D83" i="112"/>
  <c r="D82" i="112"/>
  <c r="C80" i="112"/>
  <c r="D79" i="112"/>
  <c r="D78" i="112"/>
  <c r="D77" i="112"/>
  <c r="D76" i="112"/>
  <c r="D75" i="112"/>
  <c r="D74" i="112"/>
  <c r="D73" i="112"/>
  <c r="D72" i="112"/>
  <c r="D71" i="112"/>
  <c r="C70" i="112"/>
  <c r="D69" i="112" s="1"/>
  <c r="D68" i="112"/>
  <c r="D67" i="112"/>
  <c r="C65" i="112"/>
  <c r="D64" i="112"/>
  <c r="D63" i="112"/>
  <c r="D62" i="112"/>
  <c r="D61" i="112"/>
  <c r="D60" i="112"/>
  <c r="D59" i="112"/>
  <c r="D58" i="112"/>
  <c r="D57" i="112"/>
  <c r="D56" i="112"/>
  <c r="C55" i="112"/>
  <c r="D54" i="112"/>
  <c r="D53" i="112"/>
  <c r="D52" i="112"/>
  <c r="C50" i="112"/>
  <c r="D49" i="112"/>
  <c r="D48" i="112"/>
  <c r="D47" i="112"/>
  <c r="D46" i="112"/>
  <c r="D45" i="112"/>
  <c r="D44" i="112"/>
  <c r="D43" i="112"/>
  <c r="D42" i="112"/>
  <c r="D41" i="112"/>
  <c r="C40" i="112"/>
  <c r="D39" i="112"/>
  <c r="D38" i="112"/>
  <c r="D37" i="112"/>
  <c r="C35" i="112"/>
  <c r="D34" i="112"/>
  <c r="D33" i="112"/>
  <c r="D32" i="112"/>
  <c r="D31" i="112"/>
  <c r="D30" i="112"/>
  <c r="D29" i="112"/>
  <c r="D28" i="112"/>
  <c r="D27" i="112"/>
  <c r="D26" i="112"/>
  <c r="C25" i="112"/>
  <c r="D24" i="112" s="1"/>
  <c r="D23" i="112"/>
  <c r="D22" i="112"/>
  <c r="C20" i="112"/>
  <c r="D19" i="112"/>
  <c r="D18" i="112"/>
  <c r="D17" i="112"/>
  <c r="D16" i="112"/>
  <c r="D15" i="112"/>
  <c r="D14" i="112"/>
  <c r="D13" i="112"/>
  <c r="D12" i="112"/>
  <c r="D11" i="112"/>
  <c r="C10" i="112"/>
  <c r="J29" i="106" l="1"/>
  <c r="D9" i="112"/>
  <c r="D7" i="112"/>
  <c r="D8" i="112"/>
  <c r="D549" i="112"/>
  <c r="D548" i="112"/>
  <c r="D547" i="112"/>
  <c r="D384" i="112"/>
  <c r="D383" i="112"/>
  <c r="D369" i="112"/>
  <c r="D368" i="112"/>
  <c r="D367" i="112"/>
  <c r="D534" i="112"/>
  <c r="D533" i="112"/>
  <c r="D532" i="112"/>
  <c r="D128" i="112"/>
  <c r="D127" i="112"/>
  <c r="D174" i="112"/>
  <c r="D173" i="112"/>
  <c r="D519" i="112"/>
  <c r="D518" i="112"/>
  <c r="D517" i="112"/>
  <c r="D398" i="112"/>
  <c r="D489" i="112"/>
  <c r="D488" i="112"/>
  <c r="D487" i="112"/>
  <c r="D564" i="112"/>
  <c r="D563" i="112"/>
  <c r="D474" i="112"/>
  <c r="D473" i="112"/>
  <c r="D204" i="112"/>
  <c r="D203" i="112"/>
  <c r="D504" i="112"/>
  <c r="D503" i="112"/>
  <c r="D502" i="112"/>
  <c r="D294" i="112"/>
  <c r="D293" i="112"/>
  <c r="D654" i="112"/>
  <c r="D653" i="112"/>
  <c r="D323" i="112"/>
  <c r="D322" i="112"/>
  <c r="D339" i="112"/>
  <c r="D338" i="112"/>
  <c r="D683" i="112"/>
  <c r="D682" i="112"/>
  <c r="D699" i="112"/>
  <c r="D698" i="112"/>
  <c r="D249" i="112"/>
  <c r="D248" i="112"/>
  <c r="D609" i="112"/>
  <c r="D608" i="112"/>
  <c r="D429" i="112"/>
  <c r="D428" i="112"/>
  <c r="I37" i="107" l="1"/>
  <c r="X37" i="107" s="1"/>
  <c r="I37" i="58"/>
  <c r="I37" i="59"/>
  <c r="X37" i="59" s="1"/>
  <c r="I37" i="60"/>
  <c r="I37" i="61"/>
  <c r="I37" i="62"/>
  <c r="I37" i="63"/>
  <c r="I37" i="64"/>
  <c r="I37" i="65"/>
  <c r="X37" i="65" s="1"/>
  <c r="I37" i="66"/>
  <c r="X37" i="66" s="1"/>
  <c r="I37" i="67"/>
  <c r="X37" i="67" s="1"/>
  <c r="I37" i="68"/>
  <c r="X37" i="68" s="1"/>
  <c r="I37" i="108"/>
  <c r="X37" i="108" s="1"/>
  <c r="I37" i="69"/>
  <c r="I37" i="70"/>
  <c r="I37" i="71"/>
  <c r="I37" i="72"/>
  <c r="I37" i="73"/>
  <c r="I37" i="74"/>
  <c r="I37" i="75"/>
  <c r="X37" i="75" s="1"/>
  <c r="I37" i="76"/>
  <c r="X37" i="76" s="1"/>
  <c r="I37" i="77"/>
  <c r="X37" i="77" s="1"/>
  <c r="I37" i="78"/>
  <c r="X37" i="78" s="1"/>
  <c r="I37" i="79"/>
  <c r="X37" i="79" s="1"/>
  <c r="I37" i="80"/>
  <c r="X37" i="80" s="1"/>
  <c r="I37" i="81"/>
  <c r="I37" i="82"/>
  <c r="X37" i="82" s="1"/>
  <c r="I37" i="83"/>
  <c r="I37" i="84"/>
  <c r="I37" i="85"/>
  <c r="I37" i="86"/>
  <c r="I37" i="87"/>
  <c r="I37" i="88"/>
  <c r="X37" i="88" s="1"/>
  <c r="I37" i="89"/>
  <c r="X37" i="89" s="1"/>
  <c r="I37" i="90"/>
  <c r="X37" i="90" s="1"/>
  <c r="I37" i="91"/>
  <c r="X37" i="91" s="1"/>
  <c r="I37" i="92"/>
  <c r="X37" i="92" s="1"/>
  <c r="I37" i="93"/>
  <c r="I37" i="94"/>
  <c r="I37" i="95"/>
  <c r="I37" i="96"/>
  <c r="I37" i="97"/>
  <c r="I37" i="98"/>
  <c r="I37" i="99"/>
  <c r="X37" i="99" s="1"/>
  <c r="I37" i="100"/>
  <c r="X37" i="100" s="1"/>
  <c r="I37" i="101"/>
  <c r="X37" i="101" s="1"/>
  <c r="I37" i="102"/>
  <c r="X37" i="102" s="1"/>
  <c r="I37" i="103"/>
  <c r="X37" i="103" s="1"/>
  <c r="I37" i="104"/>
  <c r="X37" i="104" s="1"/>
  <c r="I37" i="105"/>
  <c r="I37" i="111"/>
  <c r="X37" i="111" s="1"/>
  <c r="I37" i="2"/>
  <c r="I36" i="107"/>
  <c r="X36" i="107" s="1"/>
  <c r="I36" i="58"/>
  <c r="I36" i="59"/>
  <c r="I36" i="60"/>
  <c r="X36" i="60" s="1"/>
  <c r="I36" i="61"/>
  <c r="I36" i="62"/>
  <c r="I36" i="63"/>
  <c r="I36" i="64"/>
  <c r="I36" i="65"/>
  <c r="I36" i="66"/>
  <c r="I36" i="67"/>
  <c r="X36" i="67" s="1"/>
  <c r="I36" i="68"/>
  <c r="I36" i="108"/>
  <c r="I36" i="69"/>
  <c r="I36" i="70"/>
  <c r="I36" i="71"/>
  <c r="I36" i="72"/>
  <c r="I36" i="73"/>
  <c r="I36" i="74"/>
  <c r="I36" i="75"/>
  <c r="X36" i="75" s="1"/>
  <c r="I36" i="76"/>
  <c r="X36" i="76" s="1"/>
  <c r="I36" i="77"/>
  <c r="X36" i="77" s="1"/>
  <c r="I36" i="78"/>
  <c r="X36" i="78" s="1"/>
  <c r="I36" i="79"/>
  <c r="X36" i="79" s="1"/>
  <c r="I36" i="80"/>
  <c r="X36" i="80" s="1"/>
  <c r="I36" i="81"/>
  <c r="I36" i="82"/>
  <c r="I36" i="83"/>
  <c r="X36" i="83" s="1"/>
  <c r="I36" i="84"/>
  <c r="I36" i="85"/>
  <c r="I36" i="86"/>
  <c r="I36" i="87"/>
  <c r="I36" i="88"/>
  <c r="I36" i="89"/>
  <c r="I36" i="90"/>
  <c r="I36" i="91"/>
  <c r="I36" i="92"/>
  <c r="I36" i="93"/>
  <c r="I36" i="94"/>
  <c r="I36" i="95"/>
  <c r="I36" i="96"/>
  <c r="I36" i="97"/>
  <c r="I36" i="98"/>
  <c r="I36" i="99"/>
  <c r="X36" i="99" s="1"/>
  <c r="I36" i="100"/>
  <c r="X36" i="100" s="1"/>
  <c r="I36" i="101"/>
  <c r="X36" i="101" s="1"/>
  <c r="I36" i="102"/>
  <c r="X36" i="102" s="1"/>
  <c r="I36" i="103"/>
  <c r="X36" i="103" s="1"/>
  <c r="I36" i="104"/>
  <c r="X36" i="104" s="1"/>
  <c r="I36" i="105"/>
  <c r="I36" i="111"/>
  <c r="I36" i="2"/>
  <c r="X36" i="2" s="1"/>
  <c r="A37" i="107"/>
  <c r="A37" i="58"/>
  <c r="A37" i="59"/>
  <c r="A37" i="60"/>
  <c r="A37" i="61"/>
  <c r="A37" i="62"/>
  <c r="A37" i="63"/>
  <c r="R37" i="63" s="1"/>
  <c r="A37" i="64"/>
  <c r="A37" i="65"/>
  <c r="A37" i="66"/>
  <c r="A37" i="67"/>
  <c r="A37" i="68"/>
  <c r="A37" i="108"/>
  <c r="A37" i="69"/>
  <c r="A37" i="70"/>
  <c r="A37" i="71"/>
  <c r="A37" i="72"/>
  <c r="R37" i="72" s="1"/>
  <c r="A37" i="73"/>
  <c r="R37" i="73" s="1"/>
  <c r="A37" i="74"/>
  <c r="R37" i="74" s="1"/>
  <c r="A37" i="75"/>
  <c r="R37" i="75" s="1"/>
  <c r="A37" i="76"/>
  <c r="R37" i="76" s="1"/>
  <c r="A37" i="77"/>
  <c r="R37" i="77" s="1"/>
  <c r="A37" i="78"/>
  <c r="R37" i="78" s="1"/>
  <c r="A37" i="79"/>
  <c r="R37" i="79" s="1"/>
  <c r="A37" i="80"/>
  <c r="A37" i="81"/>
  <c r="A37" i="82"/>
  <c r="A37" i="83"/>
  <c r="A37" i="84"/>
  <c r="A37" i="85"/>
  <c r="A37" i="86"/>
  <c r="A37" i="87"/>
  <c r="A37" i="88"/>
  <c r="A37" i="89"/>
  <c r="A37" i="90"/>
  <c r="A37" i="91"/>
  <c r="A37" i="92"/>
  <c r="A37" i="93"/>
  <c r="A37" i="94"/>
  <c r="A37" i="95"/>
  <c r="A37" i="96"/>
  <c r="R37" i="96" s="1"/>
  <c r="A37" i="97"/>
  <c r="R37" i="97" s="1"/>
  <c r="A37" i="98"/>
  <c r="R37" i="98" s="1"/>
  <c r="A37" i="99"/>
  <c r="R37" i="99" s="1"/>
  <c r="A37" i="100"/>
  <c r="R37" i="100" s="1"/>
  <c r="A37" i="101"/>
  <c r="R37" i="101" s="1"/>
  <c r="A37" i="102"/>
  <c r="R37" i="102" s="1"/>
  <c r="A37" i="103"/>
  <c r="R37" i="103" s="1"/>
  <c r="A37" i="104"/>
  <c r="A37" i="105"/>
  <c r="A37" i="111"/>
  <c r="A37" i="2"/>
  <c r="R37" i="2" s="1"/>
  <c r="A36" i="107"/>
  <c r="R36" i="107" s="1"/>
  <c r="A36" i="58"/>
  <c r="R36" i="58" s="1"/>
  <c r="A36" i="59"/>
  <c r="R36" i="59" s="1"/>
  <c r="A36" i="60"/>
  <c r="R36" i="60" s="1"/>
  <c r="A36" i="61"/>
  <c r="R36" i="61" s="1"/>
  <c r="A36" i="62"/>
  <c r="A36" i="63"/>
  <c r="A36" i="64"/>
  <c r="R36" i="64" s="1"/>
  <c r="A36" i="65"/>
  <c r="A36" i="66"/>
  <c r="A36" i="67"/>
  <c r="A36" i="68"/>
  <c r="A36" i="108"/>
  <c r="A36" i="69"/>
  <c r="A36" i="70"/>
  <c r="A36" i="71"/>
  <c r="A36" i="72"/>
  <c r="R36" i="72" s="1"/>
  <c r="A36" i="73"/>
  <c r="R36" i="73" s="1"/>
  <c r="A36" i="74"/>
  <c r="R36" i="74" s="1"/>
  <c r="A36" i="75"/>
  <c r="R36" i="75" s="1"/>
  <c r="A36" i="76"/>
  <c r="R36" i="76" s="1"/>
  <c r="A36" i="77"/>
  <c r="R36" i="77" s="1"/>
  <c r="A36" i="78"/>
  <c r="R36" i="78" s="1"/>
  <c r="A36" i="79"/>
  <c r="R36" i="79" s="1"/>
  <c r="A36" i="80"/>
  <c r="A36" i="81"/>
  <c r="A36" i="82"/>
  <c r="R36" i="82" s="1"/>
  <c r="A36" i="83"/>
  <c r="R36" i="83" s="1"/>
  <c r="A36" i="84"/>
  <c r="R36" i="84" s="1"/>
  <c r="A36" i="85"/>
  <c r="A36" i="86"/>
  <c r="R36" i="86" s="1"/>
  <c r="A36" i="87"/>
  <c r="A36" i="88"/>
  <c r="A36" i="89"/>
  <c r="A36" i="90"/>
  <c r="A36" i="91"/>
  <c r="A36" i="92"/>
  <c r="A36" i="93"/>
  <c r="A36" i="94"/>
  <c r="A36" i="95"/>
  <c r="A36" i="96"/>
  <c r="R36" i="96" s="1"/>
  <c r="A36" i="97"/>
  <c r="R36" i="97" s="1"/>
  <c r="A36" i="98"/>
  <c r="R36" i="98" s="1"/>
  <c r="A36" i="99"/>
  <c r="R36" i="99" s="1"/>
  <c r="A36" i="100"/>
  <c r="R36" i="100" s="1"/>
  <c r="A36" i="101"/>
  <c r="R36" i="101" s="1"/>
  <c r="A36" i="102"/>
  <c r="R36" i="102" s="1"/>
  <c r="A36" i="103"/>
  <c r="R36" i="103" s="1"/>
  <c r="A36" i="104"/>
  <c r="A36" i="105"/>
  <c r="A36" i="111"/>
  <c r="R36" i="111" s="1"/>
  <c r="A36" i="2"/>
  <c r="R36" i="2" s="1"/>
  <c r="R37" i="107"/>
  <c r="R37" i="58"/>
  <c r="R37" i="59"/>
  <c r="R37" i="60"/>
  <c r="R37" i="61"/>
  <c r="R37" i="62"/>
  <c r="R37" i="64"/>
  <c r="R37" i="65"/>
  <c r="R37" i="66"/>
  <c r="R37" i="67"/>
  <c r="R37" i="68"/>
  <c r="R37" i="108"/>
  <c r="R37" i="69"/>
  <c r="R37" i="70"/>
  <c r="R37" i="71"/>
  <c r="R37" i="80"/>
  <c r="R37" i="81"/>
  <c r="R37" i="82"/>
  <c r="R37" i="83"/>
  <c r="R37" i="84"/>
  <c r="R37" i="85"/>
  <c r="R37" i="86"/>
  <c r="R37" i="87"/>
  <c r="R37" i="88"/>
  <c r="R37" i="89"/>
  <c r="R37" i="90"/>
  <c r="R37" i="91"/>
  <c r="R37" i="92"/>
  <c r="R37" i="93"/>
  <c r="R37" i="94"/>
  <c r="R37" i="95"/>
  <c r="R37" i="104"/>
  <c r="R37" i="105"/>
  <c r="R37" i="111"/>
  <c r="R36" i="62"/>
  <c r="R36" i="63"/>
  <c r="R36" i="65"/>
  <c r="R36" i="66"/>
  <c r="R36" i="67"/>
  <c r="R36" i="68"/>
  <c r="R36" i="108"/>
  <c r="R36" i="69"/>
  <c r="R36" i="70"/>
  <c r="R36" i="71"/>
  <c r="R36" i="80"/>
  <c r="R36" i="81"/>
  <c r="R36" i="85"/>
  <c r="R36" i="87"/>
  <c r="R36" i="88"/>
  <c r="R36" i="89"/>
  <c r="R36" i="90"/>
  <c r="R36" i="91"/>
  <c r="R36" i="92"/>
  <c r="R36" i="93"/>
  <c r="R36" i="94"/>
  <c r="R36" i="95"/>
  <c r="R36" i="104"/>
  <c r="R36" i="105"/>
  <c r="X37" i="58"/>
  <c r="X37" i="60"/>
  <c r="X37" i="61"/>
  <c r="X37" i="62"/>
  <c r="X37" i="63"/>
  <c r="X37" i="64"/>
  <c r="X37" i="69"/>
  <c r="X37" i="70"/>
  <c r="X37" i="71"/>
  <c r="X37" i="72"/>
  <c r="X37" i="73"/>
  <c r="X37" i="74"/>
  <c r="X37" i="81"/>
  <c r="X37" i="83"/>
  <c r="X37" i="84"/>
  <c r="X37" i="85"/>
  <c r="X37" i="86"/>
  <c r="X37" i="87"/>
  <c r="X37" i="93"/>
  <c r="X37" i="94"/>
  <c r="X37" i="95"/>
  <c r="X37" i="96"/>
  <c r="X37" i="97"/>
  <c r="X37" i="98"/>
  <c r="X37" i="105"/>
  <c r="X37" i="2"/>
  <c r="X36" i="58"/>
  <c r="X36" i="59"/>
  <c r="X36" i="61"/>
  <c r="X36" i="62"/>
  <c r="X36" i="63"/>
  <c r="X36" i="64"/>
  <c r="X36" i="65"/>
  <c r="X36" i="66"/>
  <c r="X36" i="68"/>
  <c r="X36" i="108"/>
  <c r="X36" i="69"/>
  <c r="X36" i="70"/>
  <c r="X36" i="71"/>
  <c r="X36" i="72"/>
  <c r="X36" i="73"/>
  <c r="X36" i="74"/>
  <c r="X36" i="81"/>
  <c r="X36" i="82"/>
  <c r="X36" i="84"/>
  <c r="X36" i="85"/>
  <c r="X36" i="86"/>
  <c r="X36" i="87"/>
  <c r="X36" i="88"/>
  <c r="X36" i="89"/>
  <c r="X36" i="90"/>
  <c r="X36" i="91"/>
  <c r="X36" i="92"/>
  <c r="X36" i="93"/>
  <c r="X36" i="94"/>
  <c r="X36" i="95"/>
  <c r="X36" i="96"/>
  <c r="X36" i="97"/>
  <c r="X36" i="98"/>
  <c r="X36" i="105"/>
  <c r="X36" i="111"/>
  <c r="X6" i="59"/>
  <c r="X6" i="60"/>
  <c r="X6" i="61"/>
  <c r="X6" i="62"/>
  <c r="X6" i="63"/>
  <c r="X6" i="64"/>
  <c r="X6" i="65"/>
  <c r="X6" i="66"/>
  <c r="X6" i="67"/>
  <c r="X6" i="68"/>
  <c r="X6" i="108"/>
  <c r="X6" i="69"/>
  <c r="X6" i="70"/>
  <c r="X6" i="71"/>
  <c r="X6" i="72"/>
  <c r="X6" i="73"/>
  <c r="X6" i="74"/>
  <c r="X6" i="75"/>
  <c r="X6" i="76"/>
  <c r="X6" i="77"/>
  <c r="X6" i="78"/>
  <c r="X6" i="79"/>
  <c r="X6" i="80"/>
  <c r="X6" i="81"/>
  <c r="X6" i="82"/>
  <c r="X6" i="83"/>
  <c r="X6" i="84"/>
  <c r="X6" i="85"/>
  <c r="X6" i="86"/>
  <c r="X6" i="87"/>
  <c r="X6" i="88"/>
  <c r="X6" i="89"/>
  <c r="X6" i="90"/>
  <c r="X6" i="91"/>
  <c r="X6" i="92"/>
  <c r="X6" i="93"/>
  <c r="X6" i="94"/>
  <c r="X6" i="95"/>
  <c r="X6" i="96"/>
  <c r="X6" i="97"/>
  <c r="X6" i="98"/>
  <c r="X6" i="99"/>
  <c r="X6" i="100"/>
  <c r="X6" i="101"/>
  <c r="X6" i="102"/>
  <c r="X6" i="103"/>
  <c r="X6" i="104"/>
  <c r="X6" i="105"/>
  <c r="X6" i="111"/>
  <c r="B2" i="106"/>
  <c r="I1" i="106"/>
  <c r="B1" i="106" s="1"/>
  <c r="D23" i="54"/>
  <c r="X23" i="54" s="1"/>
  <c r="R23" i="54"/>
  <c r="Y23" i="54"/>
  <c r="D24" i="54"/>
  <c r="X24" i="54" s="1"/>
  <c r="R24" i="54"/>
  <c r="Y24" i="54"/>
  <c r="D36" i="54"/>
  <c r="X36" i="54" s="1"/>
  <c r="Y36" i="54"/>
  <c r="D37" i="54"/>
  <c r="X37" i="54" s="1"/>
  <c r="R37" i="54"/>
  <c r="Y37" i="54"/>
  <c r="D38" i="54"/>
  <c r="X38" i="54" s="1"/>
  <c r="R38" i="54"/>
  <c r="Y38" i="54"/>
  <c r="D40" i="54"/>
  <c r="R40" i="54"/>
  <c r="Y40" i="54"/>
  <c r="D41" i="54"/>
  <c r="X41" i="54" s="1"/>
  <c r="R41" i="54"/>
  <c r="Y41" i="54"/>
  <c r="D43" i="54"/>
  <c r="X43" i="54" s="1"/>
  <c r="R43" i="54"/>
  <c r="Y43" i="54"/>
  <c r="D44" i="54"/>
  <c r="R44" i="54"/>
  <c r="Y44" i="54"/>
  <c r="D45" i="54"/>
  <c r="X45" i="54" s="1"/>
  <c r="R45" i="54"/>
  <c r="Y45" i="54"/>
  <c r="D46" i="54"/>
  <c r="X46" i="54" s="1"/>
  <c r="R46" i="54"/>
  <c r="Y46" i="54"/>
  <c r="D47" i="54"/>
  <c r="X47" i="54" s="1"/>
  <c r="R47" i="54"/>
  <c r="Y47" i="54"/>
  <c r="D49" i="54"/>
  <c r="X49" i="54" s="1"/>
  <c r="R49" i="54"/>
  <c r="Y49" i="54"/>
  <c r="D50" i="54"/>
  <c r="X50" i="54" s="1"/>
  <c r="R50" i="54"/>
  <c r="Y50" i="54"/>
  <c r="D51" i="54"/>
  <c r="X51" i="54" s="1"/>
  <c r="R51" i="54"/>
  <c r="Y51" i="54"/>
  <c r="D52" i="54"/>
  <c r="X52" i="54" s="1"/>
  <c r="R52" i="54"/>
  <c r="D53" i="54"/>
  <c r="X53" i="54" s="1"/>
  <c r="Z53" i="54" s="1"/>
  <c r="R53" i="54"/>
  <c r="Y53" i="54"/>
  <c r="D54" i="54"/>
  <c r="R54" i="54"/>
  <c r="X54" i="54"/>
  <c r="Y54" i="54"/>
  <c r="D55" i="54"/>
  <c r="X55" i="54" s="1"/>
  <c r="R55" i="54"/>
  <c r="Y55" i="54"/>
  <c r="D56" i="54"/>
  <c r="R56" i="54"/>
  <c r="X56" i="54"/>
  <c r="Y56" i="54"/>
  <c r="D8" i="54"/>
  <c r="D7" i="54"/>
  <c r="D6" i="54"/>
  <c r="D48" i="54"/>
  <c r="D42" i="54"/>
  <c r="D39" i="54"/>
  <c r="D35" i="54"/>
  <c r="D34" i="54"/>
  <c r="D33" i="54"/>
  <c r="D32" i="54"/>
  <c r="D31" i="54"/>
  <c r="D30" i="54"/>
  <c r="D29" i="54"/>
  <c r="D28" i="54"/>
  <c r="D27" i="54"/>
  <c r="D26" i="54"/>
  <c r="D25" i="54"/>
  <c r="D22" i="54"/>
  <c r="D21" i="54"/>
  <c r="D20" i="54"/>
  <c r="D19" i="54"/>
  <c r="D18" i="54"/>
  <c r="D17" i="54"/>
  <c r="D16" i="54"/>
  <c r="D15" i="54"/>
  <c r="D14" i="54"/>
  <c r="D13" i="54"/>
  <c r="D12" i="54"/>
  <c r="D11" i="54"/>
  <c r="D10" i="54"/>
  <c r="D9" i="54"/>
  <c r="U2" i="109"/>
  <c r="R42" i="54"/>
  <c r="R39" i="54"/>
  <c r="R34" i="54"/>
  <c r="R33" i="54"/>
  <c r="R32" i="54"/>
  <c r="R31" i="54"/>
  <c r="R30" i="54"/>
  <c r="R29" i="54"/>
  <c r="R28" i="54"/>
  <c r="R27" i="54"/>
  <c r="R26" i="54"/>
  <c r="R25" i="54"/>
  <c r="R21" i="54"/>
  <c r="R20" i="54"/>
  <c r="R19" i="54"/>
  <c r="R18" i="54"/>
  <c r="R17" i="54"/>
  <c r="R16" i="54"/>
  <c r="R15" i="54"/>
  <c r="R14" i="54"/>
  <c r="R13" i="54"/>
  <c r="R12" i="54"/>
  <c r="R11" i="54"/>
  <c r="R10" i="54"/>
  <c r="R9" i="54"/>
  <c r="D97" i="89" l="1"/>
  <c r="C97" i="89"/>
  <c r="J78" i="89"/>
  <c r="D124" i="57"/>
  <c r="E58" i="57"/>
  <c r="O57" i="54" l="1" a="1"/>
  <c r="O57" i="54" s="1"/>
  <c r="Y57" i="54"/>
  <c r="X57" i="54"/>
  <c r="D27" i="59"/>
  <c r="C27" i="59"/>
  <c r="D26" i="59"/>
  <c r="C26" i="59"/>
  <c r="D25" i="59"/>
  <c r="C25" i="59"/>
  <c r="D24" i="59"/>
  <c r="C24" i="59"/>
  <c r="D23" i="59"/>
  <c r="C23" i="59"/>
  <c r="D22" i="59"/>
  <c r="C22" i="59"/>
  <c r="D21" i="59"/>
  <c r="C21" i="59"/>
  <c r="D20" i="59"/>
  <c r="C20" i="59"/>
  <c r="D19" i="59"/>
  <c r="C19" i="59"/>
  <c r="D18" i="59"/>
  <c r="C18" i="59"/>
  <c r="D17" i="59"/>
  <c r="C17" i="59"/>
  <c r="D16" i="59"/>
  <c r="C16" i="59"/>
  <c r="D15" i="59"/>
  <c r="C15" i="59"/>
  <c r="D14" i="59"/>
  <c r="C14" i="59"/>
  <c r="D13" i="59"/>
  <c r="C13" i="59"/>
  <c r="D12" i="59"/>
  <c r="C12" i="59"/>
  <c r="D27" i="60"/>
  <c r="C27" i="60"/>
  <c r="D26" i="60"/>
  <c r="C26" i="60"/>
  <c r="D25" i="60"/>
  <c r="C25" i="60"/>
  <c r="D24" i="60"/>
  <c r="C24" i="60"/>
  <c r="D23" i="60"/>
  <c r="C23" i="60"/>
  <c r="D22" i="60"/>
  <c r="C22" i="60"/>
  <c r="D21" i="60"/>
  <c r="C21" i="60"/>
  <c r="D20" i="60"/>
  <c r="C20" i="60"/>
  <c r="D19" i="60"/>
  <c r="C19" i="60"/>
  <c r="D18" i="60"/>
  <c r="C18" i="60"/>
  <c r="D17" i="60"/>
  <c r="C17" i="60"/>
  <c r="D16" i="60"/>
  <c r="C16" i="60"/>
  <c r="D15" i="60"/>
  <c r="C15" i="60"/>
  <c r="D14" i="60"/>
  <c r="C14" i="60"/>
  <c r="D13" i="60"/>
  <c r="C13" i="60"/>
  <c r="D12" i="60"/>
  <c r="C12" i="60"/>
  <c r="D27" i="61"/>
  <c r="C27" i="61"/>
  <c r="D26" i="61"/>
  <c r="C26" i="61"/>
  <c r="D25" i="61"/>
  <c r="C25" i="61"/>
  <c r="D24" i="61"/>
  <c r="C24" i="61"/>
  <c r="D23" i="61"/>
  <c r="C23" i="61"/>
  <c r="D22" i="61"/>
  <c r="C22" i="61"/>
  <c r="D21" i="61"/>
  <c r="C21" i="61"/>
  <c r="D20" i="61"/>
  <c r="C20" i="61"/>
  <c r="D19" i="61"/>
  <c r="C19" i="61"/>
  <c r="D18" i="61"/>
  <c r="C18" i="61"/>
  <c r="D17" i="61"/>
  <c r="C17" i="61"/>
  <c r="D16" i="61"/>
  <c r="C16" i="61"/>
  <c r="D15" i="61"/>
  <c r="C15" i="61"/>
  <c r="D14" i="61"/>
  <c r="C14" i="61"/>
  <c r="D13" i="61"/>
  <c r="C13" i="61"/>
  <c r="D12" i="61"/>
  <c r="C12" i="61"/>
  <c r="D27" i="62"/>
  <c r="C27" i="62"/>
  <c r="D26" i="62"/>
  <c r="C26" i="62"/>
  <c r="D25" i="62"/>
  <c r="C25" i="62"/>
  <c r="D24" i="62"/>
  <c r="C24" i="62"/>
  <c r="D23" i="62"/>
  <c r="C23" i="62"/>
  <c r="D22" i="62"/>
  <c r="C22" i="62"/>
  <c r="D21" i="62"/>
  <c r="C21" i="62"/>
  <c r="D20" i="62"/>
  <c r="C20" i="62"/>
  <c r="D19" i="62"/>
  <c r="C19" i="62"/>
  <c r="D18" i="62"/>
  <c r="C18" i="62"/>
  <c r="D17" i="62"/>
  <c r="C17" i="62"/>
  <c r="D16" i="62"/>
  <c r="C16" i="62"/>
  <c r="D15" i="62"/>
  <c r="C15" i="62"/>
  <c r="D14" i="62"/>
  <c r="C14" i="62"/>
  <c r="D13" i="62"/>
  <c r="C13" i="62"/>
  <c r="D12" i="62"/>
  <c r="C12" i="62"/>
  <c r="D27" i="63"/>
  <c r="C27" i="63"/>
  <c r="D26" i="63"/>
  <c r="C26" i="63"/>
  <c r="D25" i="63"/>
  <c r="C25" i="63"/>
  <c r="D24" i="63"/>
  <c r="C24" i="63"/>
  <c r="D23" i="63"/>
  <c r="C23" i="63"/>
  <c r="D22" i="63"/>
  <c r="C22" i="63"/>
  <c r="D21" i="63"/>
  <c r="C21" i="63"/>
  <c r="D20" i="63"/>
  <c r="C20" i="63"/>
  <c r="D19" i="63"/>
  <c r="C19" i="63"/>
  <c r="D18" i="63"/>
  <c r="C18" i="63"/>
  <c r="D17" i="63"/>
  <c r="C17" i="63"/>
  <c r="D16" i="63"/>
  <c r="C16" i="63"/>
  <c r="D15" i="63"/>
  <c r="C15" i="63"/>
  <c r="D14" i="63"/>
  <c r="C14" i="63"/>
  <c r="D13" i="63"/>
  <c r="C13" i="63"/>
  <c r="D12" i="63"/>
  <c r="C12" i="63"/>
  <c r="D27" i="64"/>
  <c r="C27" i="64"/>
  <c r="D26" i="64"/>
  <c r="C26" i="64"/>
  <c r="D25" i="64"/>
  <c r="C25" i="64"/>
  <c r="D24" i="64"/>
  <c r="C24" i="64"/>
  <c r="D23" i="64"/>
  <c r="C23" i="64"/>
  <c r="D22" i="64"/>
  <c r="C22" i="64"/>
  <c r="D21" i="64"/>
  <c r="C21" i="64"/>
  <c r="D20" i="64"/>
  <c r="C20" i="64"/>
  <c r="D19" i="64"/>
  <c r="C19" i="64"/>
  <c r="D18" i="64"/>
  <c r="C18" i="64"/>
  <c r="D17" i="64"/>
  <c r="C17" i="64"/>
  <c r="D16" i="64"/>
  <c r="C16" i="64"/>
  <c r="D15" i="64"/>
  <c r="C15" i="64"/>
  <c r="D14" i="64"/>
  <c r="C14" i="64"/>
  <c r="D13" i="64"/>
  <c r="C13" i="64"/>
  <c r="D12" i="64"/>
  <c r="C12" i="64"/>
  <c r="D27" i="65"/>
  <c r="C27" i="65"/>
  <c r="D26" i="65"/>
  <c r="C26" i="65"/>
  <c r="D25" i="65"/>
  <c r="C25" i="65"/>
  <c r="D24" i="65"/>
  <c r="C24" i="65"/>
  <c r="D23" i="65"/>
  <c r="C23" i="65"/>
  <c r="D22" i="65"/>
  <c r="C22" i="65"/>
  <c r="D21" i="65"/>
  <c r="C21" i="65"/>
  <c r="D20" i="65"/>
  <c r="C20" i="65"/>
  <c r="D19" i="65"/>
  <c r="C19" i="65"/>
  <c r="D18" i="65"/>
  <c r="C18" i="65"/>
  <c r="D17" i="65"/>
  <c r="C17" i="65"/>
  <c r="D16" i="65"/>
  <c r="C16" i="65"/>
  <c r="D15" i="65"/>
  <c r="C15" i="65"/>
  <c r="D14" i="65"/>
  <c r="C14" i="65"/>
  <c r="D13" i="65"/>
  <c r="C13" i="65"/>
  <c r="D12" i="65"/>
  <c r="C12" i="65"/>
  <c r="D27" i="66"/>
  <c r="C27" i="66"/>
  <c r="D26" i="66"/>
  <c r="C26" i="66"/>
  <c r="D25" i="66"/>
  <c r="C25" i="66"/>
  <c r="D24" i="66"/>
  <c r="C24" i="66"/>
  <c r="D23" i="66"/>
  <c r="C23" i="66"/>
  <c r="D22" i="66"/>
  <c r="C22" i="66"/>
  <c r="D21" i="66"/>
  <c r="C21" i="66"/>
  <c r="D20" i="66"/>
  <c r="C20" i="66"/>
  <c r="D19" i="66"/>
  <c r="C19" i="66"/>
  <c r="D18" i="66"/>
  <c r="C18" i="66"/>
  <c r="D17" i="66"/>
  <c r="C17" i="66"/>
  <c r="D16" i="66"/>
  <c r="C16" i="66"/>
  <c r="D15" i="66"/>
  <c r="C15" i="66"/>
  <c r="D14" i="66"/>
  <c r="C14" i="66"/>
  <c r="D13" i="66"/>
  <c r="C13" i="66"/>
  <c r="D12" i="66"/>
  <c r="C12" i="66"/>
  <c r="D27" i="67"/>
  <c r="C27" i="67"/>
  <c r="D26" i="67"/>
  <c r="C26" i="67"/>
  <c r="D25" i="67"/>
  <c r="C25" i="67"/>
  <c r="D24" i="67"/>
  <c r="C24" i="67"/>
  <c r="D23" i="67"/>
  <c r="C23" i="67"/>
  <c r="D22" i="67"/>
  <c r="C22" i="67"/>
  <c r="D21" i="67"/>
  <c r="C21" i="67"/>
  <c r="D20" i="67"/>
  <c r="C20" i="67"/>
  <c r="D19" i="67"/>
  <c r="C19" i="67"/>
  <c r="D18" i="67"/>
  <c r="C18" i="67"/>
  <c r="D17" i="67"/>
  <c r="C17" i="67"/>
  <c r="D16" i="67"/>
  <c r="C16" i="67"/>
  <c r="D15" i="67"/>
  <c r="C15" i="67"/>
  <c r="D14" i="67"/>
  <c r="C14" i="67"/>
  <c r="D13" i="67"/>
  <c r="C13" i="67"/>
  <c r="D12" i="67"/>
  <c r="C12" i="67"/>
  <c r="D27" i="68"/>
  <c r="C27" i="68"/>
  <c r="D26" i="68"/>
  <c r="C26" i="68"/>
  <c r="D25" i="68"/>
  <c r="C25" i="68"/>
  <c r="D24" i="68"/>
  <c r="C24" i="68"/>
  <c r="D23" i="68"/>
  <c r="C23" i="68"/>
  <c r="D22" i="68"/>
  <c r="C22" i="68"/>
  <c r="D21" i="68"/>
  <c r="C21" i="68"/>
  <c r="D20" i="68"/>
  <c r="C20" i="68"/>
  <c r="D19" i="68"/>
  <c r="C19" i="68"/>
  <c r="D18" i="68"/>
  <c r="C18" i="68"/>
  <c r="D17" i="68"/>
  <c r="C17" i="68"/>
  <c r="D16" i="68"/>
  <c r="C16" i="68"/>
  <c r="D15" i="68"/>
  <c r="C15" i="68"/>
  <c r="D14" i="68"/>
  <c r="C14" i="68"/>
  <c r="D13" i="68"/>
  <c r="C13" i="68"/>
  <c r="D12" i="68"/>
  <c r="C12" i="68"/>
  <c r="D27" i="108"/>
  <c r="C27" i="108"/>
  <c r="D26" i="108"/>
  <c r="C26" i="108"/>
  <c r="D25" i="108"/>
  <c r="C25" i="108"/>
  <c r="D24" i="108"/>
  <c r="C24" i="108"/>
  <c r="D23" i="108"/>
  <c r="C23" i="108"/>
  <c r="D22" i="108"/>
  <c r="C22" i="108"/>
  <c r="D21" i="108"/>
  <c r="C21" i="108"/>
  <c r="D20" i="108"/>
  <c r="C20" i="108"/>
  <c r="D19" i="108"/>
  <c r="C19" i="108"/>
  <c r="D18" i="108"/>
  <c r="C18" i="108"/>
  <c r="D17" i="108"/>
  <c r="C17" i="108"/>
  <c r="D16" i="108"/>
  <c r="C16" i="108"/>
  <c r="D15" i="108"/>
  <c r="C15" i="108"/>
  <c r="D14" i="108"/>
  <c r="C14" i="108"/>
  <c r="D13" i="108"/>
  <c r="C13" i="108"/>
  <c r="D12" i="108"/>
  <c r="C12" i="108"/>
  <c r="D27" i="69"/>
  <c r="C27" i="69"/>
  <c r="D26" i="69"/>
  <c r="C26" i="69"/>
  <c r="D25" i="69"/>
  <c r="C25" i="69"/>
  <c r="D24" i="69"/>
  <c r="C24" i="69"/>
  <c r="D23" i="69"/>
  <c r="C23" i="69"/>
  <c r="D22" i="69"/>
  <c r="C22" i="69"/>
  <c r="D21" i="69"/>
  <c r="C21" i="69"/>
  <c r="D20" i="69"/>
  <c r="C20" i="69"/>
  <c r="D19" i="69"/>
  <c r="C19" i="69"/>
  <c r="D18" i="69"/>
  <c r="C18" i="69"/>
  <c r="D17" i="69"/>
  <c r="C17" i="69"/>
  <c r="D16" i="69"/>
  <c r="C16" i="69"/>
  <c r="D15" i="69"/>
  <c r="C15" i="69"/>
  <c r="D14" i="69"/>
  <c r="C14" i="69"/>
  <c r="D13" i="69"/>
  <c r="C13" i="69"/>
  <c r="D12" i="69"/>
  <c r="C12" i="69"/>
  <c r="D27" i="70"/>
  <c r="C27" i="70"/>
  <c r="D26" i="70"/>
  <c r="C26" i="70"/>
  <c r="D25" i="70"/>
  <c r="C25" i="70"/>
  <c r="D24" i="70"/>
  <c r="C24" i="70"/>
  <c r="D23" i="70"/>
  <c r="C23" i="70"/>
  <c r="D22" i="70"/>
  <c r="C22" i="70"/>
  <c r="D21" i="70"/>
  <c r="C21" i="70"/>
  <c r="D20" i="70"/>
  <c r="C20" i="70"/>
  <c r="D19" i="70"/>
  <c r="C19" i="70"/>
  <c r="D18" i="70"/>
  <c r="C18" i="70"/>
  <c r="D17" i="70"/>
  <c r="C17" i="70"/>
  <c r="D16" i="70"/>
  <c r="C16" i="70"/>
  <c r="D15" i="70"/>
  <c r="C15" i="70"/>
  <c r="D14" i="70"/>
  <c r="C14" i="70"/>
  <c r="D13" i="70"/>
  <c r="C13" i="70"/>
  <c r="D12" i="70"/>
  <c r="C12" i="70"/>
  <c r="D27" i="71"/>
  <c r="C27" i="71"/>
  <c r="D26" i="71"/>
  <c r="C26" i="71"/>
  <c r="D25" i="71"/>
  <c r="C25" i="71"/>
  <c r="D24" i="71"/>
  <c r="C24" i="71"/>
  <c r="D23" i="71"/>
  <c r="C23" i="71"/>
  <c r="D22" i="71"/>
  <c r="C22" i="71"/>
  <c r="D21" i="71"/>
  <c r="C21" i="71"/>
  <c r="D20" i="71"/>
  <c r="C20" i="71"/>
  <c r="D19" i="71"/>
  <c r="C19" i="71"/>
  <c r="D18" i="71"/>
  <c r="C18" i="71"/>
  <c r="D17" i="71"/>
  <c r="C17" i="71"/>
  <c r="D16" i="71"/>
  <c r="C16" i="71"/>
  <c r="D15" i="71"/>
  <c r="C15" i="71"/>
  <c r="D14" i="71"/>
  <c r="C14" i="71"/>
  <c r="D13" i="71"/>
  <c r="C13" i="71"/>
  <c r="D12" i="71"/>
  <c r="C12" i="71"/>
  <c r="D27" i="72"/>
  <c r="C27" i="72"/>
  <c r="D26" i="72"/>
  <c r="C26" i="72"/>
  <c r="D25" i="72"/>
  <c r="C25" i="72"/>
  <c r="D24" i="72"/>
  <c r="C24" i="72"/>
  <c r="D23" i="72"/>
  <c r="C23" i="72"/>
  <c r="D22" i="72"/>
  <c r="C22" i="72"/>
  <c r="D21" i="72"/>
  <c r="C21" i="72"/>
  <c r="D20" i="72"/>
  <c r="C20" i="72"/>
  <c r="D19" i="72"/>
  <c r="C19" i="72"/>
  <c r="D18" i="72"/>
  <c r="C18" i="72"/>
  <c r="D17" i="72"/>
  <c r="C17" i="72"/>
  <c r="D16" i="72"/>
  <c r="C16" i="72"/>
  <c r="D15" i="72"/>
  <c r="C15" i="72"/>
  <c r="D14" i="72"/>
  <c r="C14" i="72"/>
  <c r="D13" i="72"/>
  <c r="C13" i="72"/>
  <c r="D12" i="72"/>
  <c r="C12" i="72"/>
  <c r="D27" i="73"/>
  <c r="C27" i="73"/>
  <c r="D26" i="73"/>
  <c r="C26" i="73"/>
  <c r="D25" i="73"/>
  <c r="C25" i="73"/>
  <c r="D24" i="73"/>
  <c r="C24" i="73"/>
  <c r="D23" i="73"/>
  <c r="C23" i="73"/>
  <c r="D22" i="73"/>
  <c r="C22" i="73"/>
  <c r="D21" i="73"/>
  <c r="C21" i="73"/>
  <c r="D20" i="73"/>
  <c r="C20" i="73"/>
  <c r="D19" i="73"/>
  <c r="C19" i="73"/>
  <c r="D18" i="73"/>
  <c r="C18" i="73"/>
  <c r="D17" i="73"/>
  <c r="C17" i="73"/>
  <c r="D16" i="73"/>
  <c r="C16" i="73"/>
  <c r="D15" i="73"/>
  <c r="C15" i="73"/>
  <c r="D14" i="73"/>
  <c r="C14" i="73"/>
  <c r="D13" i="73"/>
  <c r="C13" i="73"/>
  <c r="D12" i="73"/>
  <c r="C12" i="73"/>
  <c r="D27" i="74"/>
  <c r="C27" i="74"/>
  <c r="D26" i="74"/>
  <c r="C26" i="74"/>
  <c r="D25" i="74"/>
  <c r="C25" i="74"/>
  <c r="D24" i="74"/>
  <c r="C24" i="74"/>
  <c r="D23" i="74"/>
  <c r="C23" i="74"/>
  <c r="D22" i="74"/>
  <c r="C22" i="74"/>
  <c r="D21" i="74"/>
  <c r="C21" i="74"/>
  <c r="D20" i="74"/>
  <c r="C20" i="74"/>
  <c r="D19" i="74"/>
  <c r="C19" i="74"/>
  <c r="D18" i="74"/>
  <c r="C18" i="74"/>
  <c r="D17" i="74"/>
  <c r="C17" i="74"/>
  <c r="D16" i="74"/>
  <c r="C16" i="74"/>
  <c r="D15" i="74"/>
  <c r="C15" i="74"/>
  <c r="D14" i="74"/>
  <c r="C14" i="74"/>
  <c r="D13" i="74"/>
  <c r="C13" i="74"/>
  <c r="D12" i="74"/>
  <c r="C12" i="74"/>
  <c r="D27" i="75"/>
  <c r="C27" i="75"/>
  <c r="D26" i="75"/>
  <c r="C26" i="75"/>
  <c r="D25" i="75"/>
  <c r="C25" i="75"/>
  <c r="D24" i="75"/>
  <c r="C24" i="75"/>
  <c r="D23" i="75"/>
  <c r="C23" i="75"/>
  <c r="D22" i="75"/>
  <c r="C22" i="75"/>
  <c r="D21" i="75"/>
  <c r="C21" i="75"/>
  <c r="D20" i="75"/>
  <c r="C20" i="75"/>
  <c r="D19" i="75"/>
  <c r="C19" i="75"/>
  <c r="D18" i="75"/>
  <c r="C18" i="75"/>
  <c r="D17" i="75"/>
  <c r="C17" i="75"/>
  <c r="D16" i="75"/>
  <c r="C16" i="75"/>
  <c r="D15" i="75"/>
  <c r="C15" i="75"/>
  <c r="D14" i="75"/>
  <c r="C14" i="75"/>
  <c r="D13" i="75"/>
  <c r="C13" i="75"/>
  <c r="D12" i="75"/>
  <c r="C12" i="75"/>
  <c r="D27" i="76"/>
  <c r="C27" i="76"/>
  <c r="D26" i="76"/>
  <c r="C26" i="76"/>
  <c r="D25" i="76"/>
  <c r="C25" i="76"/>
  <c r="D24" i="76"/>
  <c r="C24" i="76"/>
  <c r="D23" i="76"/>
  <c r="C23" i="76"/>
  <c r="D22" i="76"/>
  <c r="C22" i="76"/>
  <c r="D21" i="76"/>
  <c r="C21" i="76"/>
  <c r="D20" i="76"/>
  <c r="C20" i="76"/>
  <c r="D19" i="76"/>
  <c r="C19" i="76"/>
  <c r="D18" i="76"/>
  <c r="C18" i="76"/>
  <c r="D17" i="76"/>
  <c r="C17" i="76"/>
  <c r="D16" i="76"/>
  <c r="C16" i="76"/>
  <c r="D15" i="76"/>
  <c r="C15" i="76"/>
  <c r="D14" i="76"/>
  <c r="C14" i="76"/>
  <c r="D13" i="76"/>
  <c r="C13" i="76"/>
  <c r="D12" i="76"/>
  <c r="C12" i="76"/>
  <c r="D27" i="77"/>
  <c r="C27" i="77"/>
  <c r="D26" i="77"/>
  <c r="C26" i="77"/>
  <c r="D25" i="77"/>
  <c r="C25" i="77"/>
  <c r="D24" i="77"/>
  <c r="C24" i="77"/>
  <c r="D23" i="77"/>
  <c r="C23" i="77"/>
  <c r="D22" i="77"/>
  <c r="C22" i="77"/>
  <c r="D21" i="77"/>
  <c r="C21" i="77"/>
  <c r="D20" i="77"/>
  <c r="C20" i="77"/>
  <c r="D19" i="77"/>
  <c r="C19" i="77"/>
  <c r="D18" i="77"/>
  <c r="C18" i="77"/>
  <c r="D17" i="77"/>
  <c r="C17" i="77"/>
  <c r="D16" i="77"/>
  <c r="C16" i="77"/>
  <c r="D15" i="77"/>
  <c r="C15" i="77"/>
  <c r="D14" i="77"/>
  <c r="C14" i="77"/>
  <c r="D13" i="77"/>
  <c r="C13" i="77"/>
  <c r="D12" i="77"/>
  <c r="C12" i="77"/>
  <c r="D27" i="78"/>
  <c r="C27" i="78"/>
  <c r="D26" i="78"/>
  <c r="C26" i="78"/>
  <c r="D25" i="78"/>
  <c r="C25" i="78"/>
  <c r="D24" i="78"/>
  <c r="C24" i="78"/>
  <c r="D23" i="78"/>
  <c r="C23" i="78"/>
  <c r="D22" i="78"/>
  <c r="C22" i="78"/>
  <c r="D21" i="78"/>
  <c r="C21" i="78"/>
  <c r="D20" i="78"/>
  <c r="C20" i="78"/>
  <c r="D19" i="78"/>
  <c r="C19" i="78"/>
  <c r="D18" i="78"/>
  <c r="C18" i="78"/>
  <c r="D17" i="78"/>
  <c r="C17" i="78"/>
  <c r="D16" i="78"/>
  <c r="C16" i="78"/>
  <c r="D15" i="78"/>
  <c r="C15" i="78"/>
  <c r="D14" i="78"/>
  <c r="C14" i="78"/>
  <c r="D13" i="78"/>
  <c r="C13" i="78"/>
  <c r="D12" i="78"/>
  <c r="C12" i="78"/>
  <c r="D27" i="79"/>
  <c r="C27" i="79"/>
  <c r="D26" i="79"/>
  <c r="C26" i="79"/>
  <c r="D25" i="79"/>
  <c r="C25" i="79"/>
  <c r="D24" i="79"/>
  <c r="C24" i="79"/>
  <c r="D23" i="79"/>
  <c r="C23" i="79"/>
  <c r="D22" i="79"/>
  <c r="C22" i="79"/>
  <c r="D21" i="79"/>
  <c r="C21" i="79"/>
  <c r="D20" i="79"/>
  <c r="C20" i="79"/>
  <c r="D19" i="79"/>
  <c r="C19" i="79"/>
  <c r="D18" i="79"/>
  <c r="C18" i="79"/>
  <c r="D17" i="79"/>
  <c r="C17" i="79"/>
  <c r="D16" i="79"/>
  <c r="C16" i="79"/>
  <c r="D15" i="79"/>
  <c r="C15" i="79"/>
  <c r="D14" i="79"/>
  <c r="C14" i="79"/>
  <c r="D13" i="79"/>
  <c r="C13" i="79"/>
  <c r="D12" i="79"/>
  <c r="C12" i="79"/>
  <c r="D27" i="80"/>
  <c r="C27" i="80"/>
  <c r="D26" i="80"/>
  <c r="C26" i="80"/>
  <c r="D25" i="80"/>
  <c r="C25" i="80"/>
  <c r="D24" i="80"/>
  <c r="C24" i="80"/>
  <c r="D23" i="80"/>
  <c r="C23" i="80"/>
  <c r="D22" i="80"/>
  <c r="C22" i="80"/>
  <c r="D21" i="80"/>
  <c r="C21" i="80"/>
  <c r="D20" i="80"/>
  <c r="C20" i="80"/>
  <c r="D19" i="80"/>
  <c r="C19" i="80"/>
  <c r="D18" i="80"/>
  <c r="C18" i="80"/>
  <c r="D17" i="80"/>
  <c r="C17" i="80"/>
  <c r="D16" i="80"/>
  <c r="C16" i="80"/>
  <c r="D15" i="80"/>
  <c r="C15" i="80"/>
  <c r="D14" i="80"/>
  <c r="C14" i="80"/>
  <c r="D13" i="80"/>
  <c r="C13" i="80"/>
  <c r="D12" i="80"/>
  <c r="C12" i="80"/>
  <c r="D27" i="81"/>
  <c r="C27" i="81"/>
  <c r="D26" i="81"/>
  <c r="C26" i="81"/>
  <c r="D25" i="81"/>
  <c r="C25" i="81"/>
  <c r="D24" i="81"/>
  <c r="C24" i="81"/>
  <c r="D23" i="81"/>
  <c r="C23" i="81"/>
  <c r="D22" i="81"/>
  <c r="C22" i="81"/>
  <c r="D21" i="81"/>
  <c r="C21" i="81"/>
  <c r="D20" i="81"/>
  <c r="C20" i="81"/>
  <c r="D19" i="81"/>
  <c r="C19" i="81"/>
  <c r="D18" i="81"/>
  <c r="C18" i="81"/>
  <c r="D17" i="81"/>
  <c r="C17" i="81"/>
  <c r="D16" i="81"/>
  <c r="C16" i="81"/>
  <c r="D15" i="81"/>
  <c r="C15" i="81"/>
  <c r="D14" i="81"/>
  <c r="C14" i="81"/>
  <c r="D13" i="81"/>
  <c r="C13" i="81"/>
  <c r="D12" i="81"/>
  <c r="C12" i="81"/>
  <c r="D27" i="82"/>
  <c r="C27" i="82"/>
  <c r="D26" i="82"/>
  <c r="C26" i="82"/>
  <c r="D25" i="82"/>
  <c r="C25" i="82"/>
  <c r="D24" i="82"/>
  <c r="C24" i="82"/>
  <c r="D23" i="82"/>
  <c r="C23" i="82"/>
  <c r="D22" i="82"/>
  <c r="C22" i="82"/>
  <c r="D21" i="82"/>
  <c r="C21" i="82"/>
  <c r="D20" i="82"/>
  <c r="C20" i="82"/>
  <c r="D19" i="82"/>
  <c r="C19" i="82"/>
  <c r="D18" i="82"/>
  <c r="C18" i="82"/>
  <c r="D17" i="82"/>
  <c r="C17" i="82"/>
  <c r="D16" i="82"/>
  <c r="C16" i="82"/>
  <c r="D15" i="82"/>
  <c r="C15" i="82"/>
  <c r="D14" i="82"/>
  <c r="C14" i="82"/>
  <c r="D13" i="82"/>
  <c r="C13" i="82"/>
  <c r="D12" i="82"/>
  <c r="C12" i="82"/>
  <c r="D27" i="83"/>
  <c r="C27" i="83"/>
  <c r="D26" i="83"/>
  <c r="C26" i="83"/>
  <c r="D25" i="83"/>
  <c r="C25" i="83"/>
  <c r="D24" i="83"/>
  <c r="C24" i="83"/>
  <c r="D23" i="83"/>
  <c r="C23" i="83"/>
  <c r="D22" i="83"/>
  <c r="C22" i="83"/>
  <c r="D21" i="83"/>
  <c r="C21" i="83"/>
  <c r="D20" i="83"/>
  <c r="C20" i="83"/>
  <c r="D19" i="83"/>
  <c r="C19" i="83"/>
  <c r="D18" i="83"/>
  <c r="C18" i="83"/>
  <c r="D17" i="83"/>
  <c r="C17" i="83"/>
  <c r="D16" i="83"/>
  <c r="C16" i="83"/>
  <c r="D15" i="83"/>
  <c r="C15" i="83"/>
  <c r="D14" i="83"/>
  <c r="C14" i="83"/>
  <c r="D13" i="83"/>
  <c r="C13" i="83"/>
  <c r="D12" i="83"/>
  <c r="C12" i="83"/>
  <c r="D27" i="84"/>
  <c r="C27" i="84"/>
  <c r="D26" i="84"/>
  <c r="C26" i="84"/>
  <c r="D25" i="84"/>
  <c r="C25" i="84"/>
  <c r="D24" i="84"/>
  <c r="C24" i="84"/>
  <c r="D23" i="84"/>
  <c r="C23" i="84"/>
  <c r="D22" i="84"/>
  <c r="C22" i="84"/>
  <c r="D21" i="84"/>
  <c r="C21" i="84"/>
  <c r="D20" i="84"/>
  <c r="C20" i="84"/>
  <c r="D19" i="84"/>
  <c r="C19" i="84"/>
  <c r="D18" i="84"/>
  <c r="C18" i="84"/>
  <c r="D17" i="84"/>
  <c r="C17" i="84"/>
  <c r="D16" i="84"/>
  <c r="C16" i="84"/>
  <c r="D15" i="84"/>
  <c r="C15" i="84"/>
  <c r="D14" i="84"/>
  <c r="C14" i="84"/>
  <c r="D13" i="84"/>
  <c r="C13" i="84"/>
  <c r="D12" i="84"/>
  <c r="C12" i="84"/>
  <c r="D27" i="85"/>
  <c r="C27" i="85"/>
  <c r="D26" i="85"/>
  <c r="C26" i="85"/>
  <c r="D25" i="85"/>
  <c r="C25" i="85"/>
  <c r="D24" i="85"/>
  <c r="C24" i="85"/>
  <c r="D23" i="85"/>
  <c r="C23" i="85"/>
  <c r="D22" i="85"/>
  <c r="C22" i="85"/>
  <c r="D21" i="85"/>
  <c r="C21" i="85"/>
  <c r="D20" i="85"/>
  <c r="C20" i="85"/>
  <c r="D19" i="85"/>
  <c r="C19" i="85"/>
  <c r="D18" i="85"/>
  <c r="C18" i="85"/>
  <c r="D17" i="85"/>
  <c r="C17" i="85"/>
  <c r="D16" i="85"/>
  <c r="C16" i="85"/>
  <c r="D15" i="85"/>
  <c r="C15" i="85"/>
  <c r="D14" i="85"/>
  <c r="C14" i="85"/>
  <c r="D13" i="85"/>
  <c r="C13" i="85"/>
  <c r="D12" i="85"/>
  <c r="C12" i="85"/>
  <c r="D27" i="86"/>
  <c r="C27" i="86"/>
  <c r="D26" i="86"/>
  <c r="C26" i="86"/>
  <c r="D25" i="86"/>
  <c r="C25" i="86"/>
  <c r="D24" i="86"/>
  <c r="C24" i="86"/>
  <c r="D23" i="86"/>
  <c r="C23" i="86"/>
  <c r="D22" i="86"/>
  <c r="C22" i="86"/>
  <c r="D21" i="86"/>
  <c r="C21" i="86"/>
  <c r="D20" i="86"/>
  <c r="C20" i="86"/>
  <c r="D19" i="86"/>
  <c r="C19" i="86"/>
  <c r="D18" i="86"/>
  <c r="C18" i="86"/>
  <c r="D17" i="86"/>
  <c r="C17" i="86"/>
  <c r="D16" i="86"/>
  <c r="C16" i="86"/>
  <c r="D15" i="86"/>
  <c r="C15" i="86"/>
  <c r="D14" i="86"/>
  <c r="C14" i="86"/>
  <c r="D13" i="86"/>
  <c r="C13" i="86"/>
  <c r="D12" i="86"/>
  <c r="C12" i="86"/>
  <c r="D27" i="87"/>
  <c r="C27" i="87"/>
  <c r="D26" i="87"/>
  <c r="C26" i="87"/>
  <c r="D25" i="87"/>
  <c r="C25" i="87"/>
  <c r="D24" i="87"/>
  <c r="C24" i="87"/>
  <c r="D23" i="87"/>
  <c r="C23" i="87"/>
  <c r="D22" i="87"/>
  <c r="C22" i="87"/>
  <c r="D21" i="87"/>
  <c r="C21" i="87"/>
  <c r="D20" i="87"/>
  <c r="C20" i="87"/>
  <c r="D19" i="87"/>
  <c r="C19" i="87"/>
  <c r="D18" i="87"/>
  <c r="C18" i="87"/>
  <c r="D17" i="87"/>
  <c r="C17" i="87"/>
  <c r="D16" i="87"/>
  <c r="C16" i="87"/>
  <c r="D15" i="87"/>
  <c r="C15" i="87"/>
  <c r="D14" i="87"/>
  <c r="C14" i="87"/>
  <c r="D13" i="87"/>
  <c r="C13" i="87"/>
  <c r="D12" i="87"/>
  <c r="C12" i="87"/>
  <c r="D27" i="88"/>
  <c r="C27" i="88"/>
  <c r="D26" i="88"/>
  <c r="C26" i="88"/>
  <c r="D25" i="88"/>
  <c r="C25" i="88"/>
  <c r="D24" i="88"/>
  <c r="C24" i="88"/>
  <c r="D23" i="88"/>
  <c r="C23" i="88"/>
  <c r="D22" i="88"/>
  <c r="C22" i="88"/>
  <c r="D21" i="88"/>
  <c r="C21" i="88"/>
  <c r="D20" i="88"/>
  <c r="C20" i="88"/>
  <c r="D19" i="88"/>
  <c r="C19" i="88"/>
  <c r="D18" i="88"/>
  <c r="C18" i="88"/>
  <c r="D17" i="88"/>
  <c r="C17" i="88"/>
  <c r="D16" i="88"/>
  <c r="C16" i="88"/>
  <c r="D15" i="88"/>
  <c r="C15" i="88"/>
  <c r="D14" i="88"/>
  <c r="C14" i="88"/>
  <c r="D13" i="88"/>
  <c r="C13" i="88"/>
  <c r="D12" i="88"/>
  <c r="C12" i="88"/>
  <c r="D27" i="89"/>
  <c r="C27" i="89"/>
  <c r="D26" i="89"/>
  <c r="C26" i="89"/>
  <c r="D25" i="89"/>
  <c r="C25" i="89"/>
  <c r="D24" i="89"/>
  <c r="C24" i="89"/>
  <c r="D23" i="89"/>
  <c r="C23" i="89"/>
  <c r="D22" i="89"/>
  <c r="C22" i="89"/>
  <c r="D21" i="89"/>
  <c r="C21" i="89"/>
  <c r="D20" i="89"/>
  <c r="C20" i="89"/>
  <c r="D19" i="89"/>
  <c r="C19" i="89"/>
  <c r="D18" i="89"/>
  <c r="C18" i="89"/>
  <c r="D17" i="89"/>
  <c r="C17" i="89"/>
  <c r="D16" i="89"/>
  <c r="C16" i="89"/>
  <c r="D15" i="89"/>
  <c r="C15" i="89"/>
  <c r="D14" i="89"/>
  <c r="C14" i="89"/>
  <c r="D13" i="89"/>
  <c r="C13" i="89"/>
  <c r="D12" i="89"/>
  <c r="C12" i="89"/>
  <c r="D27" i="90"/>
  <c r="C27" i="90"/>
  <c r="D26" i="90"/>
  <c r="C26" i="90"/>
  <c r="D25" i="90"/>
  <c r="C25" i="90"/>
  <c r="D24" i="90"/>
  <c r="C24" i="90"/>
  <c r="D23" i="90"/>
  <c r="C23" i="90"/>
  <c r="D22" i="90"/>
  <c r="C22" i="90"/>
  <c r="D21" i="90"/>
  <c r="C21" i="90"/>
  <c r="D20" i="90"/>
  <c r="C20" i="90"/>
  <c r="D19" i="90"/>
  <c r="C19" i="90"/>
  <c r="D18" i="90"/>
  <c r="C18" i="90"/>
  <c r="D17" i="90"/>
  <c r="C17" i="90"/>
  <c r="D16" i="90"/>
  <c r="C16" i="90"/>
  <c r="D15" i="90"/>
  <c r="C15" i="90"/>
  <c r="D14" i="90"/>
  <c r="C14" i="90"/>
  <c r="D13" i="90"/>
  <c r="C13" i="90"/>
  <c r="D12" i="90"/>
  <c r="C12" i="90"/>
  <c r="D27" i="91"/>
  <c r="C27" i="91"/>
  <c r="D26" i="91"/>
  <c r="C26" i="91"/>
  <c r="D25" i="91"/>
  <c r="C25" i="91"/>
  <c r="D24" i="91"/>
  <c r="C24" i="91"/>
  <c r="D23" i="91"/>
  <c r="C23" i="91"/>
  <c r="D22" i="91"/>
  <c r="C22" i="91"/>
  <c r="D21" i="91"/>
  <c r="C21" i="91"/>
  <c r="D20" i="91"/>
  <c r="C20" i="91"/>
  <c r="D19" i="91"/>
  <c r="C19" i="91"/>
  <c r="D18" i="91"/>
  <c r="C18" i="91"/>
  <c r="D17" i="91"/>
  <c r="C17" i="91"/>
  <c r="D16" i="91"/>
  <c r="C16" i="91"/>
  <c r="D15" i="91"/>
  <c r="C15" i="91"/>
  <c r="D14" i="91"/>
  <c r="C14" i="91"/>
  <c r="D13" i="91"/>
  <c r="C13" i="91"/>
  <c r="D12" i="91"/>
  <c r="C12" i="91"/>
  <c r="D27" i="92"/>
  <c r="C27" i="92"/>
  <c r="D26" i="92"/>
  <c r="C26" i="92"/>
  <c r="D25" i="92"/>
  <c r="C25" i="92"/>
  <c r="D24" i="92"/>
  <c r="C24" i="92"/>
  <c r="D23" i="92"/>
  <c r="C23" i="92"/>
  <c r="D22" i="92"/>
  <c r="C22" i="92"/>
  <c r="D21" i="92"/>
  <c r="C21" i="92"/>
  <c r="D20" i="92"/>
  <c r="C20" i="92"/>
  <c r="D19" i="92"/>
  <c r="C19" i="92"/>
  <c r="D18" i="92"/>
  <c r="C18" i="92"/>
  <c r="D17" i="92"/>
  <c r="C17" i="92"/>
  <c r="D16" i="92"/>
  <c r="C16" i="92"/>
  <c r="D15" i="92"/>
  <c r="C15" i="92"/>
  <c r="D14" i="92"/>
  <c r="C14" i="92"/>
  <c r="D13" i="92"/>
  <c r="C13" i="92"/>
  <c r="D12" i="92"/>
  <c r="C12" i="92"/>
  <c r="D27" i="93"/>
  <c r="C27" i="93"/>
  <c r="D26" i="93"/>
  <c r="C26" i="93"/>
  <c r="D25" i="93"/>
  <c r="C25" i="93"/>
  <c r="D24" i="93"/>
  <c r="C24" i="93"/>
  <c r="D23" i="93"/>
  <c r="C23" i="93"/>
  <c r="D22" i="93"/>
  <c r="C22" i="93"/>
  <c r="D21" i="93"/>
  <c r="C21" i="93"/>
  <c r="D20" i="93"/>
  <c r="C20" i="93"/>
  <c r="D19" i="93"/>
  <c r="C19" i="93"/>
  <c r="D18" i="93"/>
  <c r="C18" i="93"/>
  <c r="D17" i="93"/>
  <c r="C17" i="93"/>
  <c r="D16" i="93"/>
  <c r="C16" i="93"/>
  <c r="D15" i="93"/>
  <c r="C15" i="93"/>
  <c r="D14" i="93"/>
  <c r="C14" i="93"/>
  <c r="D13" i="93"/>
  <c r="C13" i="93"/>
  <c r="D12" i="93"/>
  <c r="C12" i="93"/>
  <c r="D27" i="94"/>
  <c r="C27" i="94"/>
  <c r="D26" i="94"/>
  <c r="C26" i="94"/>
  <c r="D25" i="94"/>
  <c r="C25" i="94"/>
  <c r="D24" i="94"/>
  <c r="C24" i="94"/>
  <c r="D23" i="94"/>
  <c r="C23" i="94"/>
  <c r="D22" i="94"/>
  <c r="C22" i="94"/>
  <c r="D21" i="94"/>
  <c r="C21" i="94"/>
  <c r="D20" i="94"/>
  <c r="C20" i="94"/>
  <c r="D19" i="94"/>
  <c r="C19" i="94"/>
  <c r="D18" i="94"/>
  <c r="C18" i="94"/>
  <c r="D17" i="94"/>
  <c r="C17" i="94"/>
  <c r="D16" i="94"/>
  <c r="C16" i="94"/>
  <c r="D15" i="94"/>
  <c r="C15" i="94"/>
  <c r="D14" i="94"/>
  <c r="C14" i="94"/>
  <c r="D13" i="94"/>
  <c r="C13" i="94"/>
  <c r="D12" i="94"/>
  <c r="C12" i="94"/>
  <c r="D27" i="95"/>
  <c r="C27" i="95"/>
  <c r="D26" i="95"/>
  <c r="C26" i="95"/>
  <c r="D25" i="95"/>
  <c r="C25" i="95"/>
  <c r="D24" i="95"/>
  <c r="C24" i="95"/>
  <c r="D23" i="95"/>
  <c r="C23" i="95"/>
  <c r="D22" i="95"/>
  <c r="C22" i="95"/>
  <c r="D21" i="95"/>
  <c r="C21" i="95"/>
  <c r="D20" i="95"/>
  <c r="C20" i="95"/>
  <c r="D19" i="95"/>
  <c r="C19" i="95"/>
  <c r="D18" i="95"/>
  <c r="C18" i="95"/>
  <c r="D17" i="95"/>
  <c r="C17" i="95"/>
  <c r="D16" i="95"/>
  <c r="C16" i="95"/>
  <c r="D15" i="95"/>
  <c r="C15" i="95"/>
  <c r="D14" i="95"/>
  <c r="C14" i="95"/>
  <c r="D13" i="95"/>
  <c r="C13" i="95"/>
  <c r="D12" i="95"/>
  <c r="C12" i="95"/>
  <c r="D27" i="96"/>
  <c r="C27" i="96"/>
  <c r="D26" i="96"/>
  <c r="C26" i="96"/>
  <c r="D25" i="96"/>
  <c r="C25" i="96"/>
  <c r="D24" i="96"/>
  <c r="C24" i="96"/>
  <c r="D23" i="96"/>
  <c r="C23" i="96"/>
  <c r="D22" i="96"/>
  <c r="C22" i="96"/>
  <c r="D21" i="96"/>
  <c r="C21" i="96"/>
  <c r="D20" i="96"/>
  <c r="C20" i="96"/>
  <c r="D19" i="96"/>
  <c r="C19" i="96"/>
  <c r="D18" i="96"/>
  <c r="C18" i="96"/>
  <c r="D17" i="96"/>
  <c r="C17" i="96"/>
  <c r="D16" i="96"/>
  <c r="C16" i="96"/>
  <c r="D15" i="96"/>
  <c r="C15" i="96"/>
  <c r="D14" i="96"/>
  <c r="C14" i="96"/>
  <c r="D13" i="96"/>
  <c r="C13" i="96"/>
  <c r="D12" i="96"/>
  <c r="C12" i="96"/>
  <c r="D27" i="97"/>
  <c r="C27" i="97"/>
  <c r="D26" i="97"/>
  <c r="C26" i="97"/>
  <c r="D25" i="97"/>
  <c r="C25" i="97"/>
  <c r="D24" i="97"/>
  <c r="C24" i="97"/>
  <c r="D23" i="97"/>
  <c r="C23" i="97"/>
  <c r="D22" i="97"/>
  <c r="C22" i="97"/>
  <c r="D21" i="97"/>
  <c r="C21" i="97"/>
  <c r="D20" i="97"/>
  <c r="C20" i="97"/>
  <c r="D19" i="97"/>
  <c r="C19" i="97"/>
  <c r="D18" i="97"/>
  <c r="C18" i="97"/>
  <c r="D17" i="97"/>
  <c r="C17" i="97"/>
  <c r="D16" i="97"/>
  <c r="C16" i="97"/>
  <c r="D15" i="97"/>
  <c r="C15" i="97"/>
  <c r="D14" i="97"/>
  <c r="C14" i="97"/>
  <c r="D13" i="97"/>
  <c r="C13" i="97"/>
  <c r="D12" i="97"/>
  <c r="C12" i="97"/>
  <c r="D27" i="98"/>
  <c r="C27" i="98"/>
  <c r="D26" i="98"/>
  <c r="C26" i="98"/>
  <c r="D25" i="98"/>
  <c r="C25" i="98"/>
  <c r="D24" i="98"/>
  <c r="C24" i="98"/>
  <c r="D23" i="98"/>
  <c r="C23" i="98"/>
  <c r="D22" i="98"/>
  <c r="C22" i="98"/>
  <c r="D21" i="98"/>
  <c r="C21" i="98"/>
  <c r="D20" i="98"/>
  <c r="C20" i="98"/>
  <c r="D19" i="98"/>
  <c r="C19" i="98"/>
  <c r="D18" i="98"/>
  <c r="C18" i="98"/>
  <c r="D17" i="98"/>
  <c r="C17" i="98"/>
  <c r="D16" i="98"/>
  <c r="C16" i="98"/>
  <c r="D15" i="98"/>
  <c r="C15" i="98"/>
  <c r="D14" i="98"/>
  <c r="C14" i="98"/>
  <c r="D13" i="98"/>
  <c r="C13" i="98"/>
  <c r="D12" i="98"/>
  <c r="C12" i="98"/>
  <c r="D27" i="99"/>
  <c r="C27" i="99"/>
  <c r="D26" i="99"/>
  <c r="C26" i="99"/>
  <c r="D25" i="99"/>
  <c r="C25" i="99"/>
  <c r="D24" i="99"/>
  <c r="C24" i="99"/>
  <c r="D23" i="99"/>
  <c r="C23" i="99"/>
  <c r="D22" i="99"/>
  <c r="C22" i="99"/>
  <c r="D21" i="99"/>
  <c r="C21" i="99"/>
  <c r="D20" i="99"/>
  <c r="C20" i="99"/>
  <c r="D19" i="99"/>
  <c r="C19" i="99"/>
  <c r="D18" i="99"/>
  <c r="C18" i="99"/>
  <c r="D17" i="99"/>
  <c r="C17" i="99"/>
  <c r="D16" i="99"/>
  <c r="C16" i="99"/>
  <c r="D15" i="99"/>
  <c r="C15" i="99"/>
  <c r="D14" i="99"/>
  <c r="C14" i="99"/>
  <c r="D13" i="99"/>
  <c r="C13" i="99"/>
  <c r="D12" i="99"/>
  <c r="C12" i="99"/>
  <c r="D27" i="100"/>
  <c r="C27" i="100"/>
  <c r="D26" i="100"/>
  <c r="C26" i="100"/>
  <c r="D25" i="100"/>
  <c r="C25" i="100"/>
  <c r="D24" i="100"/>
  <c r="C24" i="100"/>
  <c r="D23" i="100"/>
  <c r="C23" i="100"/>
  <c r="D22" i="100"/>
  <c r="C22" i="100"/>
  <c r="D21" i="100"/>
  <c r="C21" i="100"/>
  <c r="D20" i="100"/>
  <c r="C20" i="100"/>
  <c r="D19" i="100"/>
  <c r="C19" i="100"/>
  <c r="D18" i="100"/>
  <c r="C18" i="100"/>
  <c r="D17" i="100"/>
  <c r="C17" i="100"/>
  <c r="D16" i="100"/>
  <c r="C16" i="100"/>
  <c r="D15" i="100"/>
  <c r="C15" i="100"/>
  <c r="D14" i="100"/>
  <c r="C14" i="100"/>
  <c r="D13" i="100"/>
  <c r="C13" i="100"/>
  <c r="D12" i="100"/>
  <c r="C12" i="100"/>
  <c r="D27" i="101"/>
  <c r="C27" i="101"/>
  <c r="D26" i="101"/>
  <c r="C26" i="101"/>
  <c r="D25" i="101"/>
  <c r="C25" i="101"/>
  <c r="D24" i="101"/>
  <c r="C24" i="101"/>
  <c r="D23" i="101"/>
  <c r="C23" i="101"/>
  <c r="D22" i="101"/>
  <c r="C22" i="101"/>
  <c r="D21" i="101"/>
  <c r="C21" i="101"/>
  <c r="D20" i="101"/>
  <c r="C20" i="101"/>
  <c r="D19" i="101"/>
  <c r="C19" i="101"/>
  <c r="D18" i="101"/>
  <c r="C18" i="101"/>
  <c r="D17" i="101"/>
  <c r="C17" i="101"/>
  <c r="D16" i="101"/>
  <c r="C16" i="101"/>
  <c r="D15" i="101"/>
  <c r="C15" i="101"/>
  <c r="D14" i="101"/>
  <c r="C14" i="101"/>
  <c r="D13" i="101"/>
  <c r="C13" i="101"/>
  <c r="D12" i="101"/>
  <c r="C12" i="101"/>
  <c r="D27" i="102"/>
  <c r="C27" i="102"/>
  <c r="D26" i="102"/>
  <c r="C26" i="102"/>
  <c r="D25" i="102"/>
  <c r="C25" i="102"/>
  <c r="D24" i="102"/>
  <c r="C24" i="102"/>
  <c r="D23" i="102"/>
  <c r="C23" i="102"/>
  <c r="D22" i="102"/>
  <c r="C22" i="102"/>
  <c r="D21" i="102"/>
  <c r="C21" i="102"/>
  <c r="D20" i="102"/>
  <c r="C20" i="102"/>
  <c r="D19" i="102"/>
  <c r="C19" i="102"/>
  <c r="D18" i="102"/>
  <c r="C18" i="102"/>
  <c r="D17" i="102"/>
  <c r="C17" i="102"/>
  <c r="D16" i="102"/>
  <c r="C16" i="102"/>
  <c r="D15" i="102"/>
  <c r="C15" i="102"/>
  <c r="D14" i="102"/>
  <c r="C14" i="102"/>
  <c r="D13" i="102"/>
  <c r="C13" i="102"/>
  <c r="D12" i="102"/>
  <c r="C12" i="102"/>
  <c r="D27" i="103"/>
  <c r="C27" i="103"/>
  <c r="D26" i="103"/>
  <c r="C26" i="103"/>
  <c r="D25" i="103"/>
  <c r="C25" i="103"/>
  <c r="D24" i="103"/>
  <c r="C24" i="103"/>
  <c r="D23" i="103"/>
  <c r="C23" i="103"/>
  <c r="D22" i="103"/>
  <c r="C22" i="103"/>
  <c r="D21" i="103"/>
  <c r="C21" i="103"/>
  <c r="D20" i="103"/>
  <c r="C20" i="103"/>
  <c r="D19" i="103"/>
  <c r="C19" i="103"/>
  <c r="D18" i="103"/>
  <c r="C18" i="103"/>
  <c r="D17" i="103"/>
  <c r="C17" i="103"/>
  <c r="D16" i="103"/>
  <c r="C16" i="103"/>
  <c r="D15" i="103"/>
  <c r="C15" i="103"/>
  <c r="D14" i="103"/>
  <c r="C14" i="103"/>
  <c r="D13" i="103"/>
  <c r="C13" i="103"/>
  <c r="D12" i="103"/>
  <c r="C12" i="103"/>
  <c r="D27" i="104"/>
  <c r="C27" i="104"/>
  <c r="D26" i="104"/>
  <c r="C26" i="104"/>
  <c r="D25" i="104"/>
  <c r="C25" i="104"/>
  <c r="D24" i="104"/>
  <c r="C24" i="104"/>
  <c r="D23" i="104"/>
  <c r="C23" i="104"/>
  <c r="D22" i="104"/>
  <c r="C22" i="104"/>
  <c r="D21" i="104"/>
  <c r="C21" i="104"/>
  <c r="D20" i="104"/>
  <c r="C20" i="104"/>
  <c r="D19" i="104"/>
  <c r="C19" i="104"/>
  <c r="D18" i="104"/>
  <c r="C18" i="104"/>
  <c r="D17" i="104"/>
  <c r="C17" i="104"/>
  <c r="D16" i="104"/>
  <c r="C16" i="104"/>
  <c r="D15" i="104"/>
  <c r="C15" i="104"/>
  <c r="D14" i="104"/>
  <c r="C14" i="104"/>
  <c r="D13" i="104"/>
  <c r="C13" i="104"/>
  <c r="D12" i="104"/>
  <c r="C12" i="104"/>
  <c r="D27" i="105"/>
  <c r="C27" i="105"/>
  <c r="D26" i="105"/>
  <c r="C26" i="105"/>
  <c r="D25" i="105"/>
  <c r="C25" i="105"/>
  <c r="D24" i="105"/>
  <c r="C24" i="105"/>
  <c r="D23" i="105"/>
  <c r="C23" i="105"/>
  <c r="D22" i="105"/>
  <c r="C22" i="105"/>
  <c r="D21" i="105"/>
  <c r="C21" i="105"/>
  <c r="D20" i="105"/>
  <c r="C20" i="105"/>
  <c r="D19" i="105"/>
  <c r="C19" i="105"/>
  <c r="D18" i="105"/>
  <c r="C18" i="105"/>
  <c r="D17" i="105"/>
  <c r="C17" i="105"/>
  <c r="D16" i="105"/>
  <c r="C16" i="105"/>
  <c r="D15" i="105"/>
  <c r="C15" i="105"/>
  <c r="D14" i="105"/>
  <c r="C14" i="105"/>
  <c r="D13" i="105"/>
  <c r="C13" i="105"/>
  <c r="D12" i="105"/>
  <c r="C12" i="105"/>
  <c r="D27" i="111"/>
  <c r="C27" i="111"/>
  <c r="D26" i="111"/>
  <c r="C26" i="111"/>
  <c r="D25" i="111"/>
  <c r="C25" i="111"/>
  <c r="D24" i="111"/>
  <c r="C24" i="111"/>
  <c r="D23" i="111"/>
  <c r="C23" i="111"/>
  <c r="D22" i="111"/>
  <c r="C22" i="111"/>
  <c r="D21" i="111"/>
  <c r="C21" i="111"/>
  <c r="D20" i="111"/>
  <c r="C20" i="111"/>
  <c r="D19" i="111"/>
  <c r="C19" i="111"/>
  <c r="D18" i="111"/>
  <c r="C18" i="111"/>
  <c r="D17" i="111"/>
  <c r="C17" i="111"/>
  <c r="D16" i="111"/>
  <c r="C16" i="111"/>
  <c r="D15" i="111"/>
  <c r="C15" i="111"/>
  <c r="D14" i="111"/>
  <c r="C14" i="111"/>
  <c r="D13" i="111"/>
  <c r="C13" i="111"/>
  <c r="D12" i="111"/>
  <c r="C12" i="111"/>
  <c r="O27" i="59"/>
  <c r="O26" i="59"/>
  <c r="O25" i="59"/>
  <c r="O24" i="59"/>
  <c r="O23" i="59"/>
  <c r="O22" i="59"/>
  <c r="O21" i="59"/>
  <c r="O20" i="59"/>
  <c r="O19" i="59"/>
  <c r="O18" i="59"/>
  <c r="O17" i="59"/>
  <c r="O16" i="59"/>
  <c r="O15" i="59"/>
  <c r="O14" i="59"/>
  <c r="O13" i="59"/>
  <c r="O12" i="59"/>
  <c r="O27" i="60"/>
  <c r="O26" i="60"/>
  <c r="O25" i="60"/>
  <c r="O24" i="60"/>
  <c r="O23" i="60"/>
  <c r="O22" i="60"/>
  <c r="O21" i="60"/>
  <c r="O20" i="60"/>
  <c r="O19" i="60"/>
  <c r="O18" i="60"/>
  <c r="O17" i="60"/>
  <c r="O16" i="60"/>
  <c r="O15" i="60"/>
  <c r="O14" i="60"/>
  <c r="O13" i="60"/>
  <c r="O12" i="60"/>
  <c r="O27" i="61"/>
  <c r="O26" i="61"/>
  <c r="O25" i="61"/>
  <c r="O24" i="61"/>
  <c r="O23" i="61"/>
  <c r="O22" i="61"/>
  <c r="O21" i="61"/>
  <c r="O20" i="61"/>
  <c r="O19" i="61"/>
  <c r="O18" i="61"/>
  <c r="O17" i="61"/>
  <c r="O16" i="61"/>
  <c r="O15" i="61"/>
  <c r="O14" i="61"/>
  <c r="O13" i="61"/>
  <c r="O12" i="61"/>
  <c r="O27" i="62"/>
  <c r="O26" i="62"/>
  <c r="O25" i="62"/>
  <c r="O24" i="62"/>
  <c r="O23" i="62"/>
  <c r="O22" i="62"/>
  <c r="O21" i="62"/>
  <c r="O20" i="62"/>
  <c r="O19" i="62"/>
  <c r="O18" i="62"/>
  <c r="O17" i="62"/>
  <c r="O16" i="62"/>
  <c r="O15" i="62"/>
  <c r="O14" i="62"/>
  <c r="O13" i="62"/>
  <c r="O12" i="62"/>
  <c r="O27" i="63"/>
  <c r="O26" i="63"/>
  <c r="O25" i="63"/>
  <c r="O24" i="63"/>
  <c r="O23" i="63"/>
  <c r="O22" i="63"/>
  <c r="O21" i="63"/>
  <c r="O20" i="63"/>
  <c r="O19" i="63"/>
  <c r="O18" i="63"/>
  <c r="O17" i="63"/>
  <c r="O16" i="63"/>
  <c r="O15" i="63"/>
  <c r="O14" i="63"/>
  <c r="O13" i="63"/>
  <c r="O12" i="63"/>
  <c r="O27" i="64"/>
  <c r="O26" i="64"/>
  <c r="O25" i="64"/>
  <c r="O24" i="64"/>
  <c r="O23" i="64"/>
  <c r="O22" i="64"/>
  <c r="O21" i="64"/>
  <c r="O20" i="64"/>
  <c r="O19" i="64"/>
  <c r="O18" i="64"/>
  <c r="O17" i="64"/>
  <c r="O16" i="64"/>
  <c r="O15" i="64"/>
  <c r="O14" i="64"/>
  <c r="O13" i="64"/>
  <c r="O12" i="64"/>
  <c r="O27" i="65"/>
  <c r="O26" i="65"/>
  <c r="O25" i="65"/>
  <c r="O24" i="65"/>
  <c r="O23" i="65"/>
  <c r="O22" i="65"/>
  <c r="O21" i="65"/>
  <c r="O20" i="65"/>
  <c r="O19" i="65"/>
  <c r="O18" i="65"/>
  <c r="O17" i="65"/>
  <c r="O16" i="65"/>
  <c r="O15" i="65"/>
  <c r="O14" i="65"/>
  <c r="O13" i="65"/>
  <c r="O12" i="65"/>
  <c r="O27" i="66"/>
  <c r="O26" i="66"/>
  <c r="O25" i="66"/>
  <c r="O24" i="66"/>
  <c r="O23" i="66"/>
  <c r="O22" i="66"/>
  <c r="O21" i="66"/>
  <c r="O20" i="66"/>
  <c r="O19" i="66"/>
  <c r="O18" i="66"/>
  <c r="O17" i="66"/>
  <c r="O16" i="66"/>
  <c r="O15" i="66"/>
  <c r="O14" i="66"/>
  <c r="O13" i="66"/>
  <c r="O12" i="66"/>
  <c r="O27" i="67"/>
  <c r="O26" i="67"/>
  <c r="O25" i="67"/>
  <c r="O24" i="67"/>
  <c r="O23" i="67"/>
  <c r="O22" i="67"/>
  <c r="O21" i="67"/>
  <c r="O20" i="67"/>
  <c r="O19" i="67"/>
  <c r="O18" i="67"/>
  <c r="O17" i="67"/>
  <c r="O16" i="67"/>
  <c r="O15" i="67"/>
  <c r="O14" i="67"/>
  <c r="O13" i="67"/>
  <c r="O12" i="67"/>
  <c r="O27" i="68"/>
  <c r="O26" i="68"/>
  <c r="O25" i="68"/>
  <c r="O24" i="68"/>
  <c r="O23" i="68"/>
  <c r="O22" i="68"/>
  <c r="O21" i="68"/>
  <c r="O20" i="68"/>
  <c r="O19" i="68"/>
  <c r="O18" i="68"/>
  <c r="O17" i="68"/>
  <c r="O16" i="68"/>
  <c r="O15" i="68"/>
  <c r="O14" i="68"/>
  <c r="O13" i="68"/>
  <c r="O12" i="68"/>
  <c r="O27" i="108"/>
  <c r="O26" i="108"/>
  <c r="O25" i="108"/>
  <c r="O24" i="108"/>
  <c r="O23" i="108"/>
  <c r="O22" i="108"/>
  <c r="O21" i="108"/>
  <c r="O20" i="108"/>
  <c r="O19" i="108"/>
  <c r="O18" i="108"/>
  <c r="O17" i="108"/>
  <c r="O16" i="108"/>
  <c r="O15" i="108"/>
  <c r="O14" i="108"/>
  <c r="O13" i="108"/>
  <c r="O12" i="108"/>
  <c r="O27" i="69"/>
  <c r="O26" i="69"/>
  <c r="O25" i="69"/>
  <c r="O24" i="69"/>
  <c r="O23" i="69"/>
  <c r="O22" i="69"/>
  <c r="O21" i="69"/>
  <c r="O20" i="69"/>
  <c r="O19" i="69"/>
  <c r="O18" i="69"/>
  <c r="O17" i="69"/>
  <c r="O16" i="69"/>
  <c r="O15" i="69"/>
  <c r="O14" i="69"/>
  <c r="O13" i="69"/>
  <c r="O12" i="69"/>
  <c r="O27" i="70"/>
  <c r="O26" i="70"/>
  <c r="O25" i="70"/>
  <c r="O24" i="70"/>
  <c r="O23" i="70"/>
  <c r="O22" i="70"/>
  <c r="O21" i="70"/>
  <c r="O20" i="70"/>
  <c r="O19" i="70"/>
  <c r="O18" i="70"/>
  <c r="O17" i="70"/>
  <c r="O16" i="70"/>
  <c r="O15" i="70"/>
  <c r="O14" i="70"/>
  <c r="O13" i="70"/>
  <c r="O12" i="70"/>
  <c r="O27" i="71"/>
  <c r="O26" i="71"/>
  <c r="O25" i="71"/>
  <c r="O24" i="71"/>
  <c r="O23" i="71"/>
  <c r="O22" i="71"/>
  <c r="O21" i="71"/>
  <c r="O20" i="71"/>
  <c r="O19" i="71"/>
  <c r="O18" i="71"/>
  <c r="O17" i="71"/>
  <c r="O16" i="71"/>
  <c r="O15" i="71"/>
  <c r="O14" i="71"/>
  <c r="O13" i="71"/>
  <c r="O12" i="71"/>
  <c r="O27" i="72"/>
  <c r="O26" i="72"/>
  <c r="O25" i="72"/>
  <c r="O24" i="72"/>
  <c r="O23" i="72"/>
  <c r="O22" i="72"/>
  <c r="O21" i="72"/>
  <c r="O20" i="72"/>
  <c r="O19" i="72"/>
  <c r="O18" i="72"/>
  <c r="O17" i="72"/>
  <c r="O16" i="72"/>
  <c r="O15" i="72"/>
  <c r="O14" i="72"/>
  <c r="O13" i="72"/>
  <c r="O12" i="72"/>
  <c r="O27" i="73"/>
  <c r="O26" i="73"/>
  <c r="O25" i="73"/>
  <c r="O24" i="73"/>
  <c r="O23" i="73"/>
  <c r="O22" i="73"/>
  <c r="O21" i="73"/>
  <c r="O20" i="73"/>
  <c r="O19" i="73"/>
  <c r="O18" i="73"/>
  <c r="O17" i="73"/>
  <c r="O16" i="73"/>
  <c r="O15" i="73"/>
  <c r="O14" i="73"/>
  <c r="O13" i="73"/>
  <c r="O12" i="73"/>
  <c r="O27" i="74"/>
  <c r="O26" i="74"/>
  <c r="O25" i="74"/>
  <c r="O24" i="74"/>
  <c r="O23" i="74"/>
  <c r="O22" i="74"/>
  <c r="O21" i="74"/>
  <c r="O20" i="74"/>
  <c r="O19" i="74"/>
  <c r="O18" i="74"/>
  <c r="O17" i="74"/>
  <c r="O16" i="74"/>
  <c r="O15" i="74"/>
  <c r="O14" i="74"/>
  <c r="O13" i="74"/>
  <c r="O12" i="74"/>
  <c r="O27" i="75"/>
  <c r="O26" i="75"/>
  <c r="O25" i="75"/>
  <c r="O24" i="75"/>
  <c r="O23" i="75"/>
  <c r="O22" i="75"/>
  <c r="O21" i="75"/>
  <c r="O20" i="75"/>
  <c r="O19" i="75"/>
  <c r="O18" i="75"/>
  <c r="O17" i="75"/>
  <c r="O16" i="75"/>
  <c r="O15" i="75"/>
  <c r="O14" i="75"/>
  <c r="O13" i="75"/>
  <c r="O12" i="75"/>
  <c r="O27" i="76"/>
  <c r="O26" i="76"/>
  <c r="O25" i="76"/>
  <c r="O24" i="76"/>
  <c r="O23" i="76"/>
  <c r="O22" i="76"/>
  <c r="O21" i="76"/>
  <c r="O20" i="76"/>
  <c r="O19" i="76"/>
  <c r="O18" i="76"/>
  <c r="O17" i="76"/>
  <c r="O16" i="76"/>
  <c r="O15" i="76"/>
  <c r="O14" i="76"/>
  <c r="O13" i="76"/>
  <c r="O12" i="76"/>
  <c r="O27" i="77"/>
  <c r="O26" i="77"/>
  <c r="O25" i="77"/>
  <c r="O24" i="77"/>
  <c r="O23" i="77"/>
  <c r="O22" i="77"/>
  <c r="O21" i="77"/>
  <c r="O20" i="77"/>
  <c r="O19" i="77"/>
  <c r="O18" i="77"/>
  <c r="O17" i="77"/>
  <c r="O16" i="77"/>
  <c r="O15" i="77"/>
  <c r="O14" i="77"/>
  <c r="O13" i="77"/>
  <c r="O12" i="77"/>
  <c r="O27" i="78"/>
  <c r="O26" i="78"/>
  <c r="O25" i="78"/>
  <c r="O24" i="78"/>
  <c r="O23" i="78"/>
  <c r="O22" i="78"/>
  <c r="O21" i="78"/>
  <c r="O20" i="78"/>
  <c r="O19" i="78"/>
  <c r="O18" i="78"/>
  <c r="O17" i="78"/>
  <c r="O16" i="78"/>
  <c r="O15" i="78"/>
  <c r="O14" i="78"/>
  <c r="O13" i="78"/>
  <c r="O12" i="78"/>
  <c r="O27" i="79"/>
  <c r="O26" i="79"/>
  <c r="O25" i="79"/>
  <c r="O24" i="79"/>
  <c r="O23" i="79"/>
  <c r="O22" i="79"/>
  <c r="O21" i="79"/>
  <c r="O20" i="79"/>
  <c r="O19" i="79"/>
  <c r="O18" i="79"/>
  <c r="O17" i="79"/>
  <c r="O16" i="79"/>
  <c r="O15" i="79"/>
  <c r="O14" i="79"/>
  <c r="O13" i="79"/>
  <c r="O12" i="79"/>
  <c r="O27" i="80"/>
  <c r="O26" i="80"/>
  <c r="O25" i="80"/>
  <c r="O24" i="80"/>
  <c r="O23" i="80"/>
  <c r="O22" i="80"/>
  <c r="O21" i="80"/>
  <c r="O20" i="80"/>
  <c r="O19" i="80"/>
  <c r="O18" i="80"/>
  <c r="O17" i="80"/>
  <c r="O16" i="80"/>
  <c r="O15" i="80"/>
  <c r="O14" i="80"/>
  <c r="O13" i="80"/>
  <c r="O12" i="80"/>
  <c r="O27" i="81"/>
  <c r="O26" i="81"/>
  <c r="O25" i="81"/>
  <c r="O24" i="81"/>
  <c r="O23" i="81"/>
  <c r="O22" i="81"/>
  <c r="O21" i="81"/>
  <c r="O20" i="81"/>
  <c r="O19" i="81"/>
  <c r="O18" i="81"/>
  <c r="O17" i="81"/>
  <c r="O16" i="81"/>
  <c r="O15" i="81"/>
  <c r="O14" i="81"/>
  <c r="O13" i="81"/>
  <c r="O12" i="81"/>
  <c r="O27" i="82"/>
  <c r="O26" i="82"/>
  <c r="O25" i="82"/>
  <c r="O24" i="82"/>
  <c r="O23" i="82"/>
  <c r="O22" i="82"/>
  <c r="O21" i="82"/>
  <c r="O20" i="82"/>
  <c r="O19" i="82"/>
  <c r="O18" i="82"/>
  <c r="O17" i="82"/>
  <c r="O16" i="82"/>
  <c r="O15" i="82"/>
  <c r="O14" i="82"/>
  <c r="O13" i="82"/>
  <c r="O12" i="82"/>
  <c r="O27" i="83"/>
  <c r="O26" i="83"/>
  <c r="O25" i="83"/>
  <c r="O24" i="83"/>
  <c r="O23" i="83"/>
  <c r="O22" i="83"/>
  <c r="O21" i="83"/>
  <c r="O20" i="83"/>
  <c r="O19" i="83"/>
  <c r="O18" i="83"/>
  <c r="O17" i="83"/>
  <c r="O16" i="83"/>
  <c r="O15" i="83"/>
  <c r="O14" i="83"/>
  <c r="O13" i="83"/>
  <c r="O12" i="83"/>
  <c r="O27" i="84"/>
  <c r="O26" i="84"/>
  <c r="O25" i="84"/>
  <c r="O24" i="84"/>
  <c r="O23" i="84"/>
  <c r="O22" i="84"/>
  <c r="O21" i="84"/>
  <c r="O20" i="84"/>
  <c r="O19" i="84"/>
  <c r="O18" i="84"/>
  <c r="O17" i="84"/>
  <c r="O16" i="84"/>
  <c r="O15" i="84"/>
  <c r="O14" i="84"/>
  <c r="O13" i="84"/>
  <c r="O12" i="84"/>
  <c r="O27" i="85"/>
  <c r="O26" i="85"/>
  <c r="O25" i="85"/>
  <c r="O24" i="85"/>
  <c r="O23" i="85"/>
  <c r="O22" i="85"/>
  <c r="O21" i="85"/>
  <c r="O20" i="85"/>
  <c r="O19" i="85"/>
  <c r="O18" i="85"/>
  <c r="O17" i="85"/>
  <c r="O16" i="85"/>
  <c r="O15" i="85"/>
  <c r="O14" i="85"/>
  <c r="O13" i="85"/>
  <c r="O12" i="85"/>
  <c r="O27" i="86"/>
  <c r="O26" i="86"/>
  <c r="O25" i="86"/>
  <c r="O24" i="86"/>
  <c r="O23" i="86"/>
  <c r="O22" i="86"/>
  <c r="O21" i="86"/>
  <c r="O20" i="86"/>
  <c r="O19" i="86"/>
  <c r="O18" i="86"/>
  <c r="O17" i="86"/>
  <c r="O16" i="86"/>
  <c r="O15" i="86"/>
  <c r="O14" i="86"/>
  <c r="O13" i="86"/>
  <c r="O12" i="86"/>
  <c r="O27" i="87"/>
  <c r="O26" i="87"/>
  <c r="O25" i="87"/>
  <c r="O24" i="87"/>
  <c r="O23" i="87"/>
  <c r="O22" i="87"/>
  <c r="O21" i="87"/>
  <c r="O20" i="87"/>
  <c r="O19" i="87"/>
  <c r="O18" i="87"/>
  <c r="O17" i="87"/>
  <c r="O16" i="87"/>
  <c r="O15" i="87"/>
  <c r="O14" i="87"/>
  <c r="O13" i="87"/>
  <c r="O12" i="87"/>
  <c r="O27" i="88"/>
  <c r="O26" i="88"/>
  <c r="O25" i="88"/>
  <c r="O24" i="88"/>
  <c r="O23" i="88"/>
  <c r="O22" i="88"/>
  <c r="O21" i="88"/>
  <c r="O20" i="88"/>
  <c r="O19" i="88"/>
  <c r="O18" i="88"/>
  <c r="O17" i="88"/>
  <c r="O16" i="88"/>
  <c r="O15" i="88"/>
  <c r="O14" i="88"/>
  <c r="O13" i="88"/>
  <c r="O12" i="88"/>
  <c r="O27" i="89"/>
  <c r="O26" i="89"/>
  <c r="O25" i="89"/>
  <c r="O24" i="89"/>
  <c r="O23" i="89"/>
  <c r="O22" i="89"/>
  <c r="O21" i="89"/>
  <c r="O20" i="89"/>
  <c r="O19" i="89"/>
  <c r="O18" i="89"/>
  <c r="O17" i="89"/>
  <c r="O16" i="89"/>
  <c r="O15" i="89"/>
  <c r="O14" i="89"/>
  <c r="O13" i="89"/>
  <c r="O12" i="89"/>
  <c r="O27" i="90"/>
  <c r="O26" i="90"/>
  <c r="O25" i="90"/>
  <c r="O24" i="90"/>
  <c r="O23" i="90"/>
  <c r="O22" i="90"/>
  <c r="O21" i="90"/>
  <c r="O20" i="90"/>
  <c r="O19" i="90"/>
  <c r="O18" i="90"/>
  <c r="O17" i="90"/>
  <c r="O16" i="90"/>
  <c r="O15" i="90"/>
  <c r="O14" i="90"/>
  <c r="O13" i="90"/>
  <c r="O12" i="90"/>
  <c r="O27" i="91"/>
  <c r="O26" i="91"/>
  <c r="O25" i="91"/>
  <c r="O24" i="91"/>
  <c r="O23" i="91"/>
  <c r="O22" i="91"/>
  <c r="O21" i="91"/>
  <c r="O20" i="91"/>
  <c r="O19" i="91"/>
  <c r="O18" i="91"/>
  <c r="O17" i="91"/>
  <c r="O16" i="91"/>
  <c r="O15" i="91"/>
  <c r="O14" i="91"/>
  <c r="O13" i="91"/>
  <c r="O12" i="91"/>
  <c r="O27" i="92"/>
  <c r="O26" i="92"/>
  <c r="O25" i="92"/>
  <c r="O24" i="92"/>
  <c r="O23" i="92"/>
  <c r="O22" i="92"/>
  <c r="O21" i="92"/>
  <c r="O20" i="92"/>
  <c r="O19" i="92"/>
  <c r="O18" i="92"/>
  <c r="O17" i="92"/>
  <c r="O16" i="92"/>
  <c r="O15" i="92"/>
  <c r="O14" i="92"/>
  <c r="O13" i="92"/>
  <c r="O12" i="92"/>
  <c r="O27" i="93"/>
  <c r="O26" i="93"/>
  <c r="O25" i="93"/>
  <c r="O24" i="93"/>
  <c r="O23" i="93"/>
  <c r="O22" i="93"/>
  <c r="O21" i="93"/>
  <c r="O20" i="93"/>
  <c r="O19" i="93"/>
  <c r="O18" i="93"/>
  <c r="O17" i="93"/>
  <c r="O16" i="93"/>
  <c r="O15" i="93"/>
  <c r="O14" i="93"/>
  <c r="O13" i="93"/>
  <c r="O12" i="93"/>
  <c r="O27" i="94"/>
  <c r="O26" i="94"/>
  <c r="O25" i="94"/>
  <c r="O24" i="94"/>
  <c r="O23" i="94"/>
  <c r="O22" i="94"/>
  <c r="O21" i="94"/>
  <c r="O20" i="94"/>
  <c r="O19" i="94"/>
  <c r="O18" i="94"/>
  <c r="O17" i="94"/>
  <c r="O16" i="94"/>
  <c r="O15" i="94"/>
  <c r="O14" i="94"/>
  <c r="O13" i="94"/>
  <c r="O12" i="94"/>
  <c r="O27" i="95"/>
  <c r="O26" i="95"/>
  <c r="O25" i="95"/>
  <c r="O24" i="95"/>
  <c r="O23" i="95"/>
  <c r="O22" i="95"/>
  <c r="O21" i="95"/>
  <c r="O20" i="95"/>
  <c r="O19" i="95"/>
  <c r="O18" i="95"/>
  <c r="O17" i="95"/>
  <c r="O16" i="95"/>
  <c r="O15" i="95"/>
  <c r="O14" i="95"/>
  <c r="O13" i="95"/>
  <c r="O12" i="95"/>
  <c r="O27" i="96"/>
  <c r="O26" i="96"/>
  <c r="O25" i="96"/>
  <c r="O24" i="96"/>
  <c r="O23" i="96"/>
  <c r="O22" i="96"/>
  <c r="O21" i="96"/>
  <c r="O20" i="96"/>
  <c r="O19" i="96"/>
  <c r="O18" i="96"/>
  <c r="O17" i="96"/>
  <c r="O16" i="96"/>
  <c r="O15" i="96"/>
  <c r="O14" i="96"/>
  <c r="O13" i="96"/>
  <c r="O12" i="96"/>
  <c r="O27" i="97"/>
  <c r="O26" i="97"/>
  <c r="O25" i="97"/>
  <c r="O24" i="97"/>
  <c r="O23" i="97"/>
  <c r="O22" i="97"/>
  <c r="O21" i="97"/>
  <c r="O20" i="97"/>
  <c r="O19" i="97"/>
  <c r="O18" i="97"/>
  <c r="O17" i="97"/>
  <c r="O16" i="97"/>
  <c r="O15" i="97"/>
  <c r="O14" i="97"/>
  <c r="O13" i="97"/>
  <c r="O12" i="97"/>
  <c r="O27" i="98"/>
  <c r="O26" i="98"/>
  <c r="O25" i="98"/>
  <c r="O24" i="98"/>
  <c r="O23" i="98"/>
  <c r="O22" i="98"/>
  <c r="O21" i="98"/>
  <c r="O20" i="98"/>
  <c r="O19" i="98"/>
  <c r="O18" i="98"/>
  <c r="O17" i="98"/>
  <c r="O16" i="98"/>
  <c r="O15" i="98"/>
  <c r="O14" i="98"/>
  <c r="O13" i="98"/>
  <c r="O12" i="98"/>
  <c r="O27" i="99"/>
  <c r="O26" i="99"/>
  <c r="O25" i="99"/>
  <c r="O24" i="99"/>
  <c r="O23" i="99"/>
  <c r="O22" i="99"/>
  <c r="O21" i="99"/>
  <c r="O20" i="99"/>
  <c r="O19" i="99"/>
  <c r="O18" i="99"/>
  <c r="O17" i="99"/>
  <c r="O16" i="99"/>
  <c r="O15" i="99"/>
  <c r="O14" i="99"/>
  <c r="O13" i="99"/>
  <c r="O12" i="99"/>
  <c r="O27" i="100"/>
  <c r="O26" i="100"/>
  <c r="O25" i="100"/>
  <c r="O24" i="100"/>
  <c r="O23" i="100"/>
  <c r="O22" i="100"/>
  <c r="O21" i="100"/>
  <c r="O20" i="100"/>
  <c r="O19" i="100"/>
  <c r="O18" i="100"/>
  <c r="O17" i="100"/>
  <c r="O16" i="100"/>
  <c r="O15" i="100"/>
  <c r="O14" i="100"/>
  <c r="O13" i="100"/>
  <c r="O12" i="100"/>
  <c r="O27" i="101"/>
  <c r="O26" i="101"/>
  <c r="O25" i="101"/>
  <c r="O24" i="101"/>
  <c r="O23" i="101"/>
  <c r="O22" i="101"/>
  <c r="O21" i="101"/>
  <c r="O20" i="101"/>
  <c r="O19" i="101"/>
  <c r="O18" i="101"/>
  <c r="O17" i="101"/>
  <c r="O16" i="101"/>
  <c r="O15" i="101"/>
  <c r="O14" i="101"/>
  <c r="O13" i="101"/>
  <c r="O12" i="101"/>
  <c r="O27" i="102"/>
  <c r="O26" i="102"/>
  <c r="O25" i="102"/>
  <c r="O24" i="102"/>
  <c r="O23" i="102"/>
  <c r="O22" i="102"/>
  <c r="O21" i="102"/>
  <c r="O20" i="102"/>
  <c r="O19" i="102"/>
  <c r="O18" i="102"/>
  <c r="O17" i="102"/>
  <c r="O16" i="102"/>
  <c r="O15" i="102"/>
  <c r="O14" i="102"/>
  <c r="O13" i="102"/>
  <c r="O12" i="102"/>
  <c r="O27" i="103"/>
  <c r="O26" i="103"/>
  <c r="O25" i="103"/>
  <c r="O24" i="103"/>
  <c r="O23" i="103"/>
  <c r="O22" i="103"/>
  <c r="O21" i="103"/>
  <c r="O20" i="103"/>
  <c r="O19" i="103"/>
  <c r="O18" i="103"/>
  <c r="O17" i="103"/>
  <c r="O16" i="103"/>
  <c r="O15" i="103"/>
  <c r="O14" i="103"/>
  <c r="O13" i="103"/>
  <c r="O12" i="103"/>
  <c r="O27" i="104"/>
  <c r="O26" i="104"/>
  <c r="O25" i="104"/>
  <c r="O24" i="104"/>
  <c r="O23" i="104"/>
  <c r="O22" i="104"/>
  <c r="O21" i="104"/>
  <c r="O20" i="104"/>
  <c r="O19" i="104"/>
  <c r="O18" i="104"/>
  <c r="O17" i="104"/>
  <c r="O16" i="104"/>
  <c r="O15" i="104"/>
  <c r="O14" i="104"/>
  <c r="O13" i="104"/>
  <c r="O12" i="104"/>
  <c r="O27" i="105"/>
  <c r="O26" i="105"/>
  <c r="O25" i="105"/>
  <c r="O24" i="105"/>
  <c r="O23" i="105"/>
  <c r="O22" i="105"/>
  <c r="O21" i="105"/>
  <c r="O20" i="105"/>
  <c r="O19" i="105"/>
  <c r="O18" i="105"/>
  <c r="O17" i="105"/>
  <c r="O16" i="105"/>
  <c r="O15" i="105"/>
  <c r="O14" i="105"/>
  <c r="O13" i="105"/>
  <c r="O12" i="105"/>
  <c r="O27" i="111"/>
  <c r="O26" i="111"/>
  <c r="O25" i="111"/>
  <c r="O24" i="111"/>
  <c r="O23" i="111"/>
  <c r="O22" i="111"/>
  <c r="O21" i="111"/>
  <c r="O20" i="111"/>
  <c r="O19" i="111"/>
  <c r="O18" i="111"/>
  <c r="O17" i="111"/>
  <c r="O16" i="111"/>
  <c r="O15" i="111"/>
  <c r="O14" i="111"/>
  <c r="O13" i="111"/>
  <c r="O12" i="111"/>
  <c r="O27" i="58"/>
  <c r="O26" i="58"/>
  <c r="O25" i="58"/>
  <c r="O24" i="58"/>
  <c r="O23" i="58"/>
  <c r="O22" i="58"/>
  <c r="O21" i="58"/>
  <c r="O20" i="58"/>
  <c r="O19" i="58"/>
  <c r="O18" i="58"/>
  <c r="O17" i="58"/>
  <c r="O16" i="58"/>
  <c r="O15" i="58"/>
  <c r="O14" i="58"/>
  <c r="O13" i="58"/>
  <c r="O12" i="58"/>
  <c r="I41" i="107"/>
  <c r="I42" i="107"/>
  <c r="O18" i="107"/>
  <c r="O19" i="107"/>
  <c r="O20" i="107"/>
  <c r="O21" i="107"/>
  <c r="O22" i="107"/>
  <c r="O23" i="107"/>
  <c r="O24" i="107"/>
  <c r="O25" i="107"/>
  <c r="O26" i="107"/>
  <c r="O27" i="107"/>
  <c r="O18" i="2"/>
  <c r="O19" i="2"/>
  <c r="O20" i="2"/>
  <c r="O21" i="2"/>
  <c r="O22" i="2"/>
  <c r="O23" i="2"/>
  <c r="O24" i="2"/>
  <c r="O25" i="2"/>
  <c r="O26" i="2"/>
  <c r="O27" i="2"/>
  <c r="M216" i="109"/>
  <c r="L216" i="109"/>
  <c r="K216" i="109"/>
  <c r="J216" i="109"/>
  <c r="D216" i="109"/>
  <c r="E216" i="109"/>
  <c r="F216" i="109"/>
  <c r="C216" i="109"/>
  <c r="C218" i="109" l="1"/>
  <c r="U57" i="54"/>
  <c r="V57" i="54"/>
  <c r="Z57" i="54" s="1"/>
  <c r="T57" i="54"/>
  <c r="D50" i="105"/>
  <c r="D50" i="93"/>
  <c r="D50" i="81"/>
  <c r="D50" i="69"/>
  <c r="D50" i="111"/>
  <c r="D50" i="94"/>
  <c r="D50" i="82"/>
  <c r="D50" i="70"/>
  <c r="D50" i="59"/>
  <c r="D50" i="95"/>
  <c r="D50" i="83"/>
  <c r="D50" i="71"/>
  <c r="D50" i="60"/>
  <c r="D50" i="96"/>
  <c r="D50" i="72"/>
  <c r="D50" i="85"/>
  <c r="D50" i="62"/>
  <c r="D50" i="98"/>
  <c r="D50" i="74"/>
  <c r="D50" i="63"/>
  <c r="D50" i="99"/>
  <c r="D50" i="87"/>
  <c r="D50" i="64"/>
  <c r="D50" i="101"/>
  <c r="D50" i="89"/>
  <c r="D50" i="77"/>
  <c r="D50" i="66"/>
  <c r="D50" i="102"/>
  <c r="D50" i="88"/>
  <c r="D50" i="78"/>
  <c r="D50" i="67"/>
  <c r="D50" i="65"/>
  <c r="D50" i="61"/>
  <c r="D50" i="103"/>
  <c r="D50" i="91"/>
  <c r="D50" i="79"/>
  <c r="D50" i="68"/>
  <c r="D50" i="84"/>
  <c r="D50" i="97"/>
  <c r="D50" i="73"/>
  <c r="D50" i="86"/>
  <c r="D50" i="75"/>
  <c r="D50" i="100"/>
  <c r="D50" i="90"/>
  <c r="D50" i="76"/>
  <c r="D50" i="104"/>
  <c r="D50" i="92"/>
  <c r="D50" i="80"/>
  <c r="D50" i="108"/>
  <c r="C50" i="105"/>
  <c r="C50" i="97"/>
  <c r="C50" i="93"/>
  <c r="C50" i="85"/>
  <c r="C50" i="81"/>
  <c r="C50" i="73"/>
  <c r="C50" i="69"/>
  <c r="C50" i="62"/>
  <c r="C50" i="95"/>
  <c r="C50" i="71"/>
  <c r="C50" i="60"/>
  <c r="C50" i="83"/>
  <c r="C50" i="111"/>
  <c r="C50" i="96"/>
  <c r="C50" i="94"/>
  <c r="C50" i="84"/>
  <c r="C50" i="82"/>
  <c r="C50" i="72"/>
  <c r="C50" i="70"/>
  <c r="C50" i="61"/>
  <c r="C50" i="59"/>
  <c r="C50" i="98"/>
  <c r="C50" i="86"/>
  <c r="C50" i="74"/>
  <c r="C50" i="63"/>
  <c r="C50" i="103"/>
  <c r="C50" i="99"/>
  <c r="C50" i="91"/>
  <c r="C50" i="87"/>
  <c r="C50" i="79"/>
  <c r="C50" i="75"/>
  <c r="C50" i="68"/>
  <c r="C50" i="64"/>
  <c r="C50" i="101"/>
  <c r="C50" i="89"/>
  <c r="C50" i="77"/>
  <c r="C50" i="66"/>
  <c r="C50" i="102"/>
  <c r="C50" i="100"/>
  <c r="C50" i="90"/>
  <c r="C50" i="88"/>
  <c r="C50" i="78"/>
  <c r="C50" i="76"/>
  <c r="C50" i="67"/>
  <c r="C50" i="65"/>
  <c r="C50" i="104"/>
  <c r="C50" i="92"/>
  <c r="C50" i="80"/>
  <c r="C50" i="108"/>
  <c r="E97" i="107" l="1"/>
  <c r="R7" i="54" s="1"/>
  <c r="E97" i="58"/>
  <c r="R8" i="54" s="1"/>
  <c r="E97" i="59"/>
  <c r="E97" i="60"/>
  <c r="E97" i="61"/>
  <c r="E97" i="62"/>
  <c r="E97" i="63"/>
  <c r="E97" i="64"/>
  <c r="E97" i="65"/>
  <c r="E97" i="66"/>
  <c r="E97" i="67"/>
  <c r="E97" i="68"/>
  <c r="E97" i="108"/>
  <c r="E97" i="69"/>
  <c r="E97" i="70"/>
  <c r="E97" i="71"/>
  <c r="E97" i="72"/>
  <c r="E97" i="73"/>
  <c r="E97" i="74"/>
  <c r="E97" i="75"/>
  <c r="E97" i="76"/>
  <c r="E97" i="77"/>
  <c r="E97" i="78"/>
  <c r="E97" i="79"/>
  <c r="E97" i="80"/>
  <c r="E97" i="81"/>
  <c r="E97" i="82"/>
  <c r="E97" i="83"/>
  <c r="E97" i="84"/>
  <c r="E97" i="85"/>
  <c r="R36" i="54" s="1"/>
  <c r="E97" i="86"/>
  <c r="E97" i="87"/>
  <c r="E97" i="88"/>
  <c r="E97" i="89"/>
  <c r="E97" i="90"/>
  <c r="E97" i="91"/>
  <c r="E97" i="92"/>
  <c r="E97" i="93"/>
  <c r="E97" i="94"/>
  <c r="E97" i="95"/>
  <c r="E97" i="96"/>
  <c r="E97" i="97"/>
  <c r="E97" i="98"/>
  <c r="E97" i="99"/>
  <c r="E97" i="100"/>
  <c r="E97" i="101"/>
  <c r="E97" i="102"/>
  <c r="E97" i="103"/>
  <c r="E97" i="104"/>
  <c r="E97" i="105"/>
  <c r="E97" i="111"/>
  <c r="E97" i="2"/>
  <c r="R6" i="54" s="1"/>
  <c r="D128" i="56"/>
  <c r="C128" i="56"/>
  <c r="D127" i="56"/>
  <c r="C127" i="56"/>
  <c r="J102" i="56"/>
  <c r="J101" i="56"/>
  <c r="J100" i="56"/>
  <c r="J99" i="56"/>
  <c r="J98" i="56"/>
  <c r="J97" i="56"/>
  <c r="I32" i="56"/>
  <c r="D31" i="56"/>
  <c r="C31" i="56"/>
  <c r="J122" i="111"/>
  <c r="Y104" i="111"/>
  <c r="J104" i="111"/>
  <c r="V103" i="111"/>
  <c r="Y103" i="111" s="1"/>
  <c r="Y105" i="111" s="1"/>
  <c r="G103" i="111"/>
  <c r="J103" i="111" s="1"/>
  <c r="Y102" i="111"/>
  <c r="J102" i="111"/>
  <c r="J105" i="111" s="1"/>
  <c r="I98" i="111"/>
  <c r="J98" i="111" s="1"/>
  <c r="E98" i="111"/>
  <c r="X97" i="111"/>
  <c r="Y97" i="111" s="1"/>
  <c r="T97" i="111"/>
  <c r="I97" i="111"/>
  <c r="J97" i="111" s="1"/>
  <c r="X96" i="111"/>
  <c r="T96" i="111"/>
  <c r="T92" i="111"/>
  <c r="G92" i="111"/>
  <c r="V92" i="111" s="1"/>
  <c r="D92" i="111"/>
  <c r="T91" i="111"/>
  <c r="G91" i="111"/>
  <c r="V91" i="111" s="1"/>
  <c r="T90" i="111"/>
  <c r="G90" i="111"/>
  <c r="V90" i="111" s="1"/>
  <c r="D90" i="111"/>
  <c r="V87" i="111"/>
  <c r="V86" i="111"/>
  <c r="G85" i="111"/>
  <c r="V85" i="111" s="1"/>
  <c r="G84" i="111"/>
  <c r="V83" i="111"/>
  <c r="J82" i="111"/>
  <c r="J81" i="111"/>
  <c r="Y80" i="111"/>
  <c r="G72" i="111"/>
  <c r="V71" i="111"/>
  <c r="G71" i="111"/>
  <c r="V70" i="111"/>
  <c r="G70" i="111"/>
  <c r="V69" i="111"/>
  <c r="G68" i="111"/>
  <c r="I65" i="111"/>
  <c r="X64" i="111" s="1"/>
  <c r="I62" i="111"/>
  <c r="X61" i="111"/>
  <c r="I59" i="111"/>
  <c r="X58" i="111"/>
  <c r="I56" i="111"/>
  <c r="X55" i="111" s="1"/>
  <c r="I53" i="111"/>
  <c r="X52" i="111"/>
  <c r="T50" i="111"/>
  <c r="E46" i="111"/>
  <c r="J46" i="111" s="1"/>
  <c r="X49" i="111"/>
  <c r="Y49" i="111" s="1"/>
  <c r="I49" i="111"/>
  <c r="E49" i="111"/>
  <c r="J49" i="111" s="1"/>
  <c r="X48" i="111"/>
  <c r="Y48" i="111" s="1"/>
  <c r="I48" i="111"/>
  <c r="X47" i="111"/>
  <c r="Y47" i="111" s="1"/>
  <c r="I47" i="111"/>
  <c r="E47" i="111"/>
  <c r="J47" i="111" s="1"/>
  <c r="X46" i="111"/>
  <c r="Y46" i="111" s="1"/>
  <c r="I46" i="111"/>
  <c r="X45" i="111"/>
  <c r="Y45" i="111" s="1"/>
  <c r="I45" i="111"/>
  <c r="E45" i="111"/>
  <c r="J45" i="111" s="1"/>
  <c r="X44" i="111"/>
  <c r="Y44" i="111" s="1"/>
  <c r="I44" i="111"/>
  <c r="E44" i="111"/>
  <c r="J44" i="111" s="1"/>
  <c r="X43" i="111"/>
  <c r="Y43" i="111" s="1"/>
  <c r="I43" i="111"/>
  <c r="E43" i="111"/>
  <c r="J43" i="111" s="1"/>
  <c r="X42" i="111"/>
  <c r="Y42" i="111" s="1"/>
  <c r="I42" i="111"/>
  <c r="E42" i="111"/>
  <c r="J42" i="111" s="1"/>
  <c r="X41" i="111"/>
  <c r="Y41" i="111" s="1"/>
  <c r="I41" i="111"/>
  <c r="V32" i="111"/>
  <c r="G32" i="111"/>
  <c r="T27" i="111"/>
  <c r="X27" i="111" s="1"/>
  <c r="H27" i="111"/>
  <c r="G27" i="111"/>
  <c r="T26" i="111"/>
  <c r="X26" i="111" s="1"/>
  <c r="H26" i="111"/>
  <c r="G26" i="111"/>
  <c r="T25" i="111"/>
  <c r="X25" i="111" s="1"/>
  <c r="H25" i="111"/>
  <c r="G25" i="111"/>
  <c r="T24" i="111"/>
  <c r="X24" i="111" s="1"/>
  <c r="Y24" i="111" s="1"/>
  <c r="H24" i="111"/>
  <c r="G24" i="111"/>
  <c r="T23" i="111"/>
  <c r="X23" i="111" s="1"/>
  <c r="H23" i="111"/>
  <c r="G23" i="111"/>
  <c r="T22" i="111"/>
  <c r="X22" i="111" s="1"/>
  <c r="Y22" i="111" s="1"/>
  <c r="H22" i="111"/>
  <c r="G22" i="111"/>
  <c r="T21" i="111"/>
  <c r="X21" i="111" s="1"/>
  <c r="Y21" i="111" s="1"/>
  <c r="H21" i="111"/>
  <c r="G21" i="111"/>
  <c r="T20" i="111"/>
  <c r="X20" i="111" s="1"/>
  <c r="Y20" i="111" s="1"/>
  <c r="H20" i="111"/>
  <c r="G20" i="111"/>
  <c r="T19" i="111"/>
  <c r="X19" i="111" s="1"/>
  <c r="H19" i="111"/>
  <c r="G19" i="111"/>
  <c r="T18" i="111"/>
  <c r="X18" i="111" s="1"/>
  <c r="H18" i="111"/>
  <c r="G18" i="111"/>
  <c r="T17" i="111"/>
  <c r="X17" i="111" s="1"/>
  <c r="Y17" i="111" s="1"/>
  <c r="H17" i="111"/>
  <c r="G17" i="111"/>
  <c r="T16" i="111"/>
  <c r="X16" i="111" s="1"/>
  <c r="H16" i="111"/>
  <c r="G16" i="111"/>
  <c r="T15" i="111"/>
  <c r="X15" i="111" s="1"/>
  <c r="H15" i="111"/>
  <c r="G15" i="111"/>
  <c r="T14" i="111"/>
  <c r="X14" i="111" s="1"/>
  <c r="H14" i="111"/>
  <c r="G14" i="111"/>
  <c r="T13" i="111"/>
  <c r="X13" i="111" s="1"/>
  <c r="H13" i="111"/>
  <c r="G13" i="111"/>
  <c r="T12" i="111"/>
  <c r="X12" i="111" s="1"/>
  <c r="Y12" i="111" s="1"/>
  <c r="H12" i="111"/>
  <c r="G12" i="111"/>
  <c r="D9" i="111"/>
  <c r="C9" i="111"/>
  <c r="I7" i="111"/>
  <c r="I6" i="111"/>
  <c r="D91" i="111" s="1"/>
  <c r="E6" i="111"/>
  <c r="T6" i="111" s="1"/>
  <c r="H4" i="111"/>
  <c r="R2" i="111"/>
  <c r="I2" i="111"/>
  <c r="F127" i="57"/>
  <c r="F129" i="57" s="1"/>
  <c r="G127" i="57"/>
  <c r="H127" i="57"/>
  <c r="I127" i="57"/>
  <c r="J127" i="57"/>
  <c r="K127" i="57"/>
  <c r="L127" i="57"/>
  <c r="M127" i="57"/>
  <c r="N127" i="57"/>
  <c r="O127" i="57"/>
  <c r="P127" i="57"/>
  <c r="Q59" i="57"/>
  <c r="K445" i="106"/>
  <c r="K444" i="106"/>
  <c r="K443" i="106"/>
  <c r="K442" i="106"/>
  <c r="K441" i="106"/>
  <c r="K440" i="106"/>
  <c r="K439" i="106"/>
  <c r="K438" i="106"/>
  <c r="K436" i="106"/>
  <c r="K435" i="106"/>
  <c r="K434" i="106"/>
  <c r="K433" i="106"/>
  <c r="K432" i="106"/>
  <c r="K431" i="106"/>
  <c r="K430" i="106"/>
  <c r="K429" i="106"/>
  <c r="K428" i="106"/>
  <c r="K426" i="106"/>
  <c r="K425" i="106"/>
  <c r="K424" i="106"/>
  <c r="K423" i="106"/>
  <c r="K422" i="106"/>
  <c r="K421" i="106"/>
  <c r="K420" i="106"/>
  <c r="K418" i="106"/>
  <c r="K417" i="106"/>
  <c r="K416" i="106"/>
  <c r="K415" i="106"/>
  <c r="K414" i="106"/>
  <c r="K413" i="106"/>
  <c r="K412" i="106"/>
  <c r="K411" i="106"/>
  <c r="K409" i="106"/>
  <c r="K408" i="106"/>
  <c r="K407" i="106"/>
  <c r="K406" i="106"/>
  <c r="K405" i="106"/>
  <c r="K404" i="106"/>
  <c r="K403" i="106"/>
  <c r="K402" i="106"/>
  <c r="K401" i="106"/>
  <c r="K399" i="106"/>
  <c r="K398" i="106"/>
  <c r="K397" i="106"/>
  <c r="K396" i="106"/>
  <c r="K395" i="106"/>
  <c r="K394" i="106"/>
  <c r="K393" i="106"/>
  <c r="K392" i="106"/>
  <c r="K391" i="106"/>
  <c r="K389" i="106"/>
  <c r="K388" i="106"/>
  <c r="K387" i="106"/>
  <c r="K386" i="106"/>
  <c r="K385" i="106"/>
  <c r="K384" i="106"/>
  <c r="K383" i="106"/>
  <c r="K382" i="106"/>
  <c r="K380" i="106"/>
  <c r="K379" i="106"/>
  <c r="K378" i="106"/>
  <c r="K377" i="106"/>
  <c r="K376" i="106"/>
  <c r="K375" i="106"/>
  <c r="K374" i="106"/>
  <c r="K373" i="106"/>
  <c r="K372" i="106"/>
  <c r="K371" i="106"/>
  <c r="K370" i="106"/>
  <c r="K369" i="106"/>
  <c r="K368" i="106"/>
  <c r="K367" i="106"/>
  <c r="K366" i="106"/>
  <c r="K364" i="106"/>
  <c r="K363" i="106"/>
  <c r="K362" i="106"/>
  <c r="K361" i="106"/>
  <c r="K360" i="106"/>
  <c r="K359" i="106"/>
  <c r="K358" i="106"/>
  <c r="K357" i="106"/>
  <c r="K355" i="106"/>
  <c r="K354" i="106"/>
  <c r="K353" i="106"/>
  <c r="K352" i="106"/>
  <c r="K351" i="106"/>
  <c r="K350" i="106"/>
  <c r="K348" i="106"/>
  <c r="K347" i="106"/>
  <c r="K346" i="106"/>
  <c r="K345" i="106"/>
  <c r="K344" i="106"/>
  <c r="K343" i="106"/>
  <c r="K342" i="106"/>
  <c r="K341" i="106"/>
  <c r="K340" i="106"/>
  <c r="K339" i="106"/>
  <c r="K337" i="106"/>
  <c r="K336" i="106"/>
  <c r="K335" i="106"/>
  <c r="K334" i="106"/>
  <c r="K333" i="106"/>
  <c r="K332" i="106"/>
  <c r="K331" i="106"/>
  <c r="K330" i="106"/>
  <c r="K329" i="106"/>
  <c r="K327" i="106"/>
  <c r="K326" i="106"/>
  <c r="K325" i="106"/>
  <c r="K324" i="106"/>
  <c r="K323" i="106"/>
  <c r="K322" i="106"/>
  <c r="K321" i="106"/>
  <c r="K320" i="106"/>
  <c r="K319" i="106"/>
  <c r="K317" i="106"/>
  <c r="K316" i="106"/>
  <c r="K315" i="106"/>
  <c r="K314" i="106"/>
  <c r="K313" i="106"/>
  <c r="K312" i="106"/>
  <c r="K311" i="106"/>
  <c r="K310" i="106"/>
  <c r="K308" i="106"/>
  <c r="K307" i="106"/>
  <c r="K306" i="106"/>
  <c r="K305" i="106"/>
  <c r="K304" i="106"/>
  <c r="K303" i="106"/>
  <c r="K302" i="106"/>
  <c r="K301" i="106"/>
  <c r="K299" i="106"/>
  <c r="K298" i="106"/>
  <c r="K297" i="106"/>
  <c r="K296" i="106"/>
  <c r="K295" i="106"/>
  <c r="K294" i="106"/>
  <c r="K293" i="106"/>
  <c r="K291" i="106"/>
  <c r="K290" i="106"/>
  <c r="K289" i="106"/>
  <c r="K288" i="106"/>
  <c r="K287" i="106"/>
  <c r="K286" i="106"/>
  <c r="K285" i="106"/>
  <c r="K284" i="106"/>
  <c r="K283" i="106"/>
  <c r="K281" i="106"/>
  <c r="K280" i="106"/>
  <c r="K279" i="106"/>
  <c r="K278" i="106"/>
  <c r="K277" i="106"/>
  <c r="K276" i="106"/>
  <c r="K275" i="106"/>
  <c r="K274" i="106"/>
  <c r="K272" i="106"/>
  <c r="K271" i="106"/>
  <c r="K270" i="106"/>
  <c r="K269" i="106"/>
  <c r="K268" i="106"/>
  <c r="K267" i="106"/>
  <c r="K266" i="106"/>
  <c r="K264" i="106"/>
  <c r="K263" i="106"/>
  <c r="K262" i="106"/>
  <c r="K261" i="106"/>
  <c r="K260" i="106"/>
  <c r="K259" i="106"/>
  <c r="K258" i="106"/>
  <c r="K256" i="106"/>
  <c r="K255" i="106"/>
  <c r="K254" i="106"/>
  <c r="K253" i="106"/>
  <c r="K252" i="106"/>
  <c r="K251" i="106"/>
  <c r="K250" i="106"/>
  <c r="K249" i="106"/>
  <c r="K248" i="106"/>
  <c r="K246" i="106"/>
  <c r="K245" i="106"/>
  <c r="K244" i="106"/>
  <c r="K243" i="106"/>
  <c r="K242" i="106"/>
  <c r="K241" i="106"/>
  <c r="K240" i="106"/>
  <c r="K239" i="106"/>
  <c r="K238" i="106"/>
  <c r="K236" i="106"/>
  <c r="K235" i="106"/>
  <c r="K234" i="106"/>
  <c r="K233" i="106"/>
  <c r="K232" i="106"/>
  <c r="K231" i="106"/>
  <c r="K230" i="106"/>
  <c r="K229" i="106"/>
  <c r="K227" i="106"/>
  <c r="K226" i="106"/>
  <c r="K225" i="106"/>
  <c r="K224" i="106"/>
  <c r="K223" i="106"/>
  <c r="K222" i="106"/>
  <c r="K221" i="106"/>
  <c r="K220" i="106"/>
  <c r="K219" i="106"/>
  <c r="K217" i="106"/>
  <c r="K216" i="106"/>
  <c r="K215" i="106"/>
  <c r="K214" i="106"/>
  <c r="K213" i="106"/>
  <c r="K212" i="106"/>
  <c r="K211" i="106"/>
  <c r="K210" i="106"/>
  <c r="K209" i="106"/>
  <c r="K208" i="106"/>
  <c r="K206" i="106"/>
  <c r="K205" i="106"/>
  <c r="K204" i="106"/>
  <c r="K203" i="106"/>
  <c r="K202" i="106"/>
  <c r="K201" i="106"/>
  <c r="K200" i="106"/>
  <c r="K198" i="106"/>
  <c r="K197" i="106"/>
  <c r="K196" i="106"/>
  <c r="K195" i="106"/>
  <c r="K194" i="106"/>
  <c r="K193" i="106"/>
  <c r="K192" i="106"/>
  <c r="K191" i="106"/>
  <c r="K190" i="106"/>
  <c r="K189" i="106"/>
  <c r="K187" i="106"/>
  <c r="K186" i="106"/>
  <c r="K185" i="106"/>
  <c r="K184" i="106"/>
  <c r="K183" i="106"/>
  <c r="K182" i="106"/>
  <c r="K181" i="106"/>
  <c r="K179" i="106"/>
  <c r="K178" i="106"/>
  <c r="K177" i="106"/>
  <c r="K176" i="106"/>
  <c r="K175" i="106"/>
  <c r="K174" i="106"/>
  <c r="K172" i="106"/>
  <c r="K171" i="106"/>
  <c r="K170" i="106"/>
  <c r="K169" i="106"/>
  <c r="K168" i="106"/>
  <c r="K167" i="106"/>
  <c r="K166" i="106"/>
  <c r="K164" i="106"/>
  <c r="K163" i="106"/>
  <c r="K162" i="106"/>
  <c r="K161" i="106"/>
  <c r="K160" i="106"/>
  <c r="K159" i="106"/>
  <c r="K158" i="106"/>
  <c r="K156" i="106"/>
  <c r="K155" i="106"/>
  <c r="K154" i="106"/>
  <c r="K153" i="106"/>
  <c r="K152" i="106"/>
  <c r="K151" i="106"/>
  <c r="K150" i="106"/>
  <c r="K149" i="106"/>
  <c r="K148" i="106"/>
  <c r="K146" i="106"/>
  <c r="K145" i="106"/>
  <c r="K144" i="106"/>
  <c r="K143" i="106"/>
  <c r="K142" i="106"/>
  <c r="K141" i="106"/>
  <c r="K140" i="106"/>
  <c r="K139" i="106"/>
  <c r="K137" i="106"/>
  <c r="K136" i="106"/>
  <c r="K135" i="106"/>
  <c r="K134" i="106"/>
  <c r="K133" i="106"/>
  <c r="K132" i="106"/>
  <c r="K131" i="106"/>
  <c r="K130" i="106"/>
  <c r="K128" i="106"/>
  <c r="K127" i="106"/>
  <c r="K126" i="106"/>
  <c r="K125" i="106"/>
  <c r="K124" i="106"/>
  <c r="K123" i="106"/>
  <c r="K122" i="106"/>
  <c r="K121" i="106"/>
  <c r="K118" i="106"/>
  <c r="K117" i="106"/>
  <c r="K116" i="106"/>
  <c r="K115" i="106"/>
  <c r="K114" i="106"/>
  <c r="K113" i="106"/>
  <c r="K111" i="106"/>
  <c r="K110" i="106"/>
  <c r="K109" i="106"/>
  <c r="K108" i="106"/>
  <c r="K107" i="106"/>
  <c r="K106" i="106"/>
  <c r="K105" i="106"/>
  <c r="K103" i="106"/>
  <c r="K102" i="106"/>
  <c r="K101" i="106"/>
  <c r="K100" i="106"/>
  <c r="K99" i="106"/>
  <c r="K98" i="106"/>
  <c r="K97" i="106"/>
  <c r="K96" i="106"/>
  <c r="K94" i="106"/>
  <c r="K93" i="106"/>
  <c r="K92" i="106"/>
  <c r="K91" i="106"/>
  <c r="K90" i="106"/>
  <c r="K89" i="106"/>
  <c r="K88" i="106"/>
  <c r="K87" i="106"/>
  <c r="K86" i="106"/>
  <c r="K85" i="106"/>
  <c r="K83" i="106"/>
  <c r="K82" i="106"/>
  <c r="K81" i="106"/>
  <c r="K80" i="106"/>
  <c r="K79" i="106"/>
  <c r="K78" i="106"/>
  <c r="K77" i="106"/>
  <c r="K76" i="106"/>
  <c r="K75" i="106"/>
  <c r="K73" i="106"/>
  <c r="K72" i="106"/>
  <c r="K71" i="106"/>
  <c r="K70" i="106"/>
  <c r="K69" i="106"/>
  <c r="K68" i="106"/>
  <c r="K67" i="106"/>
  <c r="K65" i="106"/>
  <c r="K64" i="106"/>
  <c r="K63" i="106"/>
  <c r="K62" i="106"/>
  <c r="K61" i="106"/>
  <c r="K60" i="106"/>
  <c r="K59" i="106"/>
  <c r="K58" i="106"/>
  <c r="K57" i="106"/>
  <c r="K56" i="106"/>
  <c r="K55" i="106"/>
  <c r="K53" i="106"/>
  <c r="K52" i="106"/>
  <c r="K51" i="106"/>
  <c r="K50" i="106"/>
  <c r="K49" i="106"/>
  <c r="K48" i="106"/>
  <c r="K46" i="106"/>
  <c r="K45" i="106"/>
  <c r="K44" i="106"/>
  <c r="K43" i="106"/>
  <c r="K42" i="106"/>
  <c r="K41" i="106"/>
  <c r="K40" i="106"/>
  <c r="K39" i="106"/>
  <c r="K38" i="106"/>
  <c r="K37" i="106"/>
  <c r="K36" i="106"/>
  <c r="K35" i="106"/>
  <c r="K34" i="106"/>
  <c r="K33" i="106"/>
  <c r="K32" i="106"/>
  <c r="K31" i="106"/>
  <c r="K30" i="106"/>
  <c r="K28" i="106"/>
  <c r="K27" i="106"/>
  <c r="K26" i="106"/>
  <c r="K25" i="106"/>
  <c r="K24" i="106"/>
  <c r="K23" i="106"/>
  <c r="K22" i="106"/>
  <c r="K21" i="106"/>
  <c r="K20" i="106"/>
  <c r="K19" i="106"/>
  <c r="K18" i="106"/>
  <c r="K17" i="106"/>
  <c r="K16" i="106"/>
  <c r="K15" i="106"/>
  <c r="K13" i="106"/>
  <c r="K12" i="106"/>
  <c r="K11" i="106"/>
  <c r="K9" i="106"/>
  <c r="K447" i="106"/>
  <c r="K448" i="106"/>
  <c r="K449" i="106"/>
  <c r="K450" i="106"/>
  <c r="K451" i="106"/>
  <c r="K452" i="106"/>
  <c r="K453" i="106"/>
  <c r="K454" i="106"/>
  <c r="K6" i="106"/>
  <c r="K7" i="106"/>
  <c r="R59" i="54" l="1"/>
  <c r="Y15" i="111"/>
  <c r="Y23" i="111"/>
  <c r="Y25" i="111"/>
  <c r="Y18" i="111"/>
  <c r="Y26" i="111"/>
  <c r="Y27" i="111"/>
  <c r="Y19" i="111"/>
  <c r="E127" i="56"/>
  <c r="Y96" i="111"/>
  <c r="Y13" i="111"/>
  <c r="S90" i="111"/>
  <c r="X28" i="111"/>
  <c r="T55" i="111" s="1"/>
  <c r="X56" i="111" s="1"/>
  <c r="Y14" i="111"/>
  <c r="S91" i="111"/>
  <c r="X91" i="111" s="1"/>
  <c r="V67" i="111"/>
  <c r="I84" i="111"/>
  <c r="J84" i="111" s="1"/>
  <c r="Y81" i="111"/>
  <c r="X83" i="111" s="1"/>
  <c r="Y83" i="111"/>
  <c r="Y16" i="111"/>
  <c r="S92" i="111"/>
  <c r="X92" i="111" s="1"/>
  <c r="Y50" i="111"/>
  <c r="T28" i="111"/>
  <c r="J31" i="111"/>
  <c r="E48" i="111"/>
  <c r="J48" i="111" s="1"/>
  <c r="E41" i="111"/>
  <c r="D47" i="57"/>
  <c r="D115" i="57" s="1"/>
  <c r="D34" i="57"/>
  <c r="D102" i="57" s="1"/>
  <c r="D21" i="57"/>
  <c r="D89" i="57" s="1"/>
  <c r="V33" i="111" l="1"/>
  <c r="Y28" i="111"/>
  <c r="E50" i="111"/>
  <c r="J41" i="111"/>
  <c r="J50" i="111" s="1"/>
  <c r="J32" i="111"/>
  <c r="Y31" i="111"/>
  <c r="Y32" i="111" s="1"/>
  <c r="T61" i="111"/>
  <c r="X62" i="111" s="1"/>
  <c r="X67" i="111" s="1"/>
  <c r="Y67" i="111" s="1"/>
  <c r="T58" i="111"/>
  <c r="X59" i="111" s="1"/>
  <c r="X71" i="111" s="1"/>
  <c r="Y71" i="111" s="1"/>
  <c r="T52" i="111"/>
  <c r="X53" i="111" s="1"/>
  <c r="T64" i="111"/>
  <c r="X65" i="111" s="1"/>
  <c r="X70" i="111" s="1"/>
  <c r="Y70" i="111" s="1"/>
  <c r="X85" i="111"/>
  <c r="Y85" i="111" s="1"/>
  <c r="X86" i="111"/>
  <c r="Y86" i="111" s="1"/>
  <c r="X90" i="111"/>
  <c r="Y93" i="111" s="1"/>
  <c r="S93" i="111"/>
  <c r="H4" i="58"/>
  <c r="H4" i="107"/>
  <c r="H4" i="59"/>
  <c r="H4" i="60"/>
  <c r="H4" i="61"/>
  <c r="H4" i="62"/>
  <c r="H4" i="63"/>
  <c r="H4" i="64"/>
  <c r="H4" i="65"/>
  <c r="H4" i="66"/>
  <c r="H4" i="67"/>
  <c r="H4" i="68"/>
  <c r="H4" i="108"/>
  <c r="H4" i="69"/>
  <c r="H4" i="70"/>
  <c r="H4" i="71"/>
  <c r="H4" i="72"/>
  <c r="H4" i="73"/>
  <c r="H4" i="74"/>
  <c r="H4" i="75"/>
  <c r="H4" i="76"/>
  <c r="H4" i="77"/>
  <c r="H4" i="78"/>
  <c r="H4" i="79"/>
  <c r="H4" i="80"/>
  <c r="H4" i="81"/>
  <c r="H4" i="82"/>
  <c r="H4" i="83"/>
  <c r="H4" i="84"/>
  <c r="H4" i="85"/>
  <c r="H4" i="86"/>
  <c r="H4" i="87"/>
  <c r="H4" i="88"/>
  <c r="H4" i="89"/>
  <c r="H4" i="90"/>
  <c r="H4" i="91"/>
  <c r="H4" i="92"/>
  <c r="H4" i="93"/>
  <c r="H4" i="94"/>
  <c r="H4" i="95"/>
  <c r="H4" i="96"/>
  <c r="H4" i="97"/>
  <c r="H4" i="98"/>
  <c r="H4" i="99"/>
  <c r="H4" i="100"/>
  <c r="H4" i="101"/>
  <c r="H4" i="102"/>
  <c r="H4" i="103"/>
  <c r="H4" i="104"/>
  <c r="H4" i="105"/>
  <c r="H4" i="2"/>
  <c r="V37" i="111" l="1"/>
  <c r="Y37" i="111" s="1"/>
  <c r="V36" i="111"/>
  <c r="Y36" i="111" s="1"/>
  <c r="Y33" i="111"/>
  <c r="X69" i="111"/>
  <c r="Y69" i="111" s="1"/>
  <c r="X87" i="111"/>
  <c r="Y87" i="111" s="1"/>
  <c r="O17" i="107"/>
  <c r="O17" i="2"/>
  <c r="O16" i="107"/>
  <c r="O16" i="2"/>
  <c r="O15" i="107"/>
  <c r="O15" i="2"/>
  <c r="O14" i="107"/>
  <c r="O14" i="2"/>
  <c r="O13" i="107"/>
  <c r="O13" i="2"/>
  <c r="O12" i="107"/>
  <c r="O12" i="2"/>
  <c r="Y38" i="111" l="1"/>
  <c r="Y107" i="111"/>
  <c r="Y109" i="111" s="1"/>
  <c r="J111" i="111" s="1"/>
  <c r="R74" i="57" l="1"/>
  <c r="R75" i="57"/>
  <c r="R76" i="57"/>
  <c r="R77" i="57"/>
  <c r="R78" i="57"/>
  <c r="R79" i="57"/>
  <c r="R80" i="57"/>
  <c r="R81" i="57"/>
  <c r="R82" i="57"/>
  <c r="R83" i="57"/>
  <c r="R84" i="57"/>
  <c r="R85" i="57"/>
  <c r="R86" i="57"/>
  <c r="R87" i="57"/>
  <c r="R88" i="57"/>
  <c r="R89" i="57"/>
  <c r="R90" i="57"/>
  <c r="R91" i="57"/>
  <c r="R92" i="57"/>
  <c r="R93" i="57"/>
  <c r="R94" i="57"/>
  <c r="R95" i="57"/>
  <c r="R96" i="57"/>
  <c r="R97" i="57"/>
  <c r="R98" i="57"/>
  <c r="R99" i="57"/>
  <c r="R100" i="57"/>
  <c r="R101" i="57"/>
  <c r="R102" i="57"/>
  <c r="R103" i="57"/>
  <c r="R104" i="57"/>
  <c r="R105" i="57"/>
  <c r="R106" i="57"/>
  <c r="R107" i="57"/>
  <c r="R108" i="57"/>
  <c r="R109" i="57"/>
  <c r="R110" i="57"/>
  <c r="R111" i="57"/>
  <c r="R112" i="57"/>
  <c r="R113" i="57"/>
  <c r="R114" i="57"/>
  <c r="R115" i="57"/>
  <c r="R116" i="57"/>
  <c r="R117" i="57"/>
  <c r="R118" i="57"/>
  <c r="R120" i="57"/>
  <c r="R121" i="57"/>
  <c r="R122" i="57"/>
  <c r="R123" i="57"/>
  <c r="J118" i="111" s="1"/>
  <c r="I2" i="107"/>
  <c r="I2" i="58"/>
  <c r="I2" i="59"/>
  <c r="I2" i="60"/>
  <c r="I2" i="61"/>
  <c r="I2" i="62"/>
  <c r="I2" i="63"/>
  <c r="I2" i="64"/>
  <c r="I2" i="65"/>
  <c r="I2" i="66"/>
  <c r="I2" i="67"/>
  <c r="I2" i="68"/>
  <c r="I2" i="108"/>
  <c r="I2" i="69"/>
  <c r="I2" i="70"/>
  <c r="I2" i="71"/>
  <c r="I2" i="72"/>
  <c r="I2" i="73"/>
  <c r="I2" i="74"/>
  <c r="I2" i="75"/>
  <c r="I2" i="76"/>
  <c r="I2" i="77"/>
  <c r="I2" i="78"/>
  <c r="I2" i="79"/>
  <c r="I2" i="80"/>
  <c r="I2" i="81"/>
  <c r="I2" i="82"/>
  <c r="I2" i="83"/>
  <c r="I2" i="84"/>
  <c r="I2" i="85"/>
  <c r="I2" i="86"/>
  <c r="I2" i="87"/>
  <c r="I2" i="88"/>
  <c r="I2" i="89"/>
  <c r="I2" i="90"/>
  <c r="I2" i="91"/>
  <c r="I2" i="92"/>
  <c r="I2" i="93"/>
  <c r="I2" i="94"/>
  <c r="I2" i="95"/>
  <c r="I2" i="96"/>
  <c r="I2" i="97"/>
  <c r="I2" i="98"/>
  <c r="I2" i="99"/>
  <c r="I2" i="100"/>
  <c r="I2" i="101"/>
  <c r="I2" i="102"/>
  <c r="I2" i="103"/>
  <c r="I2" i="104"/>
  <c r="I2" i="105"/>
  <c r="I2" i="2"/>
  <c r="I49" i="58"/>
  <c r="I48" i="58"/>
  <c r="I47" i="58"/>
  <c r="I46" i="58"/>
  <c r="I45" i="58"/>
  <c r="I44" i="58"/>
  <c r="I43" i="58"/>
  <c r="I42" i="58"/>
  <c r="I41" i="58"/>
  <c r="I49" i="59"/>
  <c r="I48" i="59"/>
  <c r="I47" i="59"/>
  <c r="I46" i="59"/>
  <c r="I45" i="59"/>
  <c r="I44" i="59"/>
  <c r="I43" i="59"/>
  <c r="I42" i="59"/>
  <c r="I41" i="59"/>
  <c r="I49" i="60"/>
  <c r="I48" i="60"/>
  <c r="I47" i="60"/>
  <c r="I46" i="60"/>
  <c r="I45" i="60"/>
  <c r="I44" i="60"/>
  <c r="I43" i="60"/>
  <c r="I42" i="60"/>
  <c r="I41" i="60"/>
  <c r="I49" i="61"/>
  <c r="I48" i="61"/>
  <c r="I47" i="61"/>
  <c r="I46" i="61"/>
  <c r="I45" i="61"/>
  <c r="I44" i="61"/>
  <c r="I43" i="61"/>
  <c r="I42" i="61"/>
  <c r="I41" i="61"/>
  <c r="I49" i="62"/>
  <c r="I48" i="62"/>
  <c r="I47" i="62"/>
  <c r="I46" i="62"/>
  <c r="I45" i="62"/>
  <c r="I44" i="62"/>
  <c r="I43" i="62"/>
  <c r="I42" i="62"/>
  <c r="I41" i="62"/>
  <c r="I49" i="63"/>
  <c r="I48" i="63"/>
  <c r="I47" i="63"/>
  <c r="I46" i="63"/>
  <c r="I45" i="63"/>
  <c r="I44" i="63"/>
  <c r="I43" i="63"/>
  <c r="I42" i="63"/>
  <c r="I41" i="63"/>
  <c r="I49" i="64"/>
  <c r="I48" i="64"/>
  <c r="I47" i="64"/>
  <c r="I46" i="64"/>
  <c r="I45" i="64"/>
  <c r="I44" i="64"/>
  <c r="I43" i="64"/>
  <c r="I42" i="64"/>
  <c r="I41" i="64"/>
  <c r="I49" i="65"/>
  <c r="I48" i="65"/>
  <c r="I47" i="65"/>
  <c r="I46" i="65"/>
  <c r="I45" i="65"/>
  <c r="I44" i="65"/>
  <c r="I43" i="65"/>
  <c r="I42" i="65"/>
  <c r="I41" i="65"/>
  <c r="I49" i="66"/>
  <c r="I48" i="66"/>
  <c r="I47" i="66"/>
  <c r="I46" i="66"/>
  <c r="I45" i="66"/>
  <c r="I44" i="66"/>
  <c r="I43" i="66"/>
  <c r="I42" i="66"/>
  <c r="I41" i="66"/>
  <c r="I49" i="67"/>
  <c r="I48" i="67"/>
  <c r="I47" i="67"/>
  <c r="I46" i="67"/>
  <c r="I45" i="67"/>
  <c r="I44" i="67"/>
  <c r="I43" i="67"/>
  <c r="I42" i="67"/>
  <c r="I41" i="67"/>
  <c r="I49" i="68"/>
  <c r="I48" i="68"/>
  <c r="I47" i="68"/>
  <c r="I46" i="68"/>
  <c r="I45" i="68"/>
  <c r="I44" i="68"/>
  <c r="I43" i="68"/>
  <c r="I42" i="68"/>
  <c r="I41" i="68"/>
  <c r="I49" i="108"/>
  <c r="I48" i="108"/>
  <c r="I47" i="108"/>
  <c r="I46" i="108"/>
  <c r="I45" i="108"/>
  <c r="I44" i="108"/>
  <c r="I43" i="108"/>
  <c r="I42" i="108"/>
  <c r="I41" i="108"/>
  <c r="I49" i="69"/>
  <c r="I48" i="69"/>
  <c r="I47" i="69"/>
  <c r="I46" i="69"/>
  <c r="I45" i="69"/>
  <c r="I44" i="69"/>
  <c r="I43" i="69"/>
  <c r="I42" i="69"/>
  <c r="I41" i="69"/>
  <c r="I49" i="70"/>
  <c r="I48" i="70"/>
  <c r="I47" i="70"/>
  <c r="I46" i="70"/>
  <c r="I45" i="70"/>
  <c r="I44" i="70"/>
  <c r="I43" i="70"/>
  <c r="I42" i="70"/>
  <c r="I41" i="70"/>
  <c r="I49" i="71"/>
  <c r="I48" i="71"/>
  <c r="I47" i="71"/>
  <c r="I46" i="71"/>
  <c r="I45" i="71"/>
  <c r="I44" i="71"/>
  <c r="I43" i="71"/>
  <c r="I42" i="71"/>
  <c r="I41" i="71"/>
  <c r="I49" i="72"/>
  <c r="I48" i="72"/>
  <c r="I47" i="72"/>
  <c r="I46" i="72"/>
  <c r="I45" i="72"/>
  <c r="I44" i="72"/>
  <c r="I43" i="72"/>
  <c r="I42" i="72"/>
  <c r="I41" i="72"/>
  <c r="I49" i="73"/>
  <c r="I48" i="73"/>
  <c r="I47" i="73"/>
  <c r="I46" i="73"/>
  <c r="I45" i="73"/>
  <c r="I44" i="73"/>
  <c r="I43" i="73"/>
  <c r="I42" i="73"/>
  <c r="I41" i="73"/>
  <c r="I49" i="74"/>
  <c r="I48" i="74"/>
  <c r="I47" i="74"/>
  <c r="I46" i="74"/>
  <c r="I45" i="74"/>
  <c r="I44" i="74"/>
  <c r="I43" i="74"/>
  <c r="I42" i="74"/>
  <c r="I41" i="74"/>
  <c r="I49" i="75"/>
  <c r="I48" i="75"/>
  <c r="I47" i="75"/>
  <c r="I46" i="75"/>
  <c r="I45" i="75"/>
  <c r="I44" i="75"/>
  <c r="I43" i="75"/>
  <c r="I42" i="75"/>
  <c r="I41" i="75"/>
  <c r="I49" i="76"/>
  <c r="I48" i="76"/>
  <c r="I47" i="76"/>
  <c r="I46" i="76"/>
  <c r="I45" i="76"/>
  <c r="I44" i="76"/>
  <c r="I43" i="76"/>
  <c r="I42" i="76"/>
  <c r="I41" i="76"/>
  <c r="I49" i="77"/>
  <c r="I48" i="77"/>
  <c r="I47" i="77"/>
  <c r="I46" i="77"/>
  <c r="I45" i="77"/>
  <c r="I44" i="77"/>
  <c r="I43" i="77"/>
  <c r="I42" i="77"/>
  <c r="I41" i="77"/>
  <c r="I49" i="78"/>
  <c r="I48" i="78"/>
  <c r="I47" i="78"/>
  <c r="I46" i="78"/>
  <c r="I45" i="78"/>
  <c r="I44" i="78"/>
  <c r="I43" i="78"/>
  <c r="I42" i="78"/>
  <c r="I41" i="78"/>
  <c r="I49" i="79"/>
  <c r="I48" i="79"/>
  <c r="I47" i="79"/>
  <c r="I46" i="79"/>
  <c r="I45" i="79"/>
  <c r="I44" i="79"/>
  <c r="I43" i="79"/>
  <c r="I42" i="79"/>
  <c r="I41" i="79"/>
  <c r="I49" i="80"/>
  <c r="I48" i="80"/>
  <c r="I47" i="80"/>
  <c r="I46" i="80"/>
  <c r="I45" i="80"/>
  <c r="I44" i="80"/>
  <c r="I43" i="80"/>
  <c r="I42" i="80"/>
  <c r="I41" i="80"/>
  <c r="I49" i="81"/>
  <c r="I48" i="81"/>
  <c r="I47" i="81"/>
  <c r="I46" i="81"/>
  <c r="I45" i="81"/>
  <c r="I44" i="81"/>
  <c r="I43" i="81"/>
  <c r="I42" i="81"/>
  <c r="I41" i="81"/>
  <c r="I49" i="82"/>
  <c r="I48" i="82"/>
  <c r="I47" i="82"/>
  <c r="I46" i="82"/>
  <c r="I45" i="82"/>
  <c r="I44" i="82"/>
  <c r="I43" i="82"/>
  <c r="I42" i="82"/>
  <c r="I41" i="82"/>
  <c r="I49" i="83"/>
  <c r="I48" i="83"/>
  <c r="I47" i="83"/>
  <c r="I46" i="83"/>
  <c r="I45" i="83"/>
  <c r="I44" i="83"/>
  <c r="I43" i="83"/>
  <c r="I42" i="83"/>
  <c r="I41" i="83"/>
  <c r="I49" i="84"/>
  <c r="I48" i="84"/>
  <c r="I47" i="84"/>
  <c r="I46" i="84"/>
  <c r="I45" i="84"/>
  <c r="I44" i="84"/>
  <c r="I43" i="84"/>
  <c r="I42" i="84"/>
  <c r="I41" i="84"/>
  <c r="I49" i="85"/>
  <c r="I48" i="85"/>
  <c r="I47" i="85"/>
  <c r="I46" i="85"/>
  <c r="I45" i="85"/>
  <c r="I44" i="85"/>
  <c r="I43" i="85"/>
  <c r="I42" i="85"/>
  <c r="I41" i="85"/>
  <c r="I49" i="86"/>
  <c r="I48" i="86"/>
  <c r="I47" i="86"/>
  <c r="I46" i="86"/>
  <c r="I45" i="86"/>
  <c r="I44" i="86"/>
  <c r="I43" i="86"/>
  <c r="I42" i="86"/>
  <c r="I41" i="86"/>
  <c r="I49" i="87"/>
  <c r="I48" i="87"/>
  <c r="I47" i="87"/>
  <c r="I46" i="87"/>
  <c r="I45" i="87"/>
  <c r="I44" i="87"/>
  <c r="I43" i="87"/>
  <c r="I42" i="87"/>
  <c r="I41" i="87"/>
  <c r="I49" i="88"/>
  <c r="I48" i="88"/>
  <c r="I47" i="88"/>
  <c r="I46" i="88"/>
  <c r="I45" i="88"/>
  <c r="I44" i="88"/>
  <c r="I43" i="88"/>
  <c r="I42" i="88"/>
  <c r="I41" i="88"/>
  <c r="I49" i="89"/>
  <c r="I48" i="89"/>
  <c r="I47" i="89"/>
  <c r="I46" i="89"/>
  <c r="I45" i="89"/>
  <c r="I44" i="89"/>
  <c r="I43" i="89"/>
  <c r="I42" i="89"/>
  <c r="I41" i="89"/>
  <c r="I49" i="90"/>
  <c r="I48" i="90"/>
  <c r="I47" i="90"/>
  <c r="I46" i="90"/>
  <c r="I45" i="90"/>
  <c r="I44" i="90"/>
  <c r="I43" i="90"/>
  <c r="I42" i="90"/>
  <c r="I41" i="90"/>
  <c r="I49" i="91"/>
  <c r="I48" i="91"/>
  <c r="I47" i="91"/>
  <c r="I46" i="91"/>
  <c r="I45" i="91"/>
  <c r="I44" i="91"/>
  <c r="I43" i="91"/>
  <c r="I42" i="91"/>
  <c r="I41" i="91"/>
  <c r="I49" i="92"/>
  <c r="I48" i="92"/>
  <c r="I47" i="92"/>
  <c r="I46" i="92"/>
  <c r="I45" i="92"/>
  <c r="I44" i="92"/>
  <c r="I43" i="92"/>
  <c r="I42" i="92"/>
  <c r="I41" i="92"/>
  <c r="I49" i="93"/>
  <c r="I48" i="93"/>
  <c r="I47" i="93"/>
  <c r="I46" i="93"/>
  <c r="I45" i="93"/>
  <c r="I44" i="93"/>
  <c r="I43" i="93"/>
  <c r="I42" i="93"/>
  <c r="I41" i="93"/>
  <c r="I49" i="94"/>
  <c r="I48" i="94"/>
  <c r="I47" i="94"/>
  <c r="I46" i="94"/>
  <c r="I45" i="94"/>
  <c r="I44" i="94"/>
  <c r="I43" i="94"/>
  <c r="I42" i="94"/>
  <c r="I41" i="94"/>
  <c r="I49" i="95"/>
  <c r="I48" i="95"/>
  <c r="I47" i="95"/>
  <c r="I46" i="95"/>
  <c r="I45" i="95"/>
  <c r="I44" i="95"/>
  <c r="I43" i="95"/>
  <c r="I42" i="95"/>
  <c r="I41" i="95"/>
  <c r="I49" i="96"/>
  <c r="I48" i="96"/>
  <c r="I47" i="96"/>
  <c r="I46" i="96"/>
  <c r="I45" i="96"/>
  <c r="I44" i="96"/>
  <c r="I43" i="96"/>
  <c r="I42" i="96"/>
  <c r="I41" i="96"/>
  <c r="I49" i="97"/>
  <c r="I48" i="97"/>
  <c r="I47" i="97"/>
  <c r="I46" i="97"/>
  <c r="I45" i="97"/>
  <c r="I44" i="97"/>
  <c r="I43" i="97"/>
  <c r="I42" i="97"/>
  <c r="I41" i="97"/>
  <c r="I49" i="98"/>
  <c r="I48" i="98"/>
  <c r="I47" i="98"/>
  <c r="I46" i="98"/>
  <c r="I45" i="98"/>
  <c r="I44" i="98"/>
  <c r="I43" i="98"/>
  <c r="I42" i="98"/>
  <c r="I41" i="98"/>
  <c r="I49" i="99"/>
  <c r="I48" i="99"/>
  <c r="I47" i="99"/>
  <c r="I46" i="99"/>
  <c r="I45" i="99"/>
  <c r="I44" i="99"/>
  <c r="I43" i="99"/>
  <c r="I42" i="99"/>
  <c r="I41" i="99"/>
  <c r="I49" i="100"/>
  <c r="I48" i="100"/>
  <c r="I47" i="100"/>
  <c r="I46" i="100"/>
  <c r="I45" i="100"/>
  <c r="I44" i="100"/>
  <c r="I43" i="100"/>
  <c r="I42" i="100"/>
  <c r="I41" i="100"/>
  <c r="I49" i="101"/>
  <c r="I48" i="101"/>
  <c r="I47" i="101"/>
  <c r="I46" i="101"/>
  <c r="I45" i="101"/>
  <c r="I44" i="101"/>
  <c r="I43" i="101"/>
  <c r="I42" i="101"/>
  <c r="I41" i="101"/>
  <c r="I49" i="102"/>
  <c r="I48" i="102"/>
  <c r="I47" i="102"/>
  <c r="I46" i="102"/>
  <c r="I45" i="102"/>
  <c r="I44" i="102"/>
  <c r="I43" i="102"/>
  <c r="I42" i="102"/>
  <c r="I41" i="102"/>
  <c r="I49" i="103"/>
  <c r="I48" i="103"/>
  <c r="I47" i="103"/>
  <c r="I46" i="103"/>
  <c r="I45" i="103"/>
  <c r="I44" i="103"/>
  <c r="I43" i="103"/>
  <c r="I42" i="103"/>
  <c r="I41" i="103"/>
  <c r="I49" i="104"/>
  <c r="I48" i="104"/>
  <c r="I47" i="104"/>
  <c r="I46" i="104"/>
  <c r="I45" i="104"/>
  <c r="I44" i="104"/>
  <c r="I43" i="104"/>
  <c r="I42" i="104"/>
  <c r="I41" i="104"/>
  <c r="I49" i="105"/>
  <c r="I48" i="105"/>
  <c r="I47" i="105"/>
  <c r="I46" i="105"/>
  <c r="I45" i="105"/>
  <c r="I44" i="105"/>
  <c r="I43" i="105"/>
  <c r="I42" i="105"/>
  <c r="I41" i="105"/>
  <c r="I49" i="107"/>
  <c r="I48" i="107"/>
  <c r="I47" i="107"/>
  <c r="I46" i="107"/>
  <c r="I45" i="107"/>
  <c r="I44" i="107"/>
  <c r="I43" i="107"/>
  <c r="J82" i="107"/>
  <c r="J82" i="58"/>
  <c r="J82" i="59"/>
  <c r="J82" i="60"/>
  <c r="J82" i="61"/>
  <c r="J82" i="62"/>
  <c r="J82" i="63"/>
  <c r="J82" i="64"/>
  <c r="J82" i="65"/>
  <c r="J82" i="66"/>
  <c r="J82" i="67"/>
  <c r="J82" i="68"/>
  <c r="J82" i="108"/>
  <c r="J82" i="69"/>
  <c r="J82" i="70"/>
  <c r="J82" i="71"/>
  <c r="J82" i="72"/>
  <c r="J82" i="73"/>
  <c r="J82" i="74"/>
  <c r="J82" i="75"/>
  <c r="J82" i="76"/>
  <c r="J82" i="77"/>
  <c r="J82" i="78"/>
  <c r="J82" i="79"/>
  <c r="J82" i="80"/>
  <c r="J82" i="81"/>
  <c r="J82" i="82"/>
  <c r="J82" i="83"/>
  <c r="J82" i="84"/>
  <c r="J82" i="85"/>
  <c r="J82" i="86"/>
  <c r="J82" i="87"/>
  <c r="J82" i="88"/>
  <c r="J82" i="89"/>
  <c r="J82" i="90"/>
  <c r="J82" i="91"/>
  <c r="J82" i="92"/>
  <c r="J82" i="93"/>
  <c r="J82" i="94"/>
  <c r="J82" i="95"/>
  <c r="J82" i="96"/>
  <c r="J82" i="97"/>
  <c r="J82" i="98"/>
  <c r="J82" i="99"/>
  <c r="J82" i="100"/>
  <c r="J82" i="101"/>
  <c r="J82" i="102"/>
  <c r="J82" i="103"/>
  <c r="J82" i="104"/>
  <c r="J82" i="105"/>
  <c r="J82" i="2"/>
  <c r="I65" i="107"/>
  <c r="I65" i="58"/>
  <c r="I65" i="59"/>
  <c r="I65" i="60"/>
  <c r="I65" i="61"/>
  <c r="I65" i="62"/>
  <c r="I65" i="63"/>
  <c r="I65" i="64"/>
  <c r="I65" i="65"/>
  <c r="I65" i="66"/>
  <c r="I65" i="67"/>
  <c r="I65" i="68"/>
  <c r="I65" i="108"/>
  <c r="I65" i="69"/>
  <c r="I65" i="70"/>
  <c r="I65" i="71"/>
  <c r="I65" i="72"/>
  <c r="I65" i="73"/>
  <c r="I65" i="74"/>
  <c r="I65" i="75"/>
  <c r="I65" i="76"/>
  <c r="I65" i="77"/>
  <c r="I65" i="78"/>
  <c r="I65" i="79"/>
  <c r="I65" i="80"/>
  <c r="I65" i="81"/>
  <c r="I65" i="82"/>
  <c r="I65" i="83"/>
  <c r="I65" i="84"/>
  <c r="I65" i="85"/>
  <c r="I65" i="86"/>
  <c r="I65" i="87"/>
  <c r="I65" i="88"/>
  <c r="I65" i="89"/>
  <c r="I65" i="90"/>
  <c r="I65" i="91"/>
  <c r="I65" i="92"/>
  <c r="I65" i="93"/>
  <c r="I65" i="94"/>
  <c r="I65" i="95"/>
  <c r="I65" i="96"/>
  <c r="I65" i="97"/>
  <c r="I65" i="98"/>
  <c r="I65" i="99"/>
  <c r="I65" i="100"/>
  <c r="I65" i="101"/>
  <c r="I65" i="102"/>
  <c r="I65" i="103"/>
  <c r="I65" i="104"/>
  <c r="I65" i="105"/>
  <c r="I65" i="2"/>
  <c r="I62" i="107"/>
  <c r="I62" i="58"/>
  <c r="I62" i="59"/>
  <c r="I62" i="60"/>
  <c r="I62" i="61"/>
  <c r="I62" i="62"/>
  <c r="I62" i="63"/>
  <c r="I62" i="64"/>
  <c r="I62" i="65"/>
  <c r="I62" i="66"/>
  <c r="I62" i="67"/>
  <c r="I62" i="68"/>
  <c r="I62" i="108"/>
  <c r="I62" i="69"/>
  <c r="I62" i="70"/>
  <c r="I62" i="71"/>
  <c r="I62" i="72"/>
  <c r="I62" i="73"/>
  <c r="I62" i="74"/>
  <c r="I62" i="75"/>
  <c r="I62" i="76"/>
  <c r="I62" i="77"/>
  <c r="I62" i="78"/>
  <c r="I62" i="79"/>
  <c r="I62" i="80"/>
  <c r="I62" i="81"/>
  <c r="I62" i="82"/>
  <c r="I62" i="83"/>
  <c r="I62" i="84"/>
  <c r="I62" i="85"/>
  <c r="I62" i="86"/>
  <c r="I62" i="87"/>
  <c r="I62" i="88"/>
  <c r="I62" i="89"/>
  <c r="I62" i="90"/>
  <c r="I62" i="91"/>
  <c r="I62" i="92"/>
  <c r="I62" i="93"/>
  <c r="I62" i="94"/>
  <c r="I62" i="95"/>
  <c r="I62" i="96"/>
  <c r="I62" i="97"/>
  <c r="I62" i="98"/>
  <c r="I62" i="99"/>
  <c r="I62" i="100"/>
  <c r="I62" i="101"/>
  <c r="I62" i="102"/>
  <c r="I62" i="103"/>
  <c r="I62" i="104"/>
  <c r="I62" i="105"/>
  <c r="I62" i="2"/>
  <c r="I59" i="107"/>
  <c r="I59" i="58"/>
  <c r="I59" i="59"/>
  <c r="I59" i="60"/>
  <c r="I59" i="61"/>
  <c r="I59" i="62"/>
  <c r="I59" i="63"/>
  <c r="I59" i="64"/>
  <c r="I59" i="65"/>
  <c r="I59" i="66"/>
  <c r="I59" i="67"/>
  <c r="I59" i="68"/>
  <c r="I59" i="108"/>
  <c r="I59" i="69"/>
  <c r="I59" i="70"/>
  <c r="I59" i="71"/>
  <c r="I59" i="72"/>
  <c r="I59" i="73"/>
  <c r="I59" i="74"/>
  <c r="I59" i="75"/>
  <c r="I59" i="76"/>
  <c r="I59" i="77"/>
  <c r="I59" i="78"/>
  <c r="I59" i="79"/>
  <c r="I59" i="80"/>
  <c r="I59" i="81"/>
  <c r="I59" i="82"/>
  <c r="I59" i="83"/>
  <c r="I59" i="84"/>
  <c r="I59" i="85"/>
  <c r="I59" i="86"/>
  <c r="I59" i="87"/>
  <c r="I59" i="88"/>
  <c r="I59" i="89"/>
  <c r="I59" i="90"/>
  <c r="I59" i="91"/>
  <c r="I59" i="92"/>
  <c r="I59" i="93"/>
  <c r="I59" i="94"/>
  <c r="I59" i="95"/>
  <c r="I59" i="96"/>
  <c r="I59" i="97"/>
  <c r="I59" i="98"/>
  <c r="I59" i="99"/>
  <c r="I59" i="100"/>
  <c r="I59" i="101"/>
  <c r="I59" i="102"/>
  <c r="I59" i="103"/>
  <c r="I59" i="104"/>
  <c r="I59" i="105"/>
  <c r="I59" i="2"/>
  <c r="I56" i="107"/>
  <c r="I56" i="58"/>
  <c r="I56" i="59"/>
  <c r="I56" i="60"/>
  <c r="I56" i="61"/>
  <c r="I56" i="62"/>
  <c r="I56" i="63"/>
  <c r="I56" i="64"/>
  <c r="I56" i="65"/>
  <c r="I56" i="66"/>
  <c r="I56" i="67"/>
  <c r="I56" i="68"/>
  <c r="I56" i="108"/>
  <c r="I56" i="69"/>
  <c r="I56" i="70"/>
  <c r="I56" i="71"/>
  <c r="I56" i="72"/>
  <c r="I56" i="73"/>
  <c r="I56" i="74"/>
  <c r="I56" i="75"/>
  <c r="I56" i="76"/>
  <c r="I56" i="77"/>
  <c r="I56" i="78"/>
  <c r="I56" i="79"/>
  <c r="I56" i="80"/>
  <c r="I56" i="81"/>
  <c r="I56" i="82"/>
  <c r="I56" i="83"/>
  <c r="I56" i="84"/>
  <c r="I56" i="85"/>
  <c r="I56" i="86"/>
  <c r="I56" i="87"/>
  <c r="I56" i="88"/>
  <c r="I56" i="89"/>
  <c r="I56" i="90"/>
  <c r="I56" i="91"/>
  <c r="I56" i="92"/>
  <c r="I56" i="93"/>
  <c r="I56" i="94"/>
  <c r="I56" i="95"/>
  <c r="I56" i="96"/>
  <c r="I56" i="97"/>
  <c r="I56" i="98"/>
  <c r="I56" i="99"/>
  <c r="I56" i="100"/>
  <c r="I56" i="101"/>
  <c r="I56" i="102"/>
  <c r="I56" i="103"/>
  <c r="I56" i="104"/>
  <c r="I56" i="105"/>
  <c r="I56" i="2"/>
  <c r="I53" i="59"/>
  <c r="I53" i="60"/>
  <c r="I53" i="61"/>
  <c r="I53" i="62"/>
  <c r="I53" i="63"/>
  <c r="I53" i="64"/>
  <c r="I53" i="65"/>
  <c r="I53" i="66"/>
  <c r="I53" i="67"/>
  <c r="I53" i="68"/>
  <c r="I53" i="108"/>
  <c r="I53" i="69"/>
  <c r="I53" i="70"/>
  <c r="I53" i="71"/>
  <c r="I53" i="72"/>
  <c r="I53" i="73"/>
  <c r="I53" i="74"/>
  <c r="I53" i="75"/>
  <c r="I53" i="76"/>
  <c r="I53" i="77"/>
  <c r="I53" i="78"/>
  <c r="I53" i="79"/>
  <c r="I53" i="80"/>
  <c r="I53" i="81"/>
  <c r="I53" i="82"/>
  <c r="I53" i="83"/>
  <c r="I53" i="84"/>
  <c r="I53" i="85"/>
  <c r="I53" i="86"/>
  <c r="I53" i="87"/>
  <c r="I53" i="88"/>
  <c r="I53" i="89"/>
  <c r="I53" i="90"/>
  <c r="I53" i="91"/>
  <c r="I53" i="92"/>
  <c r="I53" i="93"/>
  <c r="I53" i="94"/>
  <c r="I53" i="95"/>
  <c r="I53" i="96"/>
  <c r="I53" i="97"/>
  <c r="I53" i="98"/>
  <c r="I53" i="99"/>
  <c r="I53" i="100"/>
  <c r="I53" i="101"/>
  <c r="I53" i="102"/>
  <c r="I53" i="103"/>
  <c r="I53" i="104"/>
  <c r="I53" i="105"/>
  <c r="I53" i="58"/>
  <c r="I53" i="107"/>
  <c r="I53" i="2"/>
  <c r="G72" i="58"/>
  <c r="G71" i="58"/>
  <c r="G70" i="58"/>
  <c r="G68" i="58"/>
  <c r="G72" i="59"/>
  <c r="G71" i="59"/>
  <c r="G70" i="59"/>
  <c r="G68" i="59"/>
  <c r="G72" i="60"/>
  <c r="G71" i="60"/>
  <c r="G70" i="60"/>
  <c r="G68" i="60"/>
  <c r="G72" i="61"/>
  <c r="G71" i="61"/>
  <c r="G70" i="61"/>
  <c r="G68" i="61"/>
  <c r="G72" i="62"/>
  <c r="G71" i="62"/>
  <c r="G70" i="62"/>
  <c r="G68" i="62"/>
  <c r="G72" i="63"/>
  <c r="G71" i="63"/>
  <c r="G70" i="63"/>
  <c r="G68" i="63"/>
  <c r="G72" i="64"/>
  <c r="G71" i="64"/>
  <c r="G70" i="64"/>
  <c r="G68" i="64"/>
  <c r="G72" i="65"/>
  <c r="G71" i="65"/>
  <c r="G70" i="65"/>
  <c r="G68" i="65"/>
  <c r="G72" i="66"/>
  <c r="G71" i="66"/>
  <c r="G70" i="66"/>
  <c r="G68" i="66"/>
  <c r="G72" i="67"/>
  <c r="G71" i="67"/>
  <c r="G70" i="67"/>
  <c r="G68" i="67"/>
  <c r="G72" i="68"/>
  <c r="G71" i="68"/>
  <c r="G70" i="68"/>
  <c r="G68" i="68"/>
  <c r="G72" i="108"/>
  <c r="G71" i="108"/>
  <c r="G70" i="108"/>
  <c r="G68" i="108"/>
  <c r="G72" i="69"/>
  <c r="G71" i="69"/>
  <c r="G70" i="69"/>
  <c r="G68" i="69"/>
  <c r="G72" i="70"/>
  <c r="G71" i="70"/>
  <c r="G70" i="70"/>
  <c r="G68" i="70"/>
  <c r="G72" i="71"/>
  <c r="G71" i="71"/>
  <c r="G70" i="71"/>
  <c r="G68" i="71"/>
  <c r="G72" i="72"/>
  <c r="G71" i="72"/>
  <c r="G70" i="72"/>
  <c r="G68" i="72"/>
  <c r="G72" i="73"/>
  <c r="G71" i="73"/>
  <c r="G70" i="73"/>
  <c r="G68" i="73"/>
  <c r="G72" i="74"/>
  <c r="G71" i="74"/>
  <c r="G70" i="74"/>
  <c r="G68" i="74"/>
  <c r="G72" i="75"/>
  <c r="G71" i="75"/>
  <c r="G70" i="75"/>
  <c r="G68" i="75"/>
  <c r="G72" i="76"/>
  <c r="G71" i="76"/>
  <c r="G70" i="76"/>
  <c r="G68" i="76"/>
  <c r="G72" i="77"/>
  <c r="G71" i="77"/>
  <c r="G70" i="77"/>
  <c r="G68" i="77"/>
  <c r="G72" i="78"/>
  <c r="G71" i="78"/>
  <c r="G70" i="78"/>
  <c r="G68" i="78"/>
  <c r="G72" i="79"/>
  <c r="G71" i="79"/>
  <c r="G70" i="79"/>
  <c r="G68" i="79"/>
  <c r="G72" i="80"/>
  <c r="G71" i="80"/>
  <c r="G70" i="80"/>
  <c r="G68" i="80"/>
  <c r="G72" i="81"/>
  <c r="G71" i="81"/>
  <c r="G70" i="81"/>
  <c r="G68" i="81"/>
  <c r="G72" i="82"/>
  <c r="G71" i="82"/>
  <c r="G70" i="82"/>
  <c r="G68" i="82"/>
  <c r="G72" i="83"/>
  <c r="G71" i="83"/>
  <c r="G70" i="83"/>
  <c r="G68" i="83"/>
  <c r="G72" i="84"/>
  <c r="G71" i="84"/>
  <c r="G70" i="84"/>
  <c r="G68" i="84"/>
  <c r="G72" i="85"/>
  <c r="G71" i="85"/>
  <c r="G70" i="85"/>
  <c r="G68" i="85"/>
  <c r="G72" i="86"/>
  <c r="G71" i="86"/>
  <c r="G70" i="86"/>
  <c r="G68" i="86"/>
  <c r="G72" i="87"/>
  <c r="G71" i="87"/>
  <c r="G70" i="87"/>
  <c r="G68" i="87"/>
  <c r="G72" i="88"/>
  <c r="G71" i="88"/>
  <c r="G70" i="88"/>
  <c r="G68" i="88"/>
  <c r="G72" i="89"/>
  <c r="G71" i="89"/>
  <c r="G70" i="89"/>
  <c r="G68" i="89"/>
  <c r="G72" i="90"/>
  <c r="G71" i="90"/>
  <c r="G70" i="90"/>
  <c r="G68" i="90"/>
  <c r="G72" i="91"/>
  <c r="G71" i="91"/>
  <c r="G70" i="91"/>
  <c r="G68" i="91"/>
  <c r="G72" i="92"/>
  <c r="G71" i="92"/>
  <c r="G70" i="92"/>
  <c r="G68" i="92"/>
  <c r="G72" i="93"/>
  <c r="G71" i="93"/>
  <c r="G70" i="93"/>
  <c r="G68" i="93"/>
  <c r="G72" i="94"/>
  <c r="G71" i="94"/>
  <c r="G70" i="94"/>
  <c r="G68" i="94"/>
  <c r="G72" i="95"/>
  <c r="G71" i="95"/>
  <c r="G70" i="95"/>
  <c r="G68" i="95"/>
  <c r="G72" i="96"/>
  <c r="G71" i="96"/>
  <c r="G70" i="96"/>
  <c r="G68" i="96"/>
  <c r="G72" i="97"/>
  <c r="G71" i="97"/>
  <c r="G70" i="97"/>
  <c r="G68" i="97"/>
  <c r="G72" i="98"/>
  <c r="G71" i="98"/>
  <c r="G70" i="98"/>
  <c r="G68" i="98"/>
  <c r="G72" i="99"/>
  <c r="G71" i="99"/>
  <c r="G70" i="99"/>
  <c r="G68" i="99"/>
  <c r="G72" i="100"/>
  <c r="G71" i="100"/>
  <c r="G70" i="100"/>
  <c r="G68" i="100"/>
  <c r="G72" i="101"/>
  <c r="G71" i="101"/>
  <c r="G70" i="101"/>
  <c r="G68" i="101"/>
  <c r="G72" i="102"/>
  <c r="G71" i="102"/>
  <c r="G70" i="102"/>
  <c r="G68" i="102"/>
  <c r="G72" i="103"/>
  <c r="G71" i="103"/>
  <c r="G70" i="103"/>
  <c r="G68" i="103"/>
  <c r="G72" i="104"/>
  <c r="G71" i="104"/>
  <c r="G70" i="104"/>
  <c r="G68" i="104"/>
  <c r="G72" i="105"/>
  <c r="G71" i="105"/>
  <c r="G70" i="105"/>
  <c r="G68" i="105"/>
  <c r="G72" i="107"/>
  <c r="G71" i="107"/>
  <c r="G70" i="107"/>
  <c r="G68" i="107"/>
  <c r="G71" i="2"/>
  <c r="G72" i="2"/>
  <c r="G68" i="2"/>
  <c r="G70" i="2"/>
  <c r="D9" i="58"/>
  <c r="C9" i="58"/>
  <c r="D9" i="59"/>
  <c r="C9" i="59"/>
  <c r="D9" i="60"/>
  <c r="C9" i="60"/>
  <c r="D9" i="61"/>
  <c r="C9" i="61"/>
  <c r="D9" i="62"/>
  <c r="C9" i="62"/>
  <c r="D9" i="63"/>
  <c r="C9" i="63"/>
  <c r="D9" i="64"/>
  <c r="C9" i="64"/>
  <c r="D9" i="65"/>
  <c r="C9" i="65"/>
  <c r="D9" i="66"/>
  <c r="C9" i="66"/>
  <c r="D9" i="67"/>
  <c r="C9" i="67"/>
  <c r="D9" i="68"/>
  <c r="C9" i="68"/>
  <c r="D9" i="108"/>
  <c r="C9" i="108"/>
  <c r="D9" i="69"/>
  <c r="C9" i="69"/>
  <c r="D9" i="70"/>
  <c r="C9" i="70"/>
  <c r="D9" i="71"/>
  <c r="C9" i="71"/>
  <c r="D9" i="72"/>
  <c r="C9" i="72"/>
  <c r="D9" i="73"/>
  <c r="C9" i="73"/>
  <c r="D9" i="74"/>
  <c r="C9" i="74"/>
  <c r="D9" i="75"/>
  <c r="C9" i="75"/>
  <c r="D9" i="76"/>
  <c r="C9" i="76"/>
  <c r="D9" i="77"/>
  <c r="C9" i="77"/>
  <c r="D9" i="78"/>
  <c r="C9" i="78"/>
  <c r="D9" i="79"/>
  <c r="C9" i="79"/>
  <c r="D9" i="80"/>
  <c r="C9" i="80"/>
  <c r="D9" i="81"/>
  <c r="C9" i="81"/>
  <c r="D9" i="82"/>
  <c r="C9" i="82"/>
  <c r="D9" i="83"/>
  <c r="C9" i="83"/>
  <c r="D9" i="84"/>
  <c r="C9" i="84"/>
  <c r="D9" i="85"/>
  <c r="C9" i="85"/>
  <c r="D9" i="86"/>
  <c r="C9" i="86"/>
  <c r="D9" i="87"/>
  <c r="C9" i="87"/>
  <c r="D9" i="88"/>
  <c r="C9" i="88"/>
  <c r="D9" i="89"/>
  <c r="C9" i="89"/>
  <c r="D9" i="90"/>
  <c r="C9" i="90"/>
  <c r="D9" i="91"/>
  <c r="C9" i="91"/>
  <c r="D9" i="92"/>
  <c r="C9" i="92"/>
  <c r="D9" i="93"/>
  <c r="C9" i="93"/>
  <c r="D9" i="94"/>
  <c r="C9" i="94"/>
  <c r="D9" i="95"/>
  <c r="C9" i="95"/>
  <c r="D9" i="96"/>
  <c r="C9" i="96"/>
  <c r="D9" i="97"/>
  <c r="C9" i="97"/>
  <c r="D9" i="98"/>
  <c r="C9" i="98"/>
  <c r="D9" i="99"/>
  <c r="C9" i="99"/>
  <c r="D9" i="100"/>
  <c r="C9" i="100"/>
  <c r="D9" i="101"/>
  <c r="C9" i="101"/>
  <c r="D9" i="102"/>
  <c r="C9" i="102"/>
  <c r="D9" i="103"/>
  <c r="C9" i="103"/>
  <c r="D9" i="104"/>
  <c r="C9" i="104"/>
  <c r="D9" i="105"/>
  <c r="C9" i="105"/>
  <c r="D9" i="107"/>
  <c r="C9" i="107"/>
  <c r="D9" i="2"/>
  <c r="C9" i="2"/>
  <c r="J122" i="58"/>
  <c r="J122" i="59"/>
  <c r="J122" i="60"/>
  <c r="J122" i="61"/>
  <c r="J122" i="62"/>
  <c r="J122" i="63"/>
  <c r="J122" i="64"/>
  <c r="J122" i="65"/>
  <c r="J122" i="66"/>
  <c r="J122" i="67"/>
  <c r="J122" i="68"/>
  <c r="J122" i="108"/>
  <c r="J122" i="69"/>
  <c r="J122" i="70"/>
  <c r="J122" i="71"/>
  <c r="J122" i="72"/>
  <c r="J122" i="73"/>
  <c r="J122" i="74"/>
  <c r="J122" i="75"/>
  <c r="J122" i="76"/>
  <c r="J122" i="77"/>
  <c r="J122" i="78"/>
  <c r="J122" i="79"/>
  <c r="J122" i="80"/>
  <c r="J122" i="81"/>
  <c r="J122" i="82"/>
  <c r="J122" i="83"/>
  <c r="J122" i="84"/>
  <c r="J122" i="85"/>
  <c r="J122" i="86"/>
  <c r="J122" i="87"/>
  <c r="J122" i="88"/>
  <c r="J122" i="89"/>
  <c r="J122" i="90"/>
  <c r="J122" i="91"/>
  <c r="J122" i="92"/>
  <c r="J122" i="93"/>
  <c r="J122" i="94"/>
  <c r="J122" i="95"/>
  <c r="J122" i="96"/>
  <c r="J122" i="97"/>
  <c r="J122" i="98"/>
  <c r="J122" i="99"/>
  <c r="J122" i="100"/>
  <c r="J122" i="101"/>
  <c r="J122" i="102"/>
  <c r="J122" i="103"/>
  <c r="J122" i="104"/>
  <c r="J122" i="105"/>
  <c r="J122" i="107"/>
  <c r="J122" i="2"/>
  <c r="I98" i="58"/>
  <c r="I97" i="58"/>
  <c r="I98" i="59"/>
  <c r="I97" i="59"/>
  <c r="I98" i="60"/>
  <c r="I97" i="60"/>
  <c r="I98" i="61"/>
  <c r="I97" i="61"/>
  <c r="I98" i="62"/>
  <c r="I97" i="62"/>
  <c r="I98" i="63"/>
  <c r="I97" i="63"/>
  <c r="I98" i="64"/>
  <c r="I97" i="64"/>
  <c r="I98" i="65"/>
  <c r="I97" i="65"/>
  <c r="I98" i="66"/>
  <c r="I97" i="66"/>
  <c r="I98" i="67"/>
  <c r="I97" i="67"/>
  <c r="I98" i="68"/>
  <c r="I97" i="68"/>
  <c r="I98" i="108"/>
  <c r="I97" i="108"/>
  <c r="I98" i="69"/>
  <c r="I97" i="69"/>
  <c r="I98" i="70"/>
  <c r="I97" i="70"/>
  <c r="I98" i="71"/>
  <c r="I97" i="71"/>
  <c r="I98" i="72"/>
  <c r="I97" i="72"/>
  <c r="I98" i="73"/>
  <c r="I97" i="73"/>
  <c r="I98" i="74"/>
  <c r="I97" i="74"/>
  <c r="I98" i="75"/>
  <c r="I97" i="75"/>
  <c r="I98" i="76"/>
  <c r="I97" i="76"/>
  <c r="I98" i="77"/>
  <c r="I97" i="77"/>
  <c r="I98" i="78"/>
  <c r="I97" i="78"/>
  <c r="I98" i="79"/>
  <c r="I97" i="79"/>
  <c r="I98" i="80"/>
  <c r="I97" i="80"/>
  <c r="I98" i="81"/>
  <c r="I97" i="81"/>
  <c r="I98" i="82"/>
  <c r="I97" i="82"/>
  <c r="I98" i="83"/>
  <c r="I97" i="83"/>
  <c r="I98" i="84"/>
  <c r="I97" i="84"/>
  <c r="I98" i="85"/>
  <c r="I97" i="85"/>
  <c r="I98" i="86"/>
  <c r="I97" i="86"/>
  <c r="I98" i="87"/>
  <c r="I97" i="87"/>
  <c r="I98" i="88"/>
  <c r="I97" i="88"/>
  <c r="I98" i="89"/>
  <c r="I97" i="89"/>
  <c r="I98" i="90"/>
  <c r="I97" i="90"/>
  <c r="I98" i="91"/>
  <c r="I97" i="91"/>
  <c r="I98" i="92"/>
  <c r="I97" i="92"/>
  <c r="I98" i="93"/>
  <c r="I97" i="93"/>
  <c r="I98" i="94"/>
  <c r="I97" i="94"/>
  <c r="I98" i="95"/>
  <c r="I97" i="95"/>
  <c r="I98" i="96"/>
  <c r="I97" i="96"/>
  <c r="I98" i="97"/>
  <c r="I97" i="97"/>
  <c r="I98" i="98"/>
  <c r="I97" i="98"/>
  <c r="I98" i="99"/>
  <c r="I97" i="99"/>
  <c r="I98" i="100"/>
  <c r="I97" i="100"/>
  <c r="I98" i="101"/>
  <c r="I97" i="101"/>
  <c r="I98" i="102"/>
  <c r="I97" i="102"/>
  <c r="I98" i="103"/>
  <c r="I97" i="103"/>
  <c r="I98" i="104"/>
  <c r="I97" i="104"/>
  <c r="I98" i="105"/>
  <c r="I97" i="105"/>
  <c r="I98" i="107"/>
  <c r="I97" i="107"/>
  <c r="I98" i="2"/>
  <c r="I97" i="2"/>
  <c r="G85" i="58"/>
  <c r="G84" i="58"/>
  <c r="G85" i="59"/>
  <c r="G84" i="59"/>
  <c r="G85" i="60"/>
  <c r="G84" i="60"/>
  <c r="G85" i="61"/>
  <c r="G84" i="61"/>
  <c r="G85" i="62"/>
  <c r="G84" i="62"/>
  <c r="G85" i="63"/>
  <c r="G84" i="63"/>
  <c r="G85" i="64"/>
  <c r="G84" i="64"/>
  <c r="G85" i="65"/>
  <c r="G84" i="65"/>
  <c r="G85" i="66"/>
  <c r="G84" i="66"/>
  <c r="G85" i="67"/>
  <c r="G84" i="67"/>
  <c r="G85" i="68"/>
  <c r="G84" i="68"/>
  <c r="G85" i="108"/>
  <c r="G84" i="108"/>
  <c r="G85" i="69"/>
  <c r="G84" i="69"/>
  <c r="G85" i="70"/>
  <c r="G84" i="70"/>
  <c r="G85" i="71"/>
  <c r="G84" i="71"/>
  <c r="G85" i="72"/>
  <c r="G84" i="72"/>
  <c r="G85" i="73"/>
  <c r="G84" i="73"/>
  <c r="G85" i="74"/>
  <c r="G84" i="74"/>
  <c r="G85" i="75"/>
  <c r="G84" i="75"/>
  <c r="G85" i="76"/>
  <c r="G84" i="76"/>
  <c r="G85" i="77"/>
  <c r="G84" i="77"/>
  <c r="G85" i="78"/>
  <c r="G84" i="78"/>
  <c r="G85" i="79"/>
  <c r="G84" i="79"/>
  <c r="G85" i="80"/>
  <c r="G84" i="80"/>
  <c r="G85" i="81"/>
  <c r="G84" i="81"/>
  <c r="G85" i="82"/>
  <c r="G84" i="82"/>
  <c r="G85" i="83"/>
  <c r="G84" i="83"/>
  <c r="G85" i="84"/>
  <c r="G84" i="84"/>
  <c r="G85" i="85"/>
  <c r="G84" i="85"/>
  <c r="G85" i="86"/>
  <c r="G84" i="86"/>
  <c r="G85" i="87"/>
  <c r="G84" i="87"/>
  <c r="G85" i="88"/>
  <c r="G84" i="88"/>
  <c r="G85" i="89"/>
  <c r="G84" i="89"/>
  <c r="G85" i="90"/>
  <c r="G84" i="90"/>
  <c r="G85" i="91"/>
  <c r="G84" i="91"/>
  <c r="G85" i="92"/>
  <c r="G84" i="92"/>
  <c r="G85" i="93"/>
  <c r="G84" i="93"/>
  <c r="G85" i="94"/>
  <c r="G84" i="94"/>
  <c r="G85" i="95"/>
  <c r="G84" i="95"/>
  <c r="G85" i="96"/>
  <c r="G84" i="96"/>
  <c r="G85" i="97"/>
  <c r="G84" i="97"/>
  <c r="G85" i="98"/>
  <c r="G84" i="98"/>
  <c r="G85" i="99"/>
  <c r="G84" i="99"/>
  <c r="G85" i="100"/>
  <c r="G84" i="100"/>
  <c r="G85" i="101"/>
  <c r="G84" i="101"/>
  <c r="G85" i="102"/>
  <c r="G84" i="102"/>
  <c r="G85" i="103"/>
  <c r="G84" i="103"/>
  <c r="G85" i="104"/>
  <c r="G84" i="104"/>
  <c r="G85" i="105"/>
  <c r="G84" i="105"/>
  <c r="G85" i="107"/>
  <c r="G84" i="107"/>
  <c r="G85" i="2"/>
  <c r="G84" i="2"/>
  <c r="G92" i="58"/>
  <c r="G91" i="58"/>
  <c r="G90" i="58"/>
  <c r="G92" i="59"/>
  <c r="G91" i="59"/>
  <c r="G90" i="59"/>
  <c r="G92" i="60"/>
  <c r="G91" i="60"/>
  <c r="G90" i="60"/>
  <c r="G92" i="61"/>
  <c r="G91" i="61"/>
  <c r="G90" i="61"/>
  <c r="G92" i="62"/>
  <c r="G91" i="62"/>
  <c r="G90" i="62"/>
  <c r="G92" i="63"/>
  <c r="G91" i="63"/>
  <c r="G90" i="63"/>
  <c r="G92" i="64"/>
  <c r="G91" i="64"/>
  <c r="G90" i="64"/>
  <c r="G92" i="65"/>
  <c r="G91" i="65"/>
  <c r="G90" i="65"/>
  <c r="G92" i="66"/>
  <c r="G91" i="66"/>
  <c r="G90" i="66"/>
  <c r="G92" i="67"/>
  <c r="G91" i="67"/>
  <c r="G90" i="67"/>
  <c r="G92" i="68"/>
  <c r="G91" i="68"/>
  <c r="G90" i="68"/>
  <c r="G92" i="108"/>
  <c r="G91" i="108"/>
  <c r="G90" i="108"/>
  <c r="G92" i="69"/>
  <c r="G91" i="69"/>
  <c r="G90" i="69"/>
  <c r="G92" i="70"/>
  <c r="G91" i="70"/>
  <c r="G90" i="70"/>
  <c r="G92" i="71"/>
  <c r="G91" i="71"/>
  <c r="G90" i="71"/>
  <c r="G92" i="72"/>
  <c r="G91" i="72"/>
  <c r="G90" i="72"/>
  <c r="G92" i="73"/>
  <c r="G91" i="73"/>
  <c r="G90" i="73"/>
  <c r="G92" i="74"/>
  <c r="G91" i="74"/>
  <c r="G90" i="74"/>
  <c r="G92" i="75"/>
  <c r="G91" i="75"/>
  <c r="G90" i="75"/>
  <c r="G92" i="76"/>
  <c r="G91" i="76"/>
  <c r="G90" i="76"/>
  <c r="G92" i="77"/>
  <c r="G91" i="77"/>
  <c r="G90" i="77"/>
  <c r="G92" i="78"/>
  <c r="G91" i="78"/>
  <c r="G90" i="78"/>
  <c r="G92" i="79"/>
  <c r="G91" i="79"/>
  <c r="G90" i="79"/>
  <c r="G92" i="80"/>
  <c r="G91" i="80"/>
  <c r="G90" i="80"/>
  <c r="G92" i="81"/>
  <c r="G91" i="81"/>
  <c r="G90" i="81"/>
  <c r="G92" i="82"/>
  <c r="G91" i="82"/>
  <c r="G90" i="82"/>
  <c r="G92" i="83"/>
  <c r="G91" i="83"/>
  <c r="G90" i="83"/>
  <c r="G92" i="84"/>
  <c r="G91" i="84"/>
  <c r="G90" i="84"/>
  <c r="G92" i="85"/>
  <c r="G91" i="85"/>
  <c r="G90" i="85"/>
  <c r="G92" i="86"/>
  <c r="G91" i="86"/>
  <c r="G90" i="86"/>
  <c r="G92" i="87"/>
  <c r="G91" i="87"/>
  <c r="G90" i="87"/>
  <c r="G92" i="88"/>
  <c r="G91" i="88"/>
  <c r="G90" i="88"/>
  <c r="G92" i="89"/>
  <c r="G91" i="89"/>
  <c r="G90" i="89"/>
  <c r="G92" i="90"/>
  <c r="G91" i="90"/>
  <c r="G90" i="90"/>
  <c r="G92" i="91"/>
  <c r="G91" i="91"/>
  <c r="G90" i="91"/>
  <c r="G92" i="92"/>
  <c r="G91" i="92"/>
  <c r="G90" i="92"/>
  <c r="G92" i="93"/>
  <c r="G91" i="93"/>
  <c r="G90" i="93"/>
  <c r="G92" i="94"/>
  <c r="G91" i="94"/>
  <c r="G90" i="94"/>
  <c r="G92" i="95"/>
  <c r="G91" i="95"/>
  <c r="G90" i="95"/>
  <c r="G92" i="96"/>
  <c r="G91" i="96"/>
  <c r="G90" i="96"/>
  <c r="G92" i="97"/>
  <c r="G91" i="97"/>
  <c r="G90" i="97"/>
  <c r="G92" i="98"/>
  <c r="G91" i="98"/>
  <c r="G90" i="98"/>
  <c r="G92" i="99"/>
  <c r="G91" i="99"/>
  <c r="G90" i="99"/>
  <c r="G92" i="100"/>
  <c r="G91" i="100"/>
  <c r="G90" i="100"/>
  <c r="G92" i="101"/>
  <c r="G91" i="101"/>
  <c r="G90" i="101"/>
  <c r="G92" i="102"/>
  <c r="G91" i="102"/>
  <c r="G90" i="102"/>
  <c r="G92" i="103"/>
  <c r="G91" i="103"/>
  <c r="G90" i="103"/>
  <c r="G92" i="104"/>
  <c r="G91" i="104"/>
  <c r="G90" i="104"/>
  <c r="G92" i="105"/>
  <c r="G91" i="105"/>
  <c r="G90" i="105"/>
  <c r="G92" i="107"/>
  <c r="G91" i="107"/>
  <c r="G90" i="107"/>
  <c r="G92" i="2"/>
  <c r="G91" i="2"/>
  <c r="G90" i="2"/>
  <c r="X49" i="58"/>
  <c r="X48" i="58"/>
  <c r="X47" i="58"/>
  <c r="X46" i="58"/>
  <c r="X45" i="58"/>
  <c r="X44" i="58"/>
  <c r="X43" i="58"/>
  <c r="X42" i="58"/>
  <c r="X41" i="58"/>
  <c r="X49" i="59"/>
  <c r="X48" i="59"/>
  <c r="X47" i="59"/>
  <c r="X46" i="59"/>
  <c r="X45" i="59"/>
  <c r="X44" i="59"/>
  <c r="X43" i="59"/>
  <c r="X42" i="59"/>
  <c r="X41" i="59"/>
  <c r="X49" i="60"/>
  <c r="X48" i="60"/>
  <c r="X47" i="60"/>
  <c r="X46" i="60"/>
  <c r="X45" i="60"/>
  <c r="X44" i="60"/>
  <c r="X43" i="60"/>
  <c r="X42" i="60"/>
  <c r="X41" i="60"/>
  <c r="X49" i="61"/>
  <c r="X48" i="61"/>
  <c r="X47" i="61"/>
  <c r="X46" i="61"/>
  <c r="X45" i="61"/>
  <c r="X44" i="61"/>
  <c r="X43" i="61"/>
  <c r="X42" i="61"/>
  <c r="X41" i="61"/>
  <c r="X49" i="62"/>
  <c r="X48" i="62"/>
  <c r="X47" i="62"/>
  <c r="X46" i="62"/>
  <c r="X45" i="62"/>
  <c r="X44" i="62"/>
  <c r="X43" i="62"/>
  <c r="X42" i="62"/>
  <c r="X41" i="62"/>
  <c r="X49" i="63"/>
  <c r="X48" i="63"/>
  <c r="X47" i="63"/>
  <c r="X46" i="63"/>
  <c r="X45" i="63"/>
  <c r="X44" i="63"/>
  <c r="X43" i="63"/>
  <c r="X42" i="63"/>
  <c r="X41" i="63"/>
  <c r="X49" i="64"/>
  <c r="X48" i="64"/>
  <c r="X47" i="64"/>
  <c r="X46" i="64"/>
  <c r="X45" i="64"/>
  <c r="X44" i="64"/>
  <c r="X43" i="64"/>
  <c r="X42" i="64"/>
  <c r="X41" i="64"/>
  <c r="X49" i="65"/>
  <c r="X48" i="65"/>
  <c r="X47" i="65"/>
  <c r="X46" i="65"/>
  <c r="X45" i="65"/>
  <c r="X44" i="65"/>
  <c r="X43" i="65"/>
  <c r="X42" i="65"/>
  <c r="X41" i="65"/>
  <c r="X49" i="66"/>
  <c r="X48" i="66"/>
  <c r="X47" i="66"/>
  <c r="X46" i="66"/>
  <c r="X45" i="66"/>
  <c r="X44" i="66"/>
  <c r="X43" i="66"/>
  <c r="X42" i="66"/>
  <c r="X41" i="66"/>
  <c r="X49" i="67"/>
  <c r="X48" i="67"/>
  <c r="X47" i="67"/>
  <c r="X46" i="67"/>
  <c r="X45" i="67"/>
  <c r="X44" i="67"/>
  <c r="X43" i="67"/>
  <c r="X42" i="67"/>
  <c r="X41" i="67"/>
  <c r="X49" i="68"/>
  <c r="X48" i="68"/>
  <c r="X47" i="68"/>
  <c r="X46" i="68"/>
  <c r="X45" i="68"/>
  <c r="X44" i="68"/>
  <c r="X43" i="68"/>
  <c r="X42" i="68"/>
  <c r="X41" i="68"/>
  <c r="X49" i="108"/>
  <c r="X48" i="108"/>
  <c r="X47" i="108"/>
  <c r="X46" i="108"/>
  <c r="X45" i="108"/>
  <c r="X44" i="108"/>
  <c r="X43" i="108"/>
  <c r="X42" i="108"/>
  <c r="X41" i="108"/>
  <c r="X49" i="69"/>
  <c r="X48" i="69"/>
  <c r="X47" i="69"/>
  <c r="X46" i="69"/>
  <c r="X45" i="69"/>
  <c r="X44" i="69"/>
  <c r="X43" i="69"/>
  <c r="X42" i="69"/>
  <c r="X41" i="69"/>
  <c r="X49" i="70"/>
  <c r="X48" i="70"/>
  <c r="X47" i="70"/>
  <c r="X46" i="70"/>
  <c r="X45" i="70"/>
  <c r="X44" i="70"/>
  <c r="X43" i="70"/>
  <c r="X42" i="70"/>
  <c r="X41" i="70"/>
  <c r="X49" i="71"/>
  <c r="X48" i="71"/>
  <c r="X47" i="71"/>
  <c r="X46" i="71"/>
  <c r="X45" i="71"/>
  <c r="X44" i="71"/>
  <c r="X43" i="71"/>
  <c r="X42" i="71"/>
  <c r="X41" i="71"/>
  <c r="X49" i="72"/>
  <c r="X48" i="72"/>
  <c r="X47" i="72"/>
  <c r="X46" i="72"/>
  <c r="X45" i="72"/>
  <c r="X44" i="72"/>
  <c r="X43" i="72"/>
  <c r="X42" i="72"/>
  <c r="X41" i="72"/>
  <c r="X49" i="73"/>
  <c r="X48" i="73"/>
  <c r="X47" i="73"/>
  <c r="X46" i="73"/>
  <c r="X45" i="73"/>
  <c r="X44" i="73"/>
  <c r="X43" i="73"/>
  <c r="X42" i="73"/>
  <c r="X41" i="73"/>
  <c r="X49" i="74"/>
  <c r="X48" i="74"/>
  <c r="X47" i="74"/>
  <c r="X46" i="74"/>
  <c r="X45" i="74"/>
  <c r="X44" i="74"/>
  <c r="X43" i="74"/>
  <c r="X42" i="74"/>
  <c r="X41" i="74"/>
  <c r="X49" i="75"/>
  <c r="X48" i="75"/>
  <c r="X47" i="75"/>
  <c r="X46" i="75"/>
  <c r="X45" i="75"/>
  <c r="X44" i="75"/>
  <c r="X43" i="75"/>
  <c r="X42" i="75"/>
  <c r="X41" i="75"/>
  <c r="X49" i="76"/>
  <c r="X48" i="76"/>
  <c r="X47" i="76"/>
  <c r="X46" i="76"/>
  <c r="X45" i="76"/>
  <c r="X44" i="76"/>
  <c r="X43" i="76"/>
  <c r="X42" i="76"/>
  <c r="X41" i="76"/>
  <c r="X49" i="77"/>
  <c r="X48" i="77"/>
  <c r="X47" i="77"/>
  <c r="X46" i="77"/>
  <c r="X45" i="77"/>
  <c r="X44" i="77"/>
  <c r="X43" i="77"/>
  <c r="X42" i="77"/>
  <c r="X41" i="77"/>
  <c r="X49" i="78"/>
  <c r="X48" i="78"/>
  <c r="X47" i="78"/>
  <c r="X46" i="78"/>
  <c r="X45" i="78"/>
  <c r="X44" i="78"/>
  <c r="X43" i="78"/>
  <c r="X42" i="78"/>
  <c r="X41" i="78"/>
  <c r="X49" i="79"/>
  <c r="X48" i="79"/>
  <c r="X47" i="79"/>
  <c r="X46" i="79"/>
  <c r="X45" i="79"/>
  <c r="X44" i="79"/>
  <c r="X43" i="79"/>
  <c r="X42" i="79"/>
  <c r="X41" i="79"/>
  <c r="X49" i="80"/>
  <c r="X48" i="80"/>
  <c r="X47" i="80"/>
  <c r="X46" i="80"/>
  <c r="X45" i="80"/>
  <c r="X44" i="80"/>
  <c r="X43" i="80"/>
  <c r="X42" i="80"/>
  <c r="X41" i="80"/>
  <c r="X49" i="81"/>
  <c r="X48" i="81"/>
  <c r="X47" i="81"/>
  <c r="X46" i="81"/>
  <c r="X45" i="81"/>
  <c r="X44" i="81"/>
  <c r="X43" i="81"/>
  <c r="X42" i="81"/>
  <c r="X41" i="81"/>
  <c r="X49" i="82"/>
  <c r="X48" i="82"/>
  <c r="X47" i="82"/>
  <c r="X46" i="82"/>
  <c r="X45" i="82"/>
  <c r="X44" i="82"/>
  <c r="X43" i="82"/>
  <c r="X42" i="82"/>
  <c r="X41" i="82"/>
  <c r="X49" i="83"/>
  <c r="X48" i="83"/>
  <c r="X47" i="83"/>
  <c r="X46" i="83"/>
  <c r="X45" i="83"/>
  <c r="X44" i="83"/>
  <c r="X43" i="83"/>
  <c r="X42" i="83"/>
  <c r="X41" i="83"/>
  <c r="X49" i="84"/>
  <c r="X48" i="84"/>
  <c r="X47" i="84"/>
  <c r="X46" i="84"/>
  <c r="X45" i="84"/>
  <c r="X44" i="84"/>
  <c r="X43" i="84"/>
  <c r="X42" i="84"/>
  <c r="X41" i="84"/>
  <c r="X49" i="85"/>
  <c r="X48" i="85"/>
  <c r="X47" i="85"/>
  <c r="X46" i="85"/>
  <c r="X45" i="85"/>
  <c r="X44" i="85"/>
  <c r="X43" i="85"/>
  <c r="X42" i="85"/>
  <c r="X41" i="85"/>
  <c r="X49" i="86"/>
  <c r="X48" i="86"/>
  <c r="X47" i="86"/>
  <c r="X46" i="86"/>
  <c r="X45" i="86"/>
  <c r="X44" i="86"/>
  <c r="X43" i="86"/>
  <c r="X42" i="86"/>
  <c r="X41" i="86"/>
  <c r="X49" i="87"/>
  <c r="X48" i="87"/>
  <c r="X47" i="87"/>
  <c r="X46" i="87"/>
  <c r="X45" i="87"/>
  <c r="X44" i="87"/>
  <c r="X43" i="87"/>
  <c r="X42" i="87"/>
  <c r="X41" i="87"/>
  <c r="X49" i="88"/>
  <c r="X48" i="88"/>
  <c r="X47" i="88"/>
  <c r="X46" i="88"/>
  <c r="X45" i="88"/>
  <c r="X44" i="88"/>
  <c r="X43" i="88"/>
  <c r="X42" i="88"/>
  <c r="X41" i="88"/>
  <c r="X49" i="89"/>
  <c r="X48" i="89"/>
  <c r="X47" i="89"/>
  <c r="X46" i="89"/>
  <c r="X45" i="89"/>
  <c r="X44" i="89"/>
  <c r="X43" i="89"/>
  <c r="X42" i="89"/>
  <c r="X41" i="89"/>
  <c r="X49" i="90"/>
  <c r="X48" i="90"/>
  <c r="X47" i="90"/>
  <c r="X46" i="90"/>
  <c r="X45" i="90"/>
  <c r="X44" i="90"/>
  <c r="X43" i="90"/>
  <c r="X42" i="90"/>
  <c r="X41" i="90"/>
  <c r="X49" i="91"/>
  <c r="X48" i="91"/>
  <c r="X47" i="91"/>
  <c r="X46" i="91"/>
  <c r="X45" i="91"/>
  <c r="X44" i="91"/>
  <c r="X43" i="91"/>
  <c r="X42" i="91"/>
  <c r="X41" i="91"/>
  <c r="X49" i="92"/>
  <c r="X48" i="92"/>
  <c r="X47" i="92"/>
  <c r="X46" i="92"/>
  <c r="X45" i="92"/>
  <c r="X44" i="92"/>
  <c r="X43" i="92"/>
  <c r="X42" i="92"/>
  <c r="X41" i="92"/>
  <c r="X49" i="93"/>
  <c r="X48" i="93"/>
  <c r="X47" i="93"/>
  <c r="X46" i="93"/>
  <c r="X45" i="93"/>
  <c r="X44" i="93"/>
  <c r="X43" i="93"/>
  <c r="X42" i="93"/>
  <c r="X41" i="93"/>
  <c r="X49" i="94"/>
  <c r="X48" i="94"/>
  <c r="X47" i="94"/>
  <c r="X46" i="94"/>
  <c r="X45" i="94"/>
  <c r="X44" i="94"/>
  <c r="X43" i="94"/>
  <c r="X42" i="94"/>
  <c r="X41" i="94"/>
  <c r="X49" i="95"/>
  <c r="X48" i="95"/>
  <c r="X47" i="95"/>
  <c r="X46" i="95"/>
  <c r="X45" i="95"/>
  <c r="X44" i="95"/>
  <c r="X43" i="95"/>
  <c r="X42" i="95"/>
  <c r="X41" i="95"/>
  <c r="X49" i="96"/>
  <c r="X48" i="96"/>
  <c r="X47" i="96"/>
  <c r="X46" i="96"/>
  <c r="X45" i="96"/>
  <c r="X44" i="96"/>
  <c r="X43" i="96"/>
  <c r="X42" i="96"/>
  <c r="X41" i="96"/>
  <c r="X49" i="97"/>
  <c r="X48" i="97"/>
  <c r="X47" i="97"/>
  <c r="X46" i="97"/>
  <c r="X45" i="97"/>
  <c r="X44" i="97"/>
  <c r="X43" i="97"/>
  <c r="X42" i="97"/>
  <c r="X41" i="97"/>
  <c r="X49" i="98"/>
  <c r="X48" i="98"/>
  <c r="X47" i="98"/>
  <c r="X46" i="98"/>
  <c r="X45" i="98"/>
  <c r="X44" i="98"/>
  <c r="X43" i="98"/>
  <c r="X42" i="98"/>
  <c r="X41" i="98"/>
  <c r="X49" i="99"/>
  <c r="X48" i="99"/>
  <c r="X47" i="99"/>
  <c r="X46" i="99"/>
  <c r="X45" i="99"/>
  <c r="X44" i="99"/>
  <c r="X43" i="99"/>
  <c r="X42" i="99"/>
  <c r="X41" i="99"/>
  <c r="X49" i="100"/>
  <c r="X48" i="100"/>
  <c r="X47" i="100"/>
  <c r="X46" i="100"/>
  <c r="X45" i="100"/>
  <c r="X44" i="100"/>
  <c r="X43" i="100"/>
  <c r="X42" i="100"/>
  <c r="X41" i="100"/>
  <c r="X49" i="101"/>
  <c r="X48" i="101"/>
  <c r="X47" i="101"/>
  <c r="X46" i="101"/>
  <c r="X45" i="101"/>
  <c r="X44" i="101"/>
  <c r="X43" i="101"/>
  <c r="X42" i="101"/>
  <c r="X41" i="101"/>
  <c r="X49" i="102"/>
  <c r="X48" i="102"/>
  <c r="X47" i="102"/>
  <c r="X46" i="102"/>
  <c r="X45" i="102"/>
  <c r="X44" i="102"/>
  <c r="X43" i="102"/>
  <c r="X42" i="102"/>
  <c r="X41" i="102"/>
  <c r="X49" i="103"/>
  <c r="X48" i="103"/>
  <c r="X47" i="103"/>
  <c r="X46" i="103"/>
  <c r="X45" i="103"/>
  <c r="X44" i="103"/>
  <c r="X43" i="103"/>
  <c r="X42" i="103"/>
  <c r="X41" i="103"/>
  <c r="X49" i="104"/>
  <c r="X48" i="104"/>
  <c r="X47" i="104"/>
  <c r="X46" i="104"/>
  <c r="X45" i="104"/>
  <c r="X44" i="104"/>
  <c r="X43" i="104"/>
  <c r="X42" i="104"/>
  <c r="X41" i="104"/>
  <c r="X49" i="105"/>
  <c r="X48" i="105"/>
  <c r="X47" i="105"/>
  <c r="X46" i="105"/>
  <c r="X45" i="105"/>
  <c r="X44" i="105"/>
  <c r="X43" i="105"/>
  <c r="X42" i="105"/>
  <c r="X41" i="105"/>
  <c r="X49" i="107"/>
  <c r="X48" i="107"/>
  <c r="X47" i="107"/>
  <c r="X46" i="107"/>
  <c r="X45" i="107"/>
  <c r="X44" i="107"/>
  <c r="X43" i="107"/>
  <c r="X42" i="107"/>
  <c r="X41" i="107"/>
  <c r="I49" i="2"/>
  <c r="I48" i="2"/>
  <c r="I47" i="2"/>
  <c r="I46" i="2"/>
  <c r="I45" i="2"/>
  <c r="I44" i="2"/>
  <c r="I43" i="2"/>
  <c r="I42" i="2"/>
  <c r="I41" i="2"/>
  <c r="E120" i="56"/>
  <c r="E119" i="56"/>
  <c r="E118" i="56"/>
  <c r="E44" i="56"/>
  <c r="E43" i="56"/>
  <c r="E42" i="56"/>
  <c r="E41" i="56"/>
  <c r="E40" i="56"/>
  <c r="E39" i="56"/>
  <c r="H27" i="58"/>
  <c r="G27" i="58"/>
  <c r="H26" i="58"/>
  <c r="G26" i="58"/>
  <c r="H25" i="58"/>
  <c r="G25" i="58"/>
  <c r="H24" i="58"/>
  <c r="G24" i="58"/>
  <c r="H23" i="58"/>
  <c r="G23" i="58"/>
  <c r="H22" i="58"/>
  <c r="G22" i="58"/>
  <c r="H21" i="58"/>
  <c r="G21" i="58"/>
  <c r="H20" i="58"/>
  <c r="G20" i="58"/>
  <c r="H19" i="58"/>
  <c r="G19" i="58"/>
  <c r="H18" i="58"/>
  <c r="G18" i="58"/>
  <c r="H17" i="58"/>
  <c r="G17" i="58"/>
  <c r="H16" i="58"/>
  <c r="G16" i="58"/>
  <c r="H15" i="58"/>
  <c r="G15" i="58"/>
  <c r="H14" i="58"/>
  <c r="G14" i="58"/>
  <c r="H13" i="58"/>
  <c r="G13" i="58"/>
  <c r="H12" i="58"/>
  <c r="G12" i="58"/>
  <c r="H27" i="59"/>
  <c r="G27" i="59"/>
  <c r="H26" i="59"/>
  <c r="G26" i="59"/>
  <c r="H25" i="59"/>
  <c r="G25" i="59"/>
  <c r="H24" i="59"/>
  <c r="G24" i="59"/>
  <c r="H23" i="59"/>
  <c r="G23" i="59"/>
  <c r="H22" i="59"/>
  <c r="G22" i="59"/>
  <c r="H21" i="59"/>
  <c r="G21" i="59"/>
  <c r="H20" i="59"/>
  <c r="G20" i="59"/>
  <c r="H19" i="59"/>
  <c r="G19" i="59"/>
  <c r="H18" i="59"/>
  <c r="G18" i="59"/>
  <c r="H17" i="59"/>
  <c r="G17" i="59"/>
  <c r="H16" i="59"/>
  <c r="G16" i="59"/>
  <c r="H15" i="59"/>
  <c r="G15" i="59"/>
  <c r="H14" i="59"/>
  <c r="G14" i="59"/>
  <c r="H13" i="59"/>
  <c r="G13" i="59"/>
  <c r="H12" i="59"/>
  <c r="G12" i="59"/>
  <c r="H27" i="60"/>
  <c r="G27" i="60"/>
  <c r="H26" i="60"/>
  <c r="G26" i="60"/>
  <c r="H25" i="60"/>
  <c r="G25" i="60"/>
  <c r="H24" i="60"/>
  <c r="G24" i="60"/>
  <c r="H23" i="60"/>
  <c r="G23" i="60"/>
  <c r="H22" i="60"/>
  <c r="G22" i="60"/>
  <c r="H21" i="60"/>
  <c r="G21" i="60"/>
  <c r="H20" i="60"/>
  <c r="G20" i="60"/>
  <c r="H19" i="60"/>
  <c r="G19" i="60"/>
  <c r="H18" i="60"/>
  <c r="G18" i="60"/>
  <c r="H17" i="60"/>
  <c r="G17" i="60"/>
  <c r="H16" i="60"/>
  <c r="G16" i="60"/>
  <c r="H15" i="60"/>
  <c r="G15" i="60"/>
  <c r="H14" i="60"/>
  <c r="G14" i="60"/>
  <c r="H13" i="60"/>
  <c r="G13" i="60"/>
  <c r="H12" i="60"/>
  <c r="G12" i="60"/>
  <c r="H27" i="61"/>
  <c r="G27" i="61"/>
  <c r="H26" i="61"/>
  <c r="G26" i="61"/>
  <c r="H25" i="61"/>
  <c r="G25" i="61"/>
  <c r="H24" i="61"/>
  <c r="G24" i="61"/>
  <c r="H23" i="61"/>
  <c r="G23" i="61"/>
  <c r="H22" i="61"/>
  <c r="G22" i="61"/>
  <c r="H21" i="61"/>
  <c r="G21" i="61"/>
  <c r="H20" i="61"/>
  <c r="G20" i="61"/>
  <c r="H19" i="61"/>
  <c r="G19" i="61"/>
  <c r="H18" i="61"/>
  <c r="G18" i="61"/>
  <c r="H17" i="61"/>
  <c r="G17" i="61"/>
  <c r="H16" i="61"/>
  <c r="G16" i="61"/>
  <c r="H15" i="61"/>
  <c r="G15" i="61"/>
  <c r="H14" i="61"/>
  <c r="G14" i="61"/>
  <c r="H13" i="61"/>
  <c r="G13" i="61"/>
  <c r="H12" i="61"/>
  <c r="G12" i="61"/>
  <c r="H27" i="62"/>
  <c r="G27" i="62"/>
  <c r="H26" i="62"/>
  <c r="G26" i="62"/>
  <c r="H25" i="62"/>
  <c r="G25" i="62"/>
  <c r="H24" i="62"/>
  <c r="G24" i="62"/>
  <c r="H23" i="62"/>
  <c r="G23" i="62"/>
  <c r="H22" i="62"/>
  <c r="G22" i="62"/>
  <c r="H21" i="62"/>
  <c r="G21" i="62"/>
  <c r="H20" i="62"/>
  <c r="G20" i="62"/>
  <c r="H19" i="62"/>
  <c r="G19" i="62"/>
  <c r="H18" i="62"/>
  <c r="G18" i="62"/>
  <c r="H17" i="62"/>
  <c r="G17" i="62"/>
  <c r="H16" i="62"/>
  <c r="G16" i="62"/>
  <c r="H15" i="62"/>
  <c r="G15" i="62"/>
  <c r="H14" i="62"/>
  <c r="G14" i="62"/>
  <c r="H13" i="62"/>
  <c r="G13" i="62"/>
  <c r="H12" i="62"/>
  <c r="G12" i="62"/>
  <c r="H27" i="63"/>
  <c r="G27" i="63"/>
  <c r="H26" i="63"/>
  <c r="G26" i="63"/>
  <c r="H25" i="63"/>
  <c r="G25" i="63"/>
  <c r="H24" i="63"/>
  <c r="G24" i="63"/>
  <c r="H23" i="63"/>
  <c r="G23" i="63"/>
  <c r="H22" i="63"/>
  <c r="G22" i="63"/>
  <c r="H21" i="63"/>
  <c r="G21" i="63"/>
  <c r="H20" i="63"/>
  <c r="G20" i="63"/>
  <c r="H19" i="63"/>
  <c r="G19" i="63"/>
  <c r="H18" i="63"/>
  <c r="G18" i="63"/>
  <c r="H17" i="63"/>
  <c r="G17" i="63"/>
  <c r="H16" i="63"/>
  <c r="G16" i="63"/>
  <c r="H15" i="63"/>
  <c r="G15" i="63"/>
  <c r="H14" i="63"/>
  <c r="G14" i="63"/>
  <c r="H13" i="63"/>
  <c r="G13" i="63"/>
  <c r="H12" i="63"/>
  <c r="G12" i="63"/>
  <c r="H27" i="64"/>
  <c r="G27" i="64"/>
  <c r="H26" i="64"/>
  <c r="G26" i="64"/>
  <c r="H25" i="64"/>
  <c r="G25" i="64"/>
  <c r="H24" i="64"/>
  <c r="G24" i="64"/>
  <c r="H23" i="64"/>
  <c r="G23" i="64"/>
  <c r="H22" i="64"/>
  <c r="G22" i="64"/>
  <c r="H21" i="64"/>
  <c r="G21" i="64"/>
  <c r="H20" i="64"/>
  <c r="G20" i="64"/>
  <c r="H19" i="64"/>
  <c r="G19" i="64"/>
  <c r="H18" i="64"/>
  <c r="G18" i="64"/>
  <c r="H17" i="64"/>
  <c r="G17" i="64"/>
  <c r="H16" i="64"/>
  <c r="G16" i="64"/>
  <c r="H15" i="64"/>
  <c r="G15" i="64"/>
  <c r="H14" i="64"/>
  <c r="G14" i="64"/>
  <c r="H13" i="64"/>
  <c r="G13" i="64"/>
  <c r="H12" i="64"/>
  <c r="G12" i="64"/>
  <c r="H27" i="65"/>
  <c r="G27" i="65"/>
  <c r="H26" i="65"/>
  <c r="G26" i="65"/>
  <c r="H25" i="65"/>
  <c r="G25" i="65"/>
  <c r="H24" i="65"/>
  <c r="G24" i="65"/>
  <c r="H23" i="65"/>
  <c r="G23" i="65"/>
  <c r="H22" i="65"/>
  <c r="G22" i="65"/>
  <c r="H21" i="65"/>
  <c r="G21" i="65"/>
  <c r="H20" i="65"/>
  <c r="G20" i="65"/>
  <c r="H19" i="65"/>
  <c r="G19" i="65"/>
  <c r="H18" i="65"/>
  <c r="G18" i="65"/>
  <c r="H17" i="65"/>
  <c r="G17" i="65"/>
  <c r="H16" i="65"/>
  <c r="G16" i="65"/>
  <c r="H15" i="65"/>
  <c r="G15" i="65"/>
  <c r="H14" i="65"/>
  <c r="G14" i="65"/>
  <c r="H13" i="65"/>
  <c r="G13" i="65"/>
  <c r="H12" i="65"/>
  <c r="G12" i="65"/>
  <c r="H27" i="66"/>
  <c r="G27" i="66"/>
  <c r="H26" i="66"/>
  <c r="G26" i="66"/>
  <c r="H25" i="66"/>
  <c r="G25" i="66"/>
  <c r="H24" i="66"/>
  <c r="G24" i="66"/>
  <c r="H23" i="66"/>
  <c r="G23" i="66"/>
  <c r="H22" i="66"/>
  <c r="G22" i="66"/>
  <c r="H21" i="66"/>
  <c r="G21" i="66"/>
  <c r="H20" i="66"/>
  <c r="G20" i="66"/>
  <c r="H19" i="66"/>
  <c r="G19" i="66"/>
  <c r="H18" i="66"/>
  <c r="G18" i="66"/>
  <c r="H17" i="66"/>
  <c r="G17" i="66"/>
  <c r="H16" i="66"/>
  <c r="G16" i="66"/>
  <c r="H15" i="66"/>
  <c r="G15" i="66"/>
  <c r="H14" i="66"/>
  <c r="G14" i="66"/>
  <c r="H13" i="66"/>
  <c r="G13" i="66"/>
  <c r="H12" i="66"/>
  <c r="G12" i="66"/>
  <c r="H27" i="67"/>
  <c r="G27" i="67"/>
  <c r="H26" i="67"/>
  <c r="G26" i="67"/>
  <c r="H25" i="67"/>
  <c r="G25" i="67"/>
  <c r="H24" i="67"/>
  <c r="G24" i="67"/>
  <c r="H23" i="67"/>
  <c r="G23" i="67"/>
  <c r="H22" i="67"/>
  <c r="G22" i="67"/>
  <c r="H21" i="67"/>
  <c r="G21" i="67"/>
  <c r="H20" i="67"/>
  <c r="G20" i="67"/>
  <c r="H19" i="67"/>
  <c r="G19" i="67"/>
  <c r="H18" i="67"/>
  <c r="G18" i="67"/>
  <c r="H17" i="67"/>
  <c r="G17" i="67"/>
  <c r="H16" i="67"/>
  <c r="G16" i="67"/>
  <c r="H15" i="67"/>
  <c r="G15" i="67"/>
  <c r="H14" i="67"/>
  <c r="G14" i="67"/>
  <c r="H13" i="67"/>
  <c r="G13" i="67"/>
  <c r="H12" i="67"/>
  <c r="G12" i="67"/>
  <c r="H27" i="68"/>
  <c r="G27" i="68"/>
  <c r="H26" i="68"/>
  <c r="G26" i="68"/>
  <c r="H25" i="68"/>
  <c r="G25" i="68"/>
  <c r="H24" i="68"/>
  <c r="G24" i="68"/>
  <c r="H23" i="68"/>
  <c r="G23" i="68"/>
  <c r="H22" i="68"/>
  <c r="G22" i="68"/>
  <c r="H21" i="68"/>
  <c r="G21" i="68"/>
  <c r="H20" i="68"/>
  <c r="G20" i="68"/>
  <c r="H19" i="68"/>
  <c r="G19" i="68"/>
  <c r="H18" i="68"/>
  <c r="G18" i="68"/>
  <c r="H17" i="68"/>
  <c r="G17" i="68"/>
  <c r="H16" i="68"/>
  <c r="G16" i="68"/>
  <c r="H15" i="68"/>
  <c r="G15" i="68"/>
  <c r="H14" i="68"/>
  <c r="G14" i="68"/>
  <c r="H13" i="68"/>
  <c r="G13" i="68"/>
  <c r="H12" i="68"/>
  <c r="G12" i="68"/>
  <c r="H27" i="108"/>
  <c r="G27" i="108"/>
  <c r="H26" i="108"/>
  <c r="G26" i="108"/>
  <c r="H25" i="108"/>
  <c r="G25" i="108"/>
  <c r="H24" i="108"/>
  <c r="G24" i="108"/>
  <c r="H23" i="108"/>
  <c r="G23" i="108"/>
  <c r="H22" i="108"/>
  <c r="G22" i="108"/>
  <c r="H21" i="108"/>
  <c r="G21" i="108"/>
  <c r="H20" i="108"/>
  <c r="G20" i="108"/>
  <c r="H19" i="108"/>
  <c r="G19" i="108"/>
  <c r="H18" i="108"/>
  <c r="G18" i="108"/>
  <c r="H17" i="108"/>
  <c r="G17" i="108"/>
  <c r="H16" i="108"/>
  <c r="G16" i="108"/>
  <c r="H15" i="108"/>
  <c r="G15" i="108"/>
  <c r="H14" i="108"/>
  <c r="G14" i="108"/>
  <c r="H13" i="108"/>
  <c r="G13" i="108"/>
  <c r="H12" i="108"/>
  <c r="G12" i="108"/>
  <c r="H27" i="69"/>
  <c r="G27" i="69"/>
  <c r="H26" i="69"/>
  <c r="G26" i="69"/>
  <c r="H25" i="69"/>
  <c r="G25" i="69"/>
  <c r="H24" i="69"/>
  <c r="G24" i="69"/>
  <c r="H23" i="69"/>
  <c r="G23" i="69"/>
  <c r="H22" i="69"/>
  <c r="G22" i="69"/>
  <c r="H21" i="69"/>
  <c r="G21" i="69"/>
  <c r="H20" i="69"/>
  <c r="G20" i="69"/>
  <c r="H19" i="69"/>
  <c r="G19" i="69"/>
  <c r="H18" i="69"/>
  <c r="G18" i="69"/>
  <c r="H17" i="69"/>
  <c r="G17" i="69"/>
  <c r="H16" i="69"/>
  <c r="G16" i="69"/>
  <c r="H15" i="69"/>
  <c r="G15" i="69"/>
  <c r="H14" i="69"/>
  <c r="G14" i="69"/>
  <c r="H13" i="69"/>
  <c r="G13" i="69"/>
  <c r="H12" i="69"/>
  <c r="G12" i="69"/>
  <c r="H27" i="70"/>
  <c r="G27" i="70"/>
  <c r="H26" i="70"/>
  <c r="G26" i="70"/>
  <c r="H25" i="70"/>
  <c r="G25" i="70"/>
  <c r="H24" i="70"/>
  <c r="G24" i="70"/>
  <c r="H23" i="70"/>
  <c r="G23" i="70"/>
  <c r="H22" i="70"/>
  <c r="G22" i="70"/>
  <c r="H21" i="70"/>
  <c r="G21" i="70"/>
  <c r="H20" i="70"/>
  <c r="G20" i="70"/>
  <c r="H19" i="70"/>
  <c r="G19" i="70"/>
  <c r="H18" i="70"/>
  <c r="G18" i="70"/>
  <c r="H17" i="70"/>
  <c r="G17" i="70"/>
  <c r="H16" i="70"/>
  <c r="G16" i="70"/>
  <c r="H15" i="70"/>
  <c r="G15" i="70"/>
  <c r="H14" i="70"/>
  <c r="G14" i="70"/>
  <c r="H13" i="70"/>
  <c r="G13" i="70"/>
  <c r="H12" i="70"/>
  <c r="G12" i="70"/>
  <c r="H27" i="71"/>
  <c r="G27" i="71"/>
  <c r="H26" i="71"/>
  <c r="G26" i="71"/>
  <c r="H25" i="71"/>
  <c r="G25" i="71"/>
  <c r="H24" i="71"/>
  <c r="G24" i="71"/>
  <c r="H23" i="71"/>
  <c r="G23" i="71"/>
  <c r="H22" i="71"/>
  <c r="G22" i="71"/>
  <c r="H21" i="71"/>
  <c r="G21" i="71"/>
  <c r="H20" i="71"/>
  <c r="G20" i="71"/>
  <c r="H19" i="71"/>
  <c r="G19" i="71"/>
  <c r="H18" i="71"/>
  <c r="G18" i="71"/>
  <c r="H17" i="71"/>
  <c r="G17" i="71"/>
  <c r="H16" i="71"/>
  <c r="G16" i="71"/>
  <c r="H15" i="71"/>
  <c r="G15" i="71"/>
  <c r="H14" i="71"/>
  <c r="G14" i="71"/>
  <c r="H13" i="71"/>
  <c r="G13" i="71"/>
  <c r="H12" i="71"/>
  <c r="G12" i="71"/>
  <c r="H27" i="72"/>
  <c r="G27" i="72"/>
  <c r="H26" i="72"/>
  <c r="G26" i="72"/>
  <c r="H25" i="72"/>
  <c r="G25" i="72"/>
  <c r="H24" i="72"/>
  <c r="G24" i="72"/>
  <c r="H23" i="72"/>
  <c r="G23" i="72"/>
  <c r="H22" i="72"/>
  <c r="G22" i="72"/>
  <c r="H21" i="72"/>
  <c r="G21" i="72"/>
  <c r="H20" i="72"/>
  <c r="G20" i="72"/>
  <c r="H19" i="72"/>
  <c r="G19" i="72"/>
  <c r="H18" i="72"/>
  <c r="G18" i="72"/>
  <c r="H17" i="72"/>
  <c r="G17" i="72"/>
  <c r="H16" i="72"/>
  <c r="G16" i="72"/>
  <c r="H15" i="72"/>
  <c r="G15" i="72"/>
  <c r="H14" i="72"/>
  <c r="G14" i="72"/>
  <c r="H13" i="72"/>
  <c r="G13" i="72"/>
  <c r="H12" i="72"/>
  <c r="G12" i="72"/>
  <c r="H27" i="73"/>
  <c r="G27" i="73"/>
  <c r="H26" i="73"/>
  <c r="G26" i="73"/>
  <c r="H25" i="73"/>
  <c r="G25" i="73"/>
  <c r="H24" i="73"/>
  <c r="G24" i="73"/>
  <c r="H23" i="73"/>
  <c r="G23" i="73"/>
  <c r="H22" i="73"/>
  <c r="G22" i="73"/>
  <c r="H21" i="73"/>
  <c r="G21" i="73"/>
  <c r="H20" i="73"/>
  <c r="G20" i="73"/>
  <c r="H19" i="73"/>
  <c r="G19" i="73"/>
  <c r="H18" i="73"/>
  <c r="G18" i="73"/>
  <c r="H17" i="73"/>
  <c r="G17" i="73"/>
  <c r="H16" i="73"/>
  <c r="G16" i="73"/>
  <c r="H15" i="73"/>
  <c r="G15" i="73"/>
  <c r="H14" i="73"/>
  <c r="G14" i="73"/>
  <c r="H13" i="73"/>
  <c r="G13" i="73"/>
  <c r="H12" i="73"/>
  <c r="G12" i="73"/>
  <c r="H27" i="74"/>
  <c r="G27" i="74"/>
  <c r="H26" i="74"/>
  <c r="G26" i="74"/>
  <c r="H25" i="74"/>
  <c r="G25" i="74"/>
  <c r="H24" i="74"/>
  <c r="G24" i="74"/>
  <c r="H23" i="74"/>
  <c r="G23" i="74"/>
  <c r="H22" i="74"/>
  <c r="G22" i="74"/>
  <c r="H21" i="74"/>
  <c r="G21" i="74"/>
  <c r="H20" i="74"/>
  <c r="G20" i="74"/>
  <c r="H19" i="74"/>
  <c r="G19" i="74"/>
  <c r="H18" i="74"/>
  <c r="G18" i="74"/>
  <c r="H17" i="74"/>
  <c r="G17" i="74"/>
  <c r="H16" i="74"/>
  <c r="G16" i="74"/>
  <c r="H15" i="74"/>
  <c r="G15" i="74"/>
  <c r="H14" i="74"/>
  <c r="G14" i="74"/>
  <c r="H13" i="74"/>
  <c r="G13" i="74"/>
  <c r="H12" i="74"/>
  <c r="G12" i="74"/>
  <c r="H27" i="75"/>
  <c r="G27" i="75"/>
  <c r="H26" i="75"/>
  <c r="G26" i="75"/>
  <c r="H25" i="75"/>
  <c r="G25" i="75"/>
  <c r="H24" i="75"/>
  <c r="G24" i="75"/>
  <c r="H23" i="75"/>
  <c r="G23" i="75"/>
  <c r="H22" i="75"/>
  <c r="G22" i="75"/>
  <c r="H21" i="75"/>
  <c r="G21" i="75"/>
  <c r="H20" i="75"/>
  <c r="G20" i="75"/>
  <c r="H19" i="75"/>
  <c r="G19" i="75"/>
  <c r="H18" i="75"/>
  <c r="G18" i="75"/>
  <c r="H17" i="75"/>
  <c r="G17" i="75"/>
  <c r="H16" i="75"/>
  <c r="G16" i="75"/>
  <c r="H15" i="75"/>
  <c r="G15" i="75"/>
  <c r="H14" i="75"/>
  <c r="G14" i="75"/>
  <c r="H13" i="75"/>
  <c r="G13" i="75"/>
  <c r="H12" i="75"/>
  <c r="G12" i="75"/>
  <c r="H27" i="76"/>
  <c r="G27" i="76"/>
  <c r="H26" i="76"/>
  <c r="G26" i="76"/>
  <c r="H25" i="76"/>
  <c r="G25" i="76"/>
  <c r="H24" i="76"/>
  <c r="G24" i="76"/>
  <c r="H23" i="76"/>
  <c r="G23" i="76"/>
  <c r="H22" i="76"/>
  <c r="G22" i="76"/>
  <c r="H21" i="76"/>
  <c r="G21" i="76"/>
  <c r="H20" i="76"/>
  <c r="G20" i="76"/>
  <c r="H19" i="76"/>
  <c r="G19" i="76"/>
  <c r="H18" i="76"/>
  <c r="G18" i="76"/>
  <c r="H17" i="76"/>
  <c r="G17" i="76"/>
  <c r="H16" i="76"/>
  <c r="G16" i="76"/>
  <c r="H15" i="76"/>
  <c r="G15" i="76"/>
  <c r="H14" i="76"/>
  <c r="G14" i="76"/>
  <c r="H13" i="76"/>
  <c r="G13" i="76"/>
  <c r="H12" i="76"/>
  <c r="G12" i="76"/>
  <c r="H27" i="77"/>
  <c r="G27" i="77"/>
  <c r="H26" i="77"/>
  <c r="G26" i="77"/>
  <c r="H25" i="77"/>
  <c r="G25" i="77"/>
  <c r="H24" i="77"/>
  <c r="G24" i="77"/>
  <c r="H23" i="77"/>
  <c r="G23" i="77"/>
  <c r="H22" i="77"/>
  <c r="G22" i="77"/>
  <c r="H21" i="77"/>
  <c r="G21" i="77"/>
  <c r="H20" i="77"/>
  <c r="G20" i="77"/>
  <c r="H19" i="77"/>
  <c r="G19" i="77"/>
  <c r="H18" i="77"/>
  <c r="G18" i="77"/>
  <c r="H17" i="77"/>
  <c r="G17" i="77"/>
  <c r="H16" i="77"/>
  <c r="G16" i="77"/>
  <c r="H15" i="77"/>
  <c r="G15" i="77"/>
  <c r="H14" i="77"/>
  <c r="G14" i="77"/>
  <c r="H13" i="77"/>
  <c r="G13" i="77"/>
  <c r="H12" i="77"/>
  <c r="G12" i="77"/>
  <c r="H27" i="78"/>
  <c r="G27" i="78"/>
  <c r="H26" i="78"/>
  <c r="G26" i="78"/>
  <c r="H25" i="78"/>
  <c r="G25" i="78"/>
  <c r="H24" i="78"/>
  <c r="G24" i="78"/>
  <c r="H23" i="78"/>
  <c r="G23" i="78"/>
  <c r="H22" i="78"/>
  <c r="G22" i="78"/>
  <c r="H21" i="78"/>
  <c r="G21" i="78"/>
  <c r="H20" i="78"/>
  <c r="G20" i="78"/>
  <c r="H19" i="78"/>
  <c r="G19" i="78"/>
  <c r="H18" i="78"/>
  <c r="G18" i="78"/>
  <c r="H17" i="78"/>
  <c r="G17" i="78"/>
  <c r="H16" i="78"/>
  <c r="G16" i="78"/>
  <c r="H15" i="78"/>
  <c r="G15" i="78"/>
  <c r="H14" i="78"/>
  <c r="G14" i="78"/>
  <c r="H13" i="78"/>
  <c r="G13" i="78"/>
  <c r="H12" i="78"/>
  <c r="G12" i="78"/>
  <c r="H27" i="79"/>
  <c r="G27" i="79"/>
  <c r="H26" i="79"/>
  <c r="G26" i="79"/>
  <c r="H25" i="79"/>
  <c r="G25" i="79"/>
  <c r="H24" i="79"/>
  <c r="G24" i="79"/>
  <c r="H23" i="79"/>
  <c r="G23" i="79"/>
  <c r="H22" i="79"/>
  <c r="G22" i="79"/>
  <c r="H21" i="79"/>
  <c r="G21" i="79"/>
  <c r="H20" i="79"/>
  <c r="G20" i="79"/>
  <c r="H19" i="79"/>
  <c r="G19" i="79"/>
  <c r="H18" i="79"/>
  <c r="G18" i="79"/>
  <c r="H17" i="79"/>
  <c r="G17" i="79"/>
  <c r="H16" i="79"/>
  <c r="G16" i="79"/>
  <c r="H15" i="79"/>
  <c r="G15" i="79"/>
  <c r="H14" i="79"/>
  <c r="G14" i="79"/>
  <c r="H13" i="79"/>
  <c r="G13" i="79"/>
  <c r="H12" i="79"/>
  <c r="G12" i="79"/>
  <c r="H27" i="80"/>
  <c r="G27" i="80"/>
  <c r="H26" i="80"/>
  <c r="G26" i="80"/>
  <c r="H25" i="80"/>
  <c r="G25" i="80"/>
  <c r="H24" i="80"/>
  <c r="G24" i="80"/>
  <c r="H23" i="80"/>
  <c r="G23" i="80"/>
  <c r="H22" i="80"/>
  <c r="G22" i="80"/>
  <c r="H21" i="80"/>
  <c r="G21" i="80"/>
  <c r="H20" i="80"/>
  <c r="G20" i="80"/>
  <c r="H19" i="80"/>
  <c r="G19" i="80"/>
  <c r="H18" i="80"/>
  <c r="G18" i="80"/>
  <c r="H17" i="80"/>
  <c r="G17" i="80"/>
  <c r="H16" i="80"/>
  <c r="G16" i="80"/>
  <c r="H15" i="80"/>
  <c r="G15" i="80"/>
  <c r="H14" i="80"/>
  <c r="G14" i="80"/>
  <c r="H13" i="80"/>
  <c r="G13" i="80"/>
  <c r="H12" i="80"/>
  <c r="G12" i="80"/>
  <c r="H27" i="81"/>
  <c r="G27" i="81"/>
  <c r="H26" i="81"/>
  <c r="G26" i="81"/>
  <c r="H25" i="81"/>
  <c r="G25" i="81"/>
  <c r="H24" i="81"/>
  <c r="G24" i="81"/>
  <c r="H23" i="81"/>
  <c r="G23" i="81"/>
  <c r="H22" i="81"/>
  <c r="G22" i="81"/>
  <c r="H21" i="81"/>
  <c r="G21" i="81"/>
  <c r="H20" i="81"/>
  <c r="G20" i="81"/>
  <c r="H19" i="81"/>
  <c r="G19" i="81"/>
  <c r="H18" i="81"/>
  <c r="G18" i="81"/>
  <c r="H17" i="81"/>
  <c r="G17" i="81"/>
  <c r="H16" i="81"/>
  <c r="G16" i="81"/>
  <c r="H15" i="81"/>
  <c r="G15" i="81"/>
  <c r="H14" i="81"/>
  <c r="G14" i="81"/>
  <c r="H13" i="81"/>
  <c r="G13" i="81"/>
  <c r="H12" i="81"/>
  <c r="G12" i="81"/>
  <c r="H27" i="82"/>
  <c r="G27" i="82"/>
  <c r="H26" i="82"/>
  <c r="G26" i="82"/>
  <c r="H25" i="82"/>
  <c r="G25" i="82"/>
  <c r="H24" i="82"/>
  <c r="G24" i="82"/>
  <c r="H23" i="82"/>
  <c r="G23" i="82"/>
  <c r="H22" i="82"/>
  <c r="G22" i="82"/>
  <c r="H21" i="82"/>
  <c r="G21" i="82"/>
  <c r="H20" i="82"/>
  <c r="G20" i="82"/>
  <c r="H19" i="82"/>
  <c r="G19" i="82"/>
  <c r="H18" i="82"/>
  <c r="G18" i="82"/>
  <c r="H17" i="82"/>
  <c r="G17" i="82"/>
  <c r="H16" i="82"/>
  <c r="G16" i="82"/>
  <c r="H15" i="82"/>
  <c r="G15" i="82"/>
  <c r="H14" i="82"/>
  <c r="G14" i="82"/>
  <c r="H13" i="82"/>
  <c r="G13" i="82"/>
  <c r="H12" i="82"/>
  <c r="G12" i="82"/>
  <c r="H27" i="83"/>
  <c r="G27" i="83"/>
  <c r="H26" i="83"/>
  <c r="G26" i="83"/>
  <c r="H25" i="83"/>
  <c r="G25" i="83"/>
  <c r="H24" i="83"/>
  <c r="G24" i="83"/>
  <c r="H23" i="83"/>
  <c r="G23" i="83"/>
  <c r="H22" i="83"/>
  <c r="G22" i="83"/>
  <c r="H21" i="83"/>
  <c r="G21" i="83"/>
  <c r="H20" i="83"/>
  <c r="G20" i="83"/>
  <c r="H19" i="83"/>
  <c r="G19" i="83"/>
  <c r="H18" i="83"/>
  <c r="G18" i="83"/>
  <c r="H17" i="83"/>
  <c r="G17" i="83"/>
  <c r="H16" i="83"/>
  <c r="G16" i="83"/>
  <c r="H15" i="83"/>
  <c r="G15" i="83"/>
  <c r="H14" i="83"/>
  <c r="G14" i="83"/>
  <c r="H13" i="83"/>
  <c r="G13" i="83"/>
  <c r="H12" i="83"/>
  <c r="G12" i="83"/>
  <c r="H27" i="84"/>
  <c r="G27" i="84"/>
  <c r="H26" i="84"/>
  <c r="G26" i="84"/>
  <c r="H25" i="84"/>
  <c r="G25" i="84"/>
  <c r="H24" i="84"/>
  <c r="G24" i="84"/>
  <c r="H23" i="84"/>
  <c r="G23" i="84"/>
  <c r="H22" i="84"/>
  <c r="G22" i="84"/>
  <c r="H21" i="84"/>
  <c r="G21" i="84"/>
  <c r="H20" i="84"/>
  <c r="G20" i="84"/>
  <c r="H19" i="84"/>
  <c r="G19" i="84"/>
  <c r="H18" i="84"/>
  <c r="G18" i="84"/>
  <c r="H17" i="84"/>
  <c r="G17" i="84"/>
  <c r="H16" i="84"/>
  <c r="G16" i="84"/>
  <c r="H15" i="84"/>
  <c r="G15" i="84"/>
  <c r="H14" i="84"/>
  <c r="G14" i="84"/>
  <c r="H13" i="84"/>
  <c r="G13" i="84"/>
  <c r="H12" i="84"/>
  <c r="G12" i="84"/>
  <c r="H27" i="85"/>
  <c r="G27" i="85"/>
  <c r="H26" i="85"/>
  <c r="G26" i="85"/>
  <c r="H25" i="85"/>
  <c r="G25" i="85"/>
  <c r="H24" i="85"/>
  <c r="G24" i="85"/>
  <c r="H23" i="85"/>
  <c r="G23" i="85"/>
  <c r="H22" i="85"/>
  <c r="G22" i="85"/>
  <c r="H21" i="85"/>
  <c r="G21" i="85"/>
  <c r="H20" i="85"/>
  <c r="G20" i="85"/>
  <c r="H19" i="85"/>
  <c r="G19" i="85"/>
  <c r="H18" i="85"/>
  <c r="G18" i="85"/>
  <c r="H17" i="85"/>
  <c r="G17" i="85"/>
  <c r="H16" i="85"/>
  <c r="G16" i="85"/>
  <c r="H15" i="85"/>
  <c r="G15" i="85"/>
  <c r="H14" i="85"/>
  <c r="G14" i="85"/>
  <c r="H13" i="85"/>
  <c r="G13" i="85"/>
  <c r="H12" i="85"/>
  <c r="G12" i="85"/>
  <c r="H27" i="86"/>
  <c r="G27" i="86"/>
  <c r="H26" i="86"/>
  <c r="G26" i="86"/>
  <c r="H25" i="86"/>
  <c r="G25" i="86"/>
  <c r="H24" i="86"/>
  <c r="G24" i="86"/>
  <c r="H23" i="86"/>
  <c r="G23" i="86"/>
  <c r="H22" i="86"/>
  <c r="G22" i="86"/>
  <c r="H21" i="86"/>
  <c r="G21" i="86"/>
  <c r="H20" i="86"/>
  <c r="G20" i="86"/>
  <c r="H19" i="86"/>
  <c r="G19" i="86"/>
  <c r="H18" i="86"/>
  <c r="G18" i="86"/>
  <c r="H17" i="86"/>
  <c r="G17" i="86"/>
  <c r="H16" i="86"/>
  <c r="G16" i="86"/>
  <c r="H15" i="86"/>
  <c r="G15" i="86"/>
  <c r="H14" i="86"/>
  <c r="G14" i="86"/>
  <c r="H13" i="86"/>
  <c r="G13" i="86"/>
  <c r="H12" i="86"/>
  <c r="G12" i="86"/>
  <c r="H27" i="87"/>
  <c r="G27" i="87"/>
  <c r="H26" i="87"/>
  <c r="G26" i="87"/>
  <c r="H25" i="87"/>
  <c r="G25" i="87"/>
  <c r="H24" i="87"/>
  <c r="G24" i="87"/>
  <c r="H23" i="87"/>
  <c r="G23" i="87"/>
  <c r="H22" i="87"/>
  <c r="G22" i="87"/>
  <c r="H21" i="87"/>
  <c r="G21" i="87"/>
  <c r="H20" i="87"/>
  <c r="G20" i="87"/>
  <c r="H19" i="87"/>
  <c r="G19" i="87"/>
  <c r="H18" i="87"/>
  <c r="G18" i="87"/>
  <c r="H17" i="87"/>
  <c r="G17" i="87"/>
  <c r="H16" i="87"/>
  <c r="G16" i="87"/>
  <c r="H15" i="87"/>
  <c r="G15" i="87"/>
  <c r="H14" i="87"/>
  <c r="G14" i="87"/>
  <c r="H13" i="87"/>
  <c r="G13" i="87"/>
  <c r="H12" i="87"/>
  <c r="G12" i="87"/>
  <c r="H27" i="88"/>
  <c r="G27" i="88"/>
  <c r="H26" i="88"/>
  <c r="G26" i="88"/>
  <c r="H25" i="88"/>
  <c r="G25" i="88"/>
  <c r="H24" i="88"/>
  <c r="G24" i="88"/>
  <c r="H23" i="88"/>
  <c r="G23" i="88"/>
  <c r="H22" i="88"/>
  <c r="G22" i="88"/>
  <c r="H21" i="88"/>
  <c r="G21" i="88"/>
  <c r="H20" i="88"/>
  <c r="G20" i="88"/>
  <c r="H19" i="88"/>
  <c r="G19" i="88"/>
  <c r="H18" i="88"/>
  <c r="G18" i="88"/>
  <c r="H17" i="88"/>
  <c r="G17" i="88"/>
  <c r="H16" i="88"/>
  <c r="G16" i="88"/>
  <c r="H15" i="88"/>
  <c r="G15" i="88"/>
  <c r="H14" i="88"/>
  <c r="G14" i="88"/>
  <c r="H13" i="88"/>
  <c r="G13" i="88"/>
  <c r="H12" i="88"/>
  <c r="G12" i="88"/>
  <c r="H27" i="89"/>
  <c r="G27" i="89"/>
  <c r="H26" i="89"/>
  <c r="G26" i="89"/>
  <c r="H25" i="89"/>
  <c r="G25" i="89"/>
  <c r="H24" i="89"/>
  <c r="G24" i="89"/>
  <c r="H23" i="89"/>
  <c r="G23" i="89"/>
  <c r="H22" i="89"/>
  <c r="G22" i="89"/>
  <c r="H21" i="89"/>
  <c r="G21" i="89"/>
  <c r="H20" i="89"/>
  <c r="G20" i="89"/>
  <c r="H19" i="89"/>
  <c r="G19" i="89"/>
  <c r="H18" i="89"/>
  <c r="G18" i="89"/>
  <c r="H17" i="89"/>
  <c r="G17" i="89"/>
  <c r="H16" i="89"/>
  <c r="G16" i="89"/>
  <c r="H15" i="89"/>
  <c r="G15" i="89"/>
  <c r="H14" i="89"/>
  <c r="G14" i="89"/>
  <c r="H13" i="89"/>
  <c r="G13" i="89"/>
  <c r="H12" i="89"/>
  <c r="G12" i="89"/>
  <c r="H27" i="90"/>
  <c r="G27" i="90"/>
  <c r="H26" i="90"/>
  <c r="G26" i="90"/>
  <c r="H25" i="90"/>
  <c r="G25" i="90"/>
  <c r="H24" i="90"/>
  <c r="G24" i="90"/>
  <c r="H23" i="90"/>
  <c r="G23" i="90"/>
  <c r="H22" i="90"/>
  <c r="G22" i="90"/>
  <c r="H21" i="90"/>
  <c r="G21" i="90"/>
  <c r="H20" i="90"/>
  <c r="G20" i="90"/>
  <c r="H19" i="90"/>
  <c r="G19" i="90"/>
  <c r="H18" i="90"/>
  <c r="G18" i="90"/>
  <c r="H17" i="90"/>
  <c r="G17" i="90"/>
  <c r="H16" i="90"/>
  <c r="G16" i="90"/>
  <c r="H15" i="90"/>
  <c r="G15" i="90"/>
  <c r="H14" i="90"/>
  <c r="G14" i="90"/>
  <c r="H13" i="90"/>
  <c r="G13" i="90"/>
  <c r="H12" i="90"/>
  <c r="G12" i="90"/>
  <c r="H27" i="91"/>
  <c r="G27" i="91"/>
  <c r="H26" i="91"/>
  <c r="G26" i="91"/>
  <c r="H25" i="91"/>
  <c r="G25" i="91"/>
  <c r="H24" i="91"/>
  <c r="G24" i="91"/>
  <c r="H23" i="91"/>
  <c r="G23" i="91"/>
  <c r="H22" i="91"/>
  <c r="G22" i="91"/>
  <c r="H21" i="91"/>
  <c r="G21" i="91"/>
  <c r="H20" i="91"/>
  <c r="G20" i="91"/>
  <c r="H19" i="91"/>
  <c r="G19" i="91"/>
  <c r="H18" i="91"/>
  <c r="G18" i="91"/>
  <c r="H17" i="91"/>
  <c r="G17" i="91"/>
  <c r="H16" i="91"/>
  <c r="G16" i="91"/>
  <c r="H15" i="91"/>
  <c r="G15" i="91"/>
  <c r="H14" i="91"/>
  <c r="G14" i="91"/>
  <c r="H13" i="91"/>
  <c r="G13" i="91"/>
  <c r="H12" i="91"/>
  <c r="G12" i="91"/>
  <c r="H27" i="92"/>
  <c r="G27" i="92"/>
  <c r="H26" i="92"/>
  <c r="G26" i="92"/>
  <c r="H25" i="92"/>
  <c r="G25" i="92"/>
  <c r="H24" i="92"/>
  <c r="G24" i="92"/>
  <c r="H23" i="92"/>
  <c r="G23" i="92"/>
  <c r="H22" i="92"/>
  <c r="G22" i="92"/>
  <c r="H21" i="92"/>
  <c r="G21" i="92"/>
  <c r="H20" i="92"/>
  <c r="G20" i="92"/>
  <c r="H19" i="92"/>
  <c r="G19" i="92"/>
  <c r="H18" i="92"/>
  <c r="G18" i="92"/>
  <c r="H17" i="92"/>
  <c r="G17" i="92"/>
  <c r="H16" i="92"/>
  <c r="G16" i="92"/>
  <c r="H15" i="92"/>
  <c r="G15" i="92"/>
  <c r="H14" i="92"/>
  <c r="G14" i="92"/>
  <c r="H13" i="92"/>
  <c r="G13" i="92"/>
  <c r="H12" i="92"/>
  <c r="G12" i="92"/>
  <c r="H27" i="93"/>
  <c r="G27" i="93"/>
  <c r="H26" i="93"/>
  <c r="G26" i="93"/>
  <c r="H25" i="93"/>
  <c r="G25" i="93"/>
  <c r="H24" i="93"/>
  <c r="G24" i="93"/>
  <c r="H23" i="93"/>
  <c r="G23" i="93"/>
  <c r="H22" i="93"/>
  <c r="G22" i="93"/>
  <c r="H21" i="93"/>
  <c r="G21" i="93"/>
  <c r="H20" i="93"/>
  <c r="G20" i="93"/>
  <c r="H19" i="93"/>
  <c r="G19" i="93"/>
  <c r="H18" i="93"/>
  <c r="G18" i="93"/>
  <c r="H17" i="93"/>
  <c r="G17" i="93"/>
  <c r="H16" i="93"/>
  <c r="G16" i="93"/>
  <c r="H15" i="93"/>
  <c r="G15" i="93"/>
  <c r="H14" i="93"/>
  <c r="G14" i="93"/>
  <c r="H13" i="93"/>
  <c r="G13" i="93"/>
  <c r="H12" i="93"/>
  <c r="G12" i="93"/>
  <c r="H27" i="94"/>
  <c r="G27" i="94"/>
  <c r="H26" i="94"/>
  <c r="G26" i="94"/>
  <c r="H25" i="94"/>
  <c r="G25" i="94"/>
  <c r="H24" i="94"/>
  <c r="G24" i="94"/>
  <c r="H23" i="94"/>
  <c r="G23" i="94"/>
  <c r="H22" i="94"/>
  <c r="G22" i="94"/>
  <c r="H21" i="94"/>
  <c r="G21" i="94"/>
  <c r="H20" i="94"/>
  <c r="G20" i="94"/>
  <c r="H19" i="94"/>
  <c r="G19" i="94"/>
  <c r="H18" i="94"/>
  <c r="G18" i="94"/>
  <c r="H17" i="94"/>
  <c r="G17" i="94"/>
  <c r="H16" i="94"/>
  <c r="G16" i="94"/>
  <c r="H15" i="94"/>
  <c r="G15" i="94"/>
  <c r="H14" i="94"/>
  <c r="G14" i="94"/>
  <c r="H13" i="94"/>
  <c r="G13" i="94"/>
  <c r="H12" i="94"/>
  <c r="G12" i="94"/>
  <c r="H27" i="95"/>
  <c r="G27" i="95"/>
  <c r="H26" i="95"/>
  <c r="G26" i="95"/>
  <c r="H25" i="95"/>
  <c r="G25" i="95"/>
  <c r="H24" i="95"/>
  <c r="G24" i="95"/>
  <c r="H23" i="95"/>
  <c r="G23" i="95"/>
  <c r="H22" i="95"/>
  <c r="G22" i="95"/>
  <c r="H21" i="95"/>
  <c r="G21" i="95"/>
  <c r="H20" i="95"/>
  <c r="G20" i="95"/>
  <c r="H19" i="95"/>
  <c r="G19" i="95"/>
  <c r="H18" i="95"/>
  <c r="G18" i="95"/>
  <c r="H17" i="95"/>
  <c r="G17" i="95"/>
  <c r="H16" i="95"/>
  <c r="G16" i="95"/>
  <c r="H15" i="95"/>
  <c r="G15" i="95"/>
  <c r="H14" i="95"/>
  <c r="G14" i="95"/>
  <c r="H13" i="95"/>
  <c r="G13" i="95"/>
  <c r="H12" i="95"/>
  <c r="G12" i="95"/>
  <c r="H27" i="96"/>
  <c r="G27" i="96"/>
  <c r="H26" i="96"/>
  <c r="G26" i="96"/>
  <c r="H25" i="96"/>
  <c r="G25" i="96"/>
  <c r="H24" i="96"/>
  <c r="G24" i="96"/>
  <c r="H23" i="96"/>
  <c r="G23" i="96"/>
  <c r="H22" i="96"/>
  <c r="G22" i="96"/>
  <c r="H21" i="96"/>
  <c r="G21" i="96"/>
  <c r="H20" i="96"/>
  <c r="G20" i="96"/>
  <c r="H19" i="96"/>
  <c r="G19" i="96"/>
  <c r="H18" i="96"/>
  <c r="G18" i="96"/>
  <c r="H17" i="96"/>
  <c r="G17" i="96"/>
  <c r="H16" i="96"/>
  <c r="G16" i="96"/>
  <c r="H15" i="96"/>
  <c r="G15" i="96"/>
  <c r="H14" i="96"/>
  <c r="G14" i="96"/>
  <c r="H13" i="96"/>
  <c r="G13" i="96"/>
  <c r="H12" i="96"/>
  <c r="G12" i="96"/>
  <c r="H27" i="97"/>
  <c r="G27" i="97"/>
  <c r="H26" i="97"/>
  <c r="G26" i="97"/>
  <c r="H25" i="97"/>
  <c r="G25" i="97"/>
  <c r="H24" i="97"/>
  <c r="G24" i="97"/>
  <c r="H23" i="97"/>
  <c r="G23" i="97"/>
  <c r="H22" i="97"/>
  <c r="G22" i="97"/>
  <c r="H21" i="97"/>
  <c r="G21" i="97"/>
  <c r="H20" i="97"/>
  <c r="G20" i="97"/>
  <c r="H19" i="97"/>
  <c r="G19" i="97"/>
  <c r="H18" i="97"/>
  <c r="G18" i="97"/>
  <c r="H17" i="97"/>
  <c r="G17" i="97"/>
  <c r="H16" i="97"/>
  <c r="G16" i="97"/>
  <c r="H15" i="97"/>
  <c r="G15" i="97"/>
  <c r="H14" i="97"/>
  <c r="G14" i="97"/>
  <c r="H13" i="97"/>
  <c r="G13" i="97"/>
  <c r="H12" i="97"/>
  <c r="G12" i="97"/>
  <c r="H27" i="98"/>
  <c r="G27" i="98"/>
  <c r="H26" i="98"/>
  <c r="G26" i="98"/>
  <c r="H25" i="98"/>
  <c r="G25" i="98"/>
  <c r="H24" i="98"/>
  <c r="G24" i="98"/>
  <c r="H23" i="98"/>
  <c r="G23" i="98"/>
  <c r="H22" i="98"/>
  <c r="G22" i="98"/>
  <c r="H21" i="98"/>
  <c r="G21" i="98"/>
  <c r="H20" i="98"/>
  <c r="G20" i="98"/>
  <c r="H19" i="98"/>
  <c r="G19" i="98"/>
  <c r="H18" i="98"/>
  <c r="G18" i="98"/>
  <c r="H17" i="98"/>
  <c r="G17" i="98"/>
  <c r="H16" i="98"/>
  <c r="G16" i="98"/>
  <c r="H15" i="98"/>
  <c r="G15" i="98"/>
  <c r="H14" i="98"/>
  <c r="G14" i="98"/>
  <c r="H13" i="98"/>
  <c r="G13" i="98"/>
  <c r="H12" i="98"/>
  <c r="G12" i="98"/>
  <c r="H27" i="99"/>
  <c r="G27" i="99"/>
  <c r="H26" i="99"/>
  <c r="G26" i="99"/>
  <c r="H25" i="99"/>
  <c r="G25" i="99"/>
  <c r="H24" i="99"/>
  <c r="G24" i="99"/>
  <c r="H23" i="99"/>
  <c r="G23" i="99"/>
  <c r="H22" i="99"/>
  <c r="G22" i="99"/>
  <c r="H21" i="99"/>
  <c r="G21" i="99"/>
  <c r="H20" i="99"/>
  <c r="G20" i="99"/>
  <c r="H19" i="99"/>
  <c r="G19" i="99"/>
  <c r="H18" i="99"/>
  <c r="G18" i="99"/>
  <c r="H17" i="99"/>
  <c r="G17" i="99"/>
  <c r="H16" i="99"/>
  <c r="G16" i="99"/>
  <c r="H15" i="99"/>
  <c r="G15" i="99"/>
  <c r="H14" i="99"/>
  <c r="G14" i="99"/>
  <c r="H13" i="99"/>
  <c r="G13" i="99"/>
  <c r="H12" i="99"/>
  <c r="G12" i="99"/>
  <c r="H27" i="100"/>
  <c r="G27" i="100"/>
  <c r="H26" i="100"/>
  <c r="G26" i="100"/>
  <c r="H25" i="100"/>
  <c r="G25" i="100"/>
  <c r="H24" i="100"/>
  <c r="G24" i="100"/>
  <c r="H23" i="100"/>
  <c r="G23" i="100"/>
  <c r="H22" i="100"/>
  <c r="G22" i="100"/>
  <c r="H21" i="100"/>
  <c r="G21" i="100"/>
  <c r="H20" i="100"/>
  <c r="G20" i="100"/>
  <c r="H19" i="100"/>
  <c r="G19" i="100"/>
  <c r="H18" i="100"/>
  <c r="G18" i="100"/>
  <c r="H17" i="100"/>
  <c r="G17" i="100"/>
  <c r="H16" i="100"/>
  <c r="G16" i="100"/>
  <c r="H15" i="100"/>
  <c r="G15" i="100"/>
  <c r="H14" i="100"/>
  <c r="G14" i="100"/>
  <c r="H13" i="100"/>
  <c r="G13" i="100"/>
  <c r="H12" i="100"/>
  <c r="G12" i="100"/>
  <c r="H27" i="101"/>
  <c r="G27" i="101"/>
  <c r="H26" i="101"/>
  <c r="G26" i="101"/>
  <c r="H25" i="101"/>
  <c r="G25" i="101"/>
  <c r="H24" i="101"/>
  <c r="G24" i="101"/>
  <c r="H23" i="101"/>
  <c r="G23" i="101"/>
  <c r="H22" i="101"/>
  <c r="G22" i="101"/>
  <c r="H21" i="101"/>
  <c r="G21" i="101"/>
  <c r="H20" i="101"/>
  <c r="G20" i="101"/>
  <c r="H19" i="101"/>
  <c r="G19" i="101"/>
  <c r="H18" i="101"/>
  <c r="G18" i="101"/>
  <c r="H17" i="101"/>
  <c r="G17" i="101"/>
  <c r="H16" i="101"/>
  <c r="G16" i="101"/>
  <c r="H15" i="101"/>
  <c r="G15" i="101"/>
  <c r="H14" i="101"/>
  <c r="G14" i="101"/>
  <c r="H13" i="101"/>
  <c r="G13" i="101"/>
  <c r="H12" i="101"/>
  <c r="G12" i="101"/>
  <c r="H27" i="102"/>
  <c r="G27" i="102"/>
  <c r="H26" i="102"/>
  <c r="G26" i="102"/>
  <c r="H25" i="102"/>
  <c r="G25" i="102"/>
  <c r="H24" i="102"/>
  <c r="G24" i="102"/>
  <c r="H23" i="102"/>
  <c r="G23" i="102"/>
  <c r="H22" i="102"/>
  <c r="G22" i="102"/>
  <c r="H21" i="102"/>
  <c r="G21" i="102"/>
  <c r="H20" i="102"/>
  <c r="G20" i="102"/>
  <c r="H19" i="102"/>
  <c r="G19" i="102"/>
  <c r="H18" i="102"/>
  <c r="G18" i="102"/>
  <c r="H17" i="102"/>
  <c r="G17" i="102"/>
  <c r="H16" i="102"/>
  <c r="G16" i="102"/>
  <c r="H15" i="102"/>
  <c r="G15" i="102"/>
  <c r="H14" i="102"/>
  <c r="G14" i="102"/>
  <c r="H13" i="102"/>
  <c r="G13" i="102"/>
  <c r="H12" i="102"/>
  <c r="G12" i="102"/>
  <c r="H27" i="103"/>
  <c r="G27" i="103"/>
  <c r="H26" i="103"/>
  <c r="G26" i="103"/>
  <c r="H25" i="103"/>
  <c r="G25" i="103"/>
  <c r="H24" i="103"/>
  <c r="G24" i="103"/>
  <c r="H23" i="103"/>
  <c r="G23" i="103"/>
  <c r="H22" i="103"/>
  <c r="G22" i="103"/>
  <c r="H21" i="103"/>
  <c r="G21" i="103"/>
  <c r="H20" i="103"/>
  <c r="G20" i="103"/>
  <c r="H19" i="103"/>
  <c r="G19" i="103"/>
  <c r="H18" i="103"/>
  <c r="G18" i="103"/>
  <c r="H17" i="103"/>
  <c r="G17" i="103"/>
  <c r="H16" i="103"/>
  <c r="G16" i="103"/>
  <c r="H15" i="103"/>
  <c r="G15" i="103"/>
  <c r="H14" i="103"/>
  <c r="G14" i="103"/>
  <c r="H13" i="103"/>
  <c r="G13" i="103"/>
  <c r="H12" i="103"/>
  <c r="G12" i="103"/>
  <c r="H27" i="104"/>
  <c r="G27" i="104"/>
  <c r="H26" i="104"/>
  <c r="G26" i="104"/>
  <c r="H25" i="104"/>
  <c r="G25" i="104"/>
  <c r="H24" i="104"/>
  <c r="G24" i="104"/>
  <c r="H23" i="104"/>
  <c r="G23" i="104"/>
  <c r="H22" i="104"/>
  <c r="G22" i="104"/>
  <c r="H21" i="104"/>
  <c r="G21" i="104"/>
  <c r="H20" i="104"/>
  <c r="G20" i="104"/>
  <c r="H19" i="104"/>
  <c r="G19" i="104"/>
  <c r="H18" i="104"/>
  <c r="G18" i="104"/>
  <c r="H17" i="104"/>
  <c r="G17" i="104"/>
  <c r="H16" i="104"/>
  <c r="G16" i="104"/>
  <c r="H15" i="104"/>
  <c r="G15" i="104"/>
  <c r="H14" i="104"/>
  <c r="G14" i="104"/>
  <c r="H13" i="104"/>
  <c r="G13" i="104"/>
  <c r="H12" i="104"/>
  <c r="G12" i="104"/>
  <c r="H27" i="105"/>
  <c r="G27" i="105"/>
  <c r="H26" i="105"/>
  <c r="G26" i="105"/>
  <c r="H25" i="105"/>
  <c r="G25" i="105"/>
  <c r="H24" i="105"/>
  <c r="G24" i="105"/>
  <c r="H23" i="105"/>
  <c r="G23" i="105"/>
  <c r="H22" i="105"/>
  <c r="G22" i="105"/>
  <c r="H21" i="105"/>
  <c r="G21" i="105"/>
  <c r="H20" i="105"/>
  <c r="G20" i="105"/>
  <c r="H19" i="105"/>
  <c r="G19" i="105"/>
  <c r="H18" i="105"/>
  <c r="G18" i="105"/>
  <c r="H17" i="105"/>
  <c r="G17" i="105"/>
  <c r="H16" i="105"/>
  <c r="G16" i="105"/>
  <c r="H15" i="105"/>
  <c r="G15" i="105"/>
  <c r="H14" i="105"/>
  <c r="G14" i="105"/>
  <c r="H13" i="105"/>
  <c r="G13" i="105"/>
  <c r="H12" i="105"/>
  <c r="G12" i="105"/>
  <c r="H27" i="107"/>
  <c r="G27" i="107"/>
  <c r="H26" i="107"/>
  <c r="G26" i="107"/>
  <c r="H25" i="107"/>
  <c r="G25" i="107"/>
  <c r="H24" i="107"/>
  <c r="G24" i="107"/>
  <c r="H23" i="107"/>
  <c r="G23" i="107"/>
  <c r="H22" i="107"/>
  <c r="G22" i="107"/>
  <c r="H21" i="107"/>
  <c r="G21" i="107"/>
  <c r="H20" i="107"/>
  <c r="G20" i="107"/>
  <c r="H19" i="107"/>
  <c r="G19" i="107"/>
  <c r="H18" i="107"/>
  <c r="G18" i="107"/>
  <c r="H17" i="107"/>
  <c r="G17" i="107"/>
  <c r="H16" i="107"/>
  <c r="G16" i="107"/>
  <c r="H15" i="107"/>
  <c r="G15" i="107"/>
  <c r="H14" i="107"/>
  <c r="G14" i="107"/>
  <c r="H13" i="107"/>
  <c r="G13" i="107"/>
  <c r="H12" i="107"/>
  <c r="G12" i="107"/>
  <c r="I7" i="58"/>
  <c r="I6" i="58"/>
  <c r="X6" i="58" s="1"/>
  <c r="I7" i="59"/>
  <c r="I6" i="59"/>
  <c r="I7" i="60"/>
  <c r="I6" i="60"/>
  <c r="I7" i="61"/>
  <c r="I6" i="61"/>
  <c r="I7" i="62"/>
  <c r="I6" i="62"/>
  <c r="I7" i="63"/>
  <c r="I6" i="63"/>
  <c r="I7" i="64"/>
  <c r="I6" i="64"/>
  <c r="I7" i="65"/>
  <c r="I6" i="65"/>
  <c r="I7" i="66"/>
  <c r="I6" i="66"/>
  <c r="I7" i="67"/>
  <c r="I6" i="67"/>
  <c r="I7" i="68"/>
  <c r="I6" i="68"/>
  <c r="I7" i="108"/>
  <c r="I6" i="108"/>
  <c r="I7" i="69"/>
  <c r="I6" i="69"/>
  <c r="I7" i="70"/>
  <c r="I6" i="70"/>
  <c r="I7" i="71"/>
  <c r="I6" i="71"/>
  <c r="I7" i="72"/>
  <c r="I6" i="72"/>
  <c r="I7" i="73"/>
  <c r="I6" i="73"/>
  <c r="I7" i="74"/>
  <c r="I6" i="74"/>
  <c r="I7" i="75"/>
  <c r="I6" i="75"/>
  <c r="I7" i="76"/>
  <c r="I6" i="76"/>
  <c r="I7" i="77"/>
  <c r="I6" i="77"/>
  <c r="I7" i="78"/>
  <c r="I6" i="78"/>
  <c r="I7" i="79"/>
  <c r="I6" i="79"/>
  <c r="I7" i="80"/>
  <c r="I6" i="80"/>
  <c r="I7" i="81"/>
  <c r="I6" i="81"/>
  <c r="I7" i="82"/>
  <c r="I6" i="82"/>
  <c r="I7" i="83"/>
  <c r="I6" i="83"/>
  <c r="I7" i="84"/>
  <c r="I6" i="84"/>
  <c r="I7" i="85"/>
  <c r="I6" i="85"/>
  <c r="I7" i="86"/>
  <c r="I6" i="86"/>
  <c r="I7" i="87"/>
  <c r="I6" i="87"/>
  <c r="I7" i="88"/>
  <c r="I6" i="88"/>
  <c r="I7" i="89"/>
  <c r="I6" i="89"/>
  <c r="I7" i="90"/>
  <c r="I6" i="90"/>
  <c r="I7" i="91"/>
  <c r="I6" i="91"/>
  <c r="I7" i="92"/>
  <c r="I6" i="92"/>
  <c r="I7" i="93"/>
  <c r="I6" i="93"/>
  <c r="I7" i="94"/>
  <c r="I6" i="94"/>
  <c r="I7" i="95"/>
  <c r="I6" i="95"/>
  <c r="I7" i="96"/>
  <c r="I6" i="96"/>
  <c r="I7" i="97"/>
  <c r="I6" i="97"/>
  <c r="I7" i="98"/>
  <c r="I6" i="98"/>
  <c r="I7" i="99"/>
  <c r="I6" i="99"/>
  <c r="I7" i="100"/>
  <c r="I6" i="100"/>
  <c r="I7" i="101"/>
  <c r="I6" i="101"/>
  <c r="I7" i="102"/>
  <c r="I6" i="102"/>
  <c r="I7" i="103"/>
  <c r="I6" i="103"/>
  <c r="I7" i="104"/>
  <c r="I6" i="104"/>
  <c r="I7" i="105"/>
  <c r="I6" i="105"/>
  <c r="I7" i="107"/>
  <c r="I6" i="107"/>
  <c r="X6" i="107" s="1"/>
  <c r="E6" i="58"/>
  <c r="E6" i="59"/>
  <c r="E6" i="60"/>
  <c r="E6" i="61"/>
  <c r="E6" i="62"/>
  <c r="E6" i="63"/>
  <c r="E6" i="64"/>
  <c r="E6" i="65"/>
  <c r="E6" i="66"/>
  <c r="E6" i="67"/>
  <c r="E6" i="68"/>
  <c r="E6" i="108"/>
  <c r="E6" i="69"/>
  <c r="E6" i="70"/>
  <c r="E6" i="71"/>
  <c r="E6" i="72"/>
  <c r="E6" i="73"/>
  <c r="E6" i="74"/>
  <c r="E6" i="75"/>
  <c r="E6" i="76"/>
  <c r="E6" i="77"/>
  <c r="E6" i="78"/>
  <c r="E6" i="79"/>
  <c r="E6" i="80"/>
  <c r="E6" i="81"/>
  <c r="E6" i="82"/>
  <c r="E6" i="83"/>
  <c r="E6" i="84"/>
  <c r="E6" i="85"/>
  <c r="E6" i="86"/>
  <c r="E6" i="87"/>
  <c r="E6" i="88"/>
  <c r="E6" i="89"/>
  <c r="E6" i="90"/>
  <c r="E6" i="91"/>
  <c r="E6" i="92"/>
  <c r="E6" i="93"/>
  <c r="E6" i="94"/>
  <c r="E6" i="95"/>
  <c r="E6" i="96"/>
  <c r="E6" i="97"/>
  <c r="E6" i="98"/>
  <c r="E6" i="99"/>
  <c r="E6" i="100"/>
  <c r="E6" i="101"/>
  <c r="E6" i="102"/>
  <c r="E6" i="103"/>
  <c r="E6" i="104"/>
  <c r="E6" i="105"/>
  <c r="E6" i="107"/>
  <c r="H27" i="2"/>
  <c r="G27" i="2"/>
  <c r="H26" i="2"/>
  <c r="G26" i="2"/>
  <c r="H25" i="2"/>
  <c r="G25" i="2"/>
  <c r="H24" i="2"/>
  <c r="G24" i="2"/>
  <c r="H23" i="2"/>
  <c r="G23" i="2"/>
  <c r="H22" i="2"/>
  <c r="G22" i="2"/>
  <c r="H21" i="2"/>
  <c r="G21" i="2"/>
  <c r="H20" i="2"/>
  <c r="G20" i="2"/>
  <c r="H19" i="2"/>
  <c r="G19" i="2"/>
  <c r="H18" i="2"/>
  <c r="G18" i="2"/>
  <c r="H17" i="2"/>
  <c r="G17" i="2"/>
  <c r="H16" i="2"/>
  <c r="G16" i="2"/>
  <c r="H15" i="2"/>
  <c r="G15" i="2"/>
  <c r="H14" i="2"/>
  <c r="G14" i="2"/>
  <c r="H13" i="2"/>
  <c r="G13" i="2"/>
  <c r="G12" i="2"/>
  <c r="H12" i="2"/>
  <c r="I7" i="2"/>
  <c r="I6" i="2"/>
  <c r="X6" i="2" s="1"/>
  <c r="E6" i="2"/>
  <c r="D14" i="106"/>
  <c r="D47" i="106" s="1"/>
  <c r="Q73" i="57"/>
  <c r="M58" i="57"/>
  <c r="C45" i="2" l="1"/>
  <c r="C42" i="2"/>
  <c r="D42" i="2"/>
  <c r="D47" i="2"/>
  <c r="D41" i="2"/>
  <c r="C44" i="2"/>
  <c r="C43" i="2"/>
  <c r="D45" i="2"/>
  <c r="C48" i="2"/>
  <c r="D46" i="2"/>
  <c r="C49" i="2"/>
  <c r="D44" i="2"/>
  <c r="D62" i="56" s="1"/>
  <c r="C47" i="2"/>
  <c r="C65" i="56" s="1"/>
  <c r="C41" i="2"/>
  <c r="D49" i="2"/>
  <c r="D43" i="2"/>
  <c r="C46" i="2"/>
  <c r="D48" i="2"/>
  <c r="D66" i="56" s="1"/>
  <c r="C22" i="2"/>
  <c r="C21" i="2"/>
  <c r="C18" i="2"/>
  <c r="D24" i="2"/>
  <c r="D20" i="2"/>
  <c r="D22" i="2"/>
  <c r="C24" i="2"/>
  <c r="C23" i="2"/>
  <c r="D27" i="2"/>
  <c r="D26" i="2"/>
  <c r="C26" i="2"/>
  <c r="D12" i="2"/>
  <c r="D21" i="2"/>
  <c r="C14" i="2"/>
  <c r="C13" i="2"/>
  <c r="D25" i="2"/>
  <c r="C27" i="2"/>
  <c r="D19" i="2"/>
  <c r="D16" i="2"/>
  <c r="D23" i="2"/>
  <c r="C25" i="2"/>
  <c r="C16" i="2"/>
  <c r="C15" i="2"/>
  <c r="C12" i="2"/>
  <c r="D18" i="2"/>
  <c r="C20" i="2"/>
  <c r="D17" i="2"/>
  <c r="C19" i="2"/>
  <c r="D14" i="2"/>
  <c r="D13" i="2"/>
  <c r="D15" i="2"/>
  <c r="C17" i="2"/>
  <c r="C47" i="58"/>
  <c r="D47" i="58"/>
  <c r="D41" i="58"/>
  <c r="C44" i="58"/>
  <c r="C45" i="58"/>
  <c r="D44" i="58"/>
  <c r="D48" i="58"/>
  <c r="D46" i="58"/>
  <c r="C49" i="58"/>
  <c r="C43" i="58"/>
  <c r="C61" i="56" s="1"/>
  <c r="C42" i="58"/>
  <c r="C60" i="56" s="1"/>
  <c r="C41" i="58"/>
  <c r="D45" i="58"/>
  <c r="C48" i="58"/>
  <c r="D42" i="58"/>
  <c r="D49" i="58"/>
  <c r="D43" i="58"/>
  <c r="C46" i="58"/>
  <c r="D47" i="107"/>
  <c r="D65" i="56" s="1"/>
  <c r="D41" i="107"/>
  <c r="C44" i="107"/>
  <c r="C62" i="56" s="1"/>
  <c r="C41" i="107"/>
  <c r="D46" i="107"/>
  <c r="C49" i="107"/>
  <c r="C43" i="107"/>
  <c r="C42" i="107"/>
  <c r="D44" i="107"/>
  <c r="C47" i="107"/>
  <c r="D45" i="107"/>
  <c r="C48" i="107"/>
  <c r="D48" i="107"/>
  <c r="D49" i="107"/>
  <c r="D43" i="107"/>
  <c r="C46" i="107"/>
  <c r="D42" i="107"/>
  <c r="C45" i="107"/>
  <c r="C26" i="107"/>
  <c r="C14" i="107"/>
  <c r="C17" i="107"/>
  <c r="D25" i="107"/>
  <c r="D13" i="107"/>
  <c r="C25" i="107"/>
  <c r="C12" i="107"/>
  <c r="C22" i="107"/>
  <c r="D16" i="107"/>
  <c r="D27" i="107"/>
  <c r="C15" i="107"/>
  <c r="C13" i="107"/>
  <c r="C21" i="107"/>
  <c r="D20" i="107"/>
  <c r="D24" i="107"/>
  <c r="D12" i="107"/>
  <c r="C24" i="107"/>
  <c r="D23" i="107"/>
  <c r="C23" i="107"/>
  <c r="D19" i="107"/>
  <c r="D22" i="107"/>
  <c r="D21" i="107"/>
  <c r="C20" i="107"/>
  <c r="C16" i="107"/>
  <c r="D15" i="107"/>
  <c r="C27" i="107"/>
  <c r="D26" i="107"/>
  <c r="D14" i="107"/>
  <c r="C19" i="107"/>
  <c r="D18" i="107"/>
  <c r="C18" i="107"/>
  <c r="D17" i="107"/>
  <c r="C19" i="58"/>
  <c r="C21" i="58"/>
  <c r="D18" i="58"/>
  <c r="C16" i="58"/>
  <c r="C15" i="58"/>
  <c r="D25" i="58"/>
  <c r="D21" i="58"/>
  <c r="C18" i="58"/>
  <c r="C17" i="58"/>
  <c r="D26" i="58"/>
  <c r="D13" i="58"/>
  <c r="D17" i="58"/>
  <c r="C27" i="58"/>
  <c r="D14" i="58"/>
  <c r="C13" i="58"/>
  <c r="D20" i="58"/>
  <c r="D16" i="58"/>
  <c r="D27" i="58"/>
  <c r="D15" i="58"/>
  <c r="C25" i="58"/>
  <c r="C23" i="58"/>
  <c r="C26" i="58"/>
  <c r="C14" i="58"/>
  <c r="C22" i="58"/>
  <c r="D24" i="58"/>
  <c r="D12" i="58"/>
  <c r="D14" i="56" s="1"/>
  <c r="C24" i="58"/>
  <c r="D23" i="58"/>
  <c r="D19" i="58"/>
  <c r="C12" i="58"/>
  <c r="C20" i="58"/>
  <c r="D22" i="58"/>
  <c r="Y78" i="61"/>
  <c r="D17" i="56" l="1"/>
  <c r="C15" i="56"/>
  <c r="C66" i="56"/>
  <c r="D60" i="56"/>
  <c r="C67" i="56"/>
  <c r="D61" i="56"/>
  <c r="D67" i="56"/>
  <c r="C64" i="56"/>
  <c r="D63" i="56"/>
  <c r="C63" i="56"/>
  <c r="D64" i="56"/>
  <c r="D18" i="56"/>
  <c r="D15" i="56"/>
  <c r="C14" i="56"/>
  <c r="D19" i="56"/>
  <c r="D16" i="56"/>
  <c r="C17" i="56"/>
  <c r="C19" i="56"/>
  <c r="C16" i="56"/>
  <c r="C18" i="56"/>
  <c r="C50" i="58"/>
  <c r="C59" i="56"/>
  <c r="D50" i="58"/>
  <c r="D59" i="56"/>
  <c r="E98" i="67"/>
  <c r="E98" i="66"/>
  <c r="C28" i="111" l="1"/>
  <c r="D28" i="111"/>
  <c r="E17" i="111" s="1"/>
  <c r="I17" i="111" s="1"/>
  <c r="J17" i="111" s="1"/>
  <c r="E22" i="111"/>
  <c r="I22" i="111" s="1"/>
  <c r="J22" i="111" s="1"/>
  <c r="E24" i="111"/>
  <c r="I24" i="111" s="1"/>
  <c r="J24" i="111" s="1"/>
  <c r="E15" i="111"/>
  <c r="I15" i="111" s="1"/>
  <c r="J15" i="111" s="1"/>
  <c r="E16" i="111"/>
  <c r="I16" i="111" s="1"/>
  <c r="E18" i="111"/>
  <c r="I18" i="111" s="1"/>
  <c r="J18" i="111" s="1"/>
  <c r="E13" i="111"/>
  <c r="I13" i="111" s="1"/>
  <c r="J13" i="111" s="1"/>
  <c r="E25" i="111"/>
  <c r="I25" i="111" s="1"/>
  <c r="J25" i="111" s="1"/>
  <c r="D28" i="70"/>
  <c r="C28" i="64"/>
  <c r="C28" i="67"/>
  <c r="D28" i="60"/>
  <c r="C28" i="104"/>
  <c r="C28" i="62"/>
  <c r="D28" i="96"/>
  <c r="C28" i="93"/>
  <c r="C28" i="96"/>
  <c r="D28" i="104"/>
  <c r="D28" i="83"/>
  <c r="C28" i="83"/>
  <c r="C28" i="100"/>
  <c r="D28" i="75"/>
  <c r="C28" i="60"/>
  <c r="C28" i="74"/>
  <c r="D28" i="86"/>
  <c r="D28" i="105"/>
  <c r="D28" i="100"/>
  <c r="C28" i="102"/>
  <c r="D28" i="66"/>
  <c r="C28" i="66"/>
  <c r="C28" i="78"/>
  <c r="D28" i="80"/>
  <c r="C28" i="107"/>
  <c r="D28" i="108"/>
  <c r="C28" i="95"/>
  <c r="D28" i="107"/>
  <c r="C28" i="89"/>
  <c r="D28" i="82"/>
  <c r="C28" i="88"/>
  <c r="D28" i="97"/>
  <c r="D28" i="68"/>
  <c r="C28" i="86"/>
  <c r="C28" i="77"/>
  <c r="C28" i="108"/>
  <c r="D28" i="65"/>
  <c r="C28" i="82"/>
  <c r="D28" i="88"/>
  <c r="C28" i="103"/>
  <c r="D28" i="90"/>
  <c r="D28" i="72"/>
  <c r="C28" i="80"/>
  <c r="C28" i="63"/>
  <c r="C28" i="75"/>
  <c r="D28" i="63"/>
  <c r="C28" i="59"/>
  <c r="D28" i="89"/>
  <c r="C28" i="90"/>
  <c r="D28" i="103"/>
  <c r="C28" i="97"/>
  <c r="C28" i="99"/>
  <c r="C28" i="94"/>
  <c r="C28" i="69"/>
  <c r="C28" i="101"/>
  <c r="D28" i="98"/>
  <c r="D28" i="87"/>
  <c r="D28" i="64"/>
  <c r="D28" i="84"/>
  <c r="C28" i="105"/>
  <c r="D28" i="102"/>
  <c r="C28" i="98"/>
  <c r="D28" i="73"/>
  <c r="C28" i="70"/>
  <c r="D28" i="81"/>
  <c r="C28" i="71"/>
  <c r="D28" i="93"/>
  <c r="C28" i="87"/>
  <c r="D28" i="91"/>
  <c r="C28" i="84"/>
  <c r="D28" i="67"/>
  <c r="D28" i="85"/>
  <c r="D28" i="62"/>
  <c r="D28" i="76"/>
  <c r="D28" i="59"/>
  <c r="C28" i="91"/>
  <c r="D28" i="99"/>
  <c r="C28" i="81"/>
  <c r="C28" i="79"/>
  <c r="D28" i="101"/>
  <c r="C28" i="92"/>
  <c r="D28" i="61"/>
  <c r="C28" i="85"/>
  <c r="C28" i="68"/>
  <c r="D28" i="77"/>
  <c r="E26" i="77" s="1"/>
  <c r="D28" i="78"/>
  <c r="D28" i="95"/>
  <c r="C28" i="76"/>
  <c r="D28" i="79"/>
  <c r="D28" i="74"/>
  <c r="C28" i="73"/>
  <c r="C28" i="72"/>
  <c r="D28" i="94"/>
  <c r="D28" i="69"/>
  <c r="D28" i="71"/>
  <c r="C28" i="65"/>
  <c r="D28" i="92"/>
  <c r="C28" i="61"/>
  <c r="E26" i="111" l="1"/>
  <c r="I26" i="111" s="1"/>
  <c r="J26" i="111" s="1"/>
  <c r="E20" i="111"/>
  <c r="I20" i="111" s="1"/>
  <c r="J20" i="111" s="1"/>
  <c r="E23" i="111"/>
  <c r="I23" i="111" s="1"/>
  <c r="J23" i="111" s="1"/>
  <c r="E21" i="111"/>
  <c r="I21" i="111" s="1"/>
  <c r="J21" i="111" s="1"/>
  <c r="E14" i="111"/>
  <c r="I14" i="111" s="1"/>
  <c r="E27" i="111"/>
  <c r="I27" i="111" s="1"/>
  <c r="J27" i="111" s="1"/>
  <c r="E19" i="111"/>
  <c r="I19" i="111" s="1"/>
  <c r="J19" i="111" s="1"/>
  <c r="E12" i="111"/>
  <c r="D29" i="56"/>
  <c r="C29" i="56"/>
  <c r="J16" i="111"/>
  <c r="J14" i="111"/>
  <c r="K58" i="57"/>
  <c r="V32" i="101"/>
  <c r="T55" i="100"/>
  <c r="B91" i="111" l="1"/>
  <c r="I91" i="111" s="1"/>
  <c r="B92" i="111"/>
  <c r="I92" i="111" s="1"/>
  <c r="E28" i="111"/>
  <c r="E59" i="111" s="1"/>
  <c r="I60" i="111" s="1"/>
  <c r="I72" i="111" s="1"/>
  <c r="J72" i="111" s="1"/>
  <c r="I12" i="111"/>
  <c r="J12" i="111" s="1"/>
  <c r="J28" i="111" s="1"/>
  <c r="E62" i="111"/>
  <c r="I63" i="111" s="1"/>
  <c r="I68" i="111" s="1"/>
  <c r="J68" i="111" s="1"/>
  <c r="E53" i="111"/>
  <c r="I54" i="111" s="1"/>
  <c r="E65" i="111"/>
  <c r="I66" i="111" s="1"/>
  <c r="I71" i="111" s="1"/>
  <c r="J71" i="111" s="1"/>
  <c r="T97" i="62"/>
  <c r="E98" i="62"/>
  <c r="T97" i="68"/>
  <c r="T97" i="67"/>
  <c r="T97" i="66"/>
  <c r="J33" i="111" l="1"/>
  <c r="G37" i="111"/>
  <c r="J37" i="111" s="1"/>
  <c r="G36" i="111"/>
  <c r="J36" i="111" s="1"/>
  <c r="J38" i="111" s="1"/>
  <c r="I28" i="111"/>
  <c r="G33" i="111" s="1"/>
  <c r="E56" i="111" s="1"/>
  <c r="I57" i="111" s="1"/>
  <c r="I85" i="111" s="1"/>
  <c r="J85" i="111" s="1"/>
  <c r="B90" i="111"/>
  <c r="I90" i="111" s="1"/>
  <c r="J93" i="111" s="1"/>
  <c r="I87" i="111"/>
  <c r="J87" i="111" s="1"/>
  <c r="I70" i="111"/>
  <c r="J70" i="111" s="1"/>
  <c r="J114" i="111"/>
  <c r="K57" i="54" s="1"/>
  <c r="F457" i="106"/>
  <c r="E59" i="54"/>
  <c r="D59" i="54"/>
  <c r="B93" i="111" l="1"/>
  <c r="I86" i="111"/>
  <c r="J86" i="111" s="1"/>
  <c r="J107" i="111" s="1"/>
  <c r="J109" i="111" l="1"/>
  <c r="I57" i="54"/>
  <c r="F57" i="54" s="1"/>
  <c r="J116" i="111"/>
  <c r="J120" i="111" s="1"/>
  <c r="T50" i="2"/>
  <c r="J58" i="57"/>
  <c r="J124" i="111" l="1"/>
  <c r="L57" i="54"/>
  <c r="I114" i="111"/>
  <c r="J126" i="111" s="1"/>
  <c r="J57" i="54"/>
  <c r="G57" i="54" s="1"/>
  <c r="J118" i="2"/>
  <c r="F465" i="106"/>
  <c r="M57" i="54" l="1"/>
  <c r="G32" i="2"/>
  <c r="J118" i="108"/>
  <c r="Q86" i="57"/>
  <c r="K455" i="106" l="1"/>
  <c r="I58" i="57"/>
  <c r="R119" i="57" l="1"/>
  <c r="H58" i="57"/>
  <c r="Q74" i="57" l="1"/>
  <c r="J118" i="107" s="1"/>
  <c r="V86" i="85" l="1"/>
  <c r="T12" i="77"/>
  <c r="Y19" i="54" l="1"/>
  <c r="X19" i="54"/>
  <c r="D119" i="106"/>
  <c r="D8" i="106"/>
  <c r="Y7" i="54"/>
  <c r="X7" i="54"/>
  <c r="Y104" i="108"/>
  <c r="V103" i="108"/>
  <c r="J104" i="108"/>
  <c r="G103" i="108"/>
  <c r="J98" i="108"/>
  <c r="E98" i="108"/>
  <c r="T97" i="108"/>
  <c r="J97" i="108"/>
  <c r="T96" i="108"/>
  <c r="T92" i="108"/>
  <c r="V92" i="108"/>
  <c r="T91" i="108"/>
  <c r="V91" i="108"/>
  <c r="T90" i="108"/>
  <c r="V90" i="108"/>
  <c r="V85" i="108"/>
  <c r="V83" i="108"/>
  <c r="I84" i="108"/>
  <c r="J81" i="108"/>
  <c r="Y80" i="108"/>
  <c r="V71" i="108"/>
  <c r="V70" i="108"/>
  <c r="V67" i="108"/>
  <c r="X64" i="108"/>
  <c r="X61" i="108"/>
  <c r="X58" i="108"/>
  <c r="X55" i="108"/>
  <c r="X52" i="108"/>
  <c r="T50" i="108"/>
  <c r="Y49" i="108"/>
  <c r="E49" i="108"/>
  <c r="Y48" i="108"/>
  <c r="E48" i="108"/>
  <c r="Y47" i="108"/>
  <c r="E47" i="108"/>
  <c r="E46" i="108"/>
  <c r="Y45" i="108"/>
  <c r="E45" i="108"/>
  <c r="Y44" i="108"/>
  <c r="E44" i="108"/>
  <c r="Y43" i="108"/>
  <c r="E43" i="108"/>
  <c r="E42" i="108"/>
  <c r="Y41" i="108"/>
  <c r="E41" i="108"/>
  <c r="G32" i="108"/>
  <c r="V32" i="108"/>
  <c r="E23" i="108"/>
  <c r="T6" i="108"/>
  <c r="R2" i="108"/>
  <c r="G103" i="107"/>
  <c r="X97" i="107"/>
  <c r="E98" i="107"/>
  <c r="T97" i="107"/>
  <c r="T96" i="107"/>
  <c r="T92" i="107"/>
  <c r="V92" i="107"/>
  <c r="T91" i="107"/>
  <c r="V91" i="107"/>
  <c r="T90" i="107"/>
  <c r="V90" i="107"/>
  <c r="V87" i="107"/>
  <c r="V86" i="107"/>
  <c r="V85" i="107"/>
  <c r="V83" i="107"/>
  <c r="Y81" i="107"/>
  <c r="X83" i="107" s="1"/>
  <c r="J81" i="107"/>
  <c r="Y80" i="107"/>
  <c r="V71" i="107"/>
  <c r="V67" i="107"/>
  <c r="X64" i="107"/>
  <c r="X61" i="107"/>
  <c r="X58" i="107"/>
  <c r="X55" i="107"/>
  <c r="X52" i="107"/>
  <c r="T50" i="107"/>
  <c r="D50" i="107"/>
  <c r="E46" i="107" s="1"/>
  <c r="C50" i="107"/>
  <c r="Y49" i="107"/>
  <c r="Y48" i="107"/>
  <c r="Y47" i="107"/>
  <c r="Y46" i="107"/>
  <c r="Y45" i="107"/>
  <c r="Y44" i="107"/>
  <c r="Y43" i="107"/>
  <c r="Y42" i="107"/>
  <c r="Y41" i="107"/>
  <c r="G32" i="107"/>
  <c r="V32" i="107"/>
  <c r="E24" i="107"/>
  <c r="T6" i="107"/>
  <c r="D90" i="107"/>
  <c r="R2" i="107"/>
  <c r="J81" i="105"/>
  <c r="J81" i="104"/>
  <c r="J81" i="103"/>
  <c r="J81" i="89"/>
  <c r="J81" i="88"/>
  <c r="J81" i="85"/>
  <c r="J81" i="82"/>
  <c r="J81" i="81"/>
  <c r="J81" i="79"/>
  <c r="J81" i="77"/>
  <c r="J81" i="74"/>
  <c r="Y97" i="107" l="1"/>
  <c r="E48" i="107"/>
  <c r="E49" i="107"/>
  <c r="J49" i="107" s="1"/>
  <c r="E43" i="107"/>
  <c r="E44" i="107"/>
  <c r="J44" i="107" s="1"/>
  <c r="E41" i="107"/>
  <c r="J41" i="107" s="1"/>
  <c r="E42" i="107"/>
  <c r="J42" i="107" s="1"/>
  <c r="E45" i="107"/>
  <c r="J45" i="107" s="1"/>
  <c r="E47" i="107"/>
  <c r="J47" i="107" s="1"/>
  <c r="J97" i="107"/>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Y46" i="108"/>
  <c r="X96" i="107"/>
  <c r="Y96" i="107" s="1"/>
  <c r="X96" i="108"/>
  <c r="Y96" i="108" s="1"/>
  <c r="J44" i="108"/>
  <c r="J48" i="107"/>
  <c r="J48" i="108"/>
  <c r="J47" i="108"/>
  <c r="J41" i="108"/>
  <c r="Y42" i="108"/>
  <c r="J43" i="108"/>
  <c r="J102" i="108"/>
  <c r="J43" i="107"/>
  <c r="D90" i="108"/>
  <c r="J45" i="108"/>
  <c r="J49" i="108"/>
  <c r="J46" i="107"/>
  <c r="D92" i="107"/>
  <c r="I84" i="107"/>
  <c r="J84" i="107" s="1"/>
  <c r="J102" i="107"/>
  <c r="D92" i="108"/>
  <c r="E50" i="108"/>
  <c r="P19" i="54" s="1"/>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V103" i="107"/>
  <c r="Y103" i="107" s="1"/>
  <c r="J103" i="107"/>
  <c r="E20" i="107"/>
  <c r="E25" i="107"/>
  <c r="E14" i="107"/>
  <c r="J98" i="107"/>
  <c r="T15" i="107"/>
  <c r="X15" i="107" s="1"/>
  <c r="Y15" i="107" s="1"/>
  <c r="V70" i="107"/>
  <c r="J104" i="107"/>
  <c r="J31" i="107"/>
  <c r="D91" i="107"/>
  <c r="E19" i="107"/>
  <c r="E23" i="107"/>
  <c r="E13" i="107"/>
  <c r="E26" i="107"/>
  <c r="E16" i="107"/>
  <c r="E22" i="107"/>
  <c r="E12" i="107"/>
  <c r="E18" i="107"/>
  <c r="E27" i="107"/>
  <c r="E50" i="107" l="1"/>
  <c r="P7" i="54" s="1"/>
  <c r="I12" i="108"/>
  <c r="J12" i="108" s="1"/>
  <c r="I18" i="108"/>
  <c r="J18" i="108" s="1"/>
  <c r="I21" i="108"/>
  <c r="J21" i="108" s="1"/>
  <c r="I19" i="108"/>
  <c r="J19" i="108" s="1"/>
  <c r="I22" i="108"/>
  <c r="J22" i="108" s="1"/>
  <c r="I17" i="107"/>
  <c r="J17" i="107" s="1"/>
  <c r="Y50" i="108"/>
  <c r="J32" i="108"/>
  <c r="J105" i="107"/>
  <c r="J50" i="108"/>
  <c r="J50" i="107"/>
  <c r="J105" i="108"/>
  <c r="Y105" i="108"/>
  <c r="E28"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Y104" i="107"/>
  <c r="T27" i="107"/>
  <c r="X27" i="107" s="1"/>
  <c r="Y27" i="107" s="1"/>
  <c r="I27" i="107"/>
  <c r="J27" i="107" s="1"/>
  <c r="T18" i="107"/>
  <c r="X18" i="107" s="1"/>
  <c r="Y18" i="107" s="1"/>
  <c r="I18" i="107"/>
  <c r="J18" i="107" s="1"/>
  <c r="I14" i="107"/>
  <c r="T14" i="107"/>
  <c r="X14" i="107" s="1"/>
  <c r="T12" i="107"/>
  <c r="I12" i="107"/>
  <c r="E28" i="107"/>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D446" i="106"/>
  <c r="D437" i="106"/>
  <c r="D427" i="106"/>
  <c r="D419" i="106"/>
  <c r="D410" i="106"/>
  <c r="D400" i="106"/>
  <c r="D390" i="106"/>
  <c r="D381" i="106"/>
  <c r="G374" i="106"/>
  <c r="D374" i="106"/>
  <c r="D365" i="106"/>
  <c r="D356" i="106"/>
  <c r="D349" i="106"/>
  <c r="D338" i="106"/>
  <c r="D328" i="106"/>
  <c r="D318" i="106"/>
  <c r="D309" i="106"/>
  <c r="D300" i="106"/>
  <c r="D292" i="106"/>
  <c r="D282" i="106"/>
  <c r="D273" i="106"/>
  <c r="D265" i="106"/>
  <c r="D257" i="106"/>
  <c r="D247" i="106"/>
  <c r="D237" i="106"/>
  <c r="D228" i="106"/>
  <c r="D218" i="106"/>
  <c r="D207" i="106"/>
  <c r="D199" i="106"/>
  <c r="D188" i="106"/>
  <c r="D180" i="106"/>
  <c r="D173" i="106"/>
  <c r="D165" i="106"/>
  <c r="D157" i="106"/>
  <c r="D147" i="106"/>
  <c r="D138" i="106"/>
  <c r="D129" i="106"/>
  <c r="A173" i="106"/>
  <c r="A180" i="106" s="1"/>
  <c r="A188" i="106" s="1"/>
  <c r="A199" i="106" s="1"/>
  <c r="A207" i="106" s="1"/>
  <c r="A218" i="106" s="1"/>
  <c r="A228" i="106" s="1"/>
  <c r="A237" i="106" s="1"/>
  <c r="A247" i="106" s="1"/>
  <c r="D120" i="106"/>
  <c r="D112" i="106"/>
  <c r="D104" i="106"/>
  <c r="D95" i="106"/>
  <c r="D84" i="106"/>
  <c r="D74" i="106"/>
  <c r="D66" i="106"/>
  <c r="D54" i="106"/>
  <c r="L34" i="106"/>
  <c r="D29" i="106"/>
  <c r="A29" i="106"/>
  <c r="A47" i="106" s="1"/>
  <c r="A54" i="106" s="1"/>
  <c r="A66" i="106" s="1"/>
  <c r="A74" i="106" s="1"/>
  <c r="A84" i="106" s="1"/>
  <c r="A95" i="106" s="1"/>
  <c r="A104" i="106" s="1"/>
  <c r="A112" i="106" s="1"/>
  <c r="D10" i="106"/>
  <c r="O7" i="54" l="1"/>
  <c r="Q7" i="54" s="1"/>
  <c r="E65" i="107"/>
  <c r="I66" i="107" s="1"/>
  <c r="E53" i="107"/>
  <c r="I54" i="107" s="1"/>
  <c r="E59" i="107"/>
  <c r="I60" i="107" s="1"/>
  <c r="E62" i="107"/>
  <c r="I63" i="107" s="1"/>
  <c r="I68" i="107" s="1"/>
  <c r="J68" i="107" s="1"/>
  <c r="O19" i="54"/>
  <c r="Q19" i="54" s="1"/>
  <c r="E65" i="108"/>
  <c r="I66" i="108" s="1"/>
  <c r="E62" i="108"/>
  <c r="I63" i="108" s="1"/>
  <c r="E53" i="108"/>
  <c r="I54" i="108" s="1"/>
  <c r="E59" i="108"/>
  <c r="I60" i="108" s="1"/>
  <c r="F485" i="106"/>
  <c r="G485" i="106" s="1"/>
  <c r="A265" i="106"/>
  <c r="A273" i="106" s="1"/>
  <c r="A282" i="106" s="1"/>
  <c r="F477" i="106"/>
  <c r="G477" i="106" s="1"/>
  <c r="I68" i="108"/>
  <c r="J68" i="108" s="1"/>
  <c r="I70" i="108"/>
  <c r="I71" i="108"/>
  <c r="J71" i="108" s="1"/>
  <c r="I72" i="108"/>
  <c r="J72" i="108" s="1"/>
  <c r="S91" i="108"/>
  <c r="X91" i="108" s="1"/>
  <c r="Y105" i="107"/>
  <c r="X13" i="108"/>
  <c r="T28" i="108"/>
  <c r="I28" i="108"/>
  <c r="J15" i="108"/>
  <c r="B91" i="108"/>
  <c r="I91" i="108" s="1"/>
  <c r="J16" i="108"/>
  <c r="B92" i="108"/>
  <c r="I92" i="108" s="1"/>
  <c r="B90" i="108"/>
  <c r="Y16" i="108"/>
  <c r="S92" i="108"/>
  <c r="X92" i="108" s="1"/>
  <c r="Y16" i="107"/>
  <c r="S92" i="107"/>
  <c r="X92" i="107" s="1"/>
  <c r="I72" i="107"/>
  <c r="J72" i="107" s="1"/>
  <c r="I71" i="107"/>
  <c r="J71" i="107" s="1"/>
  <c r="J12" i="107"/>
  <c r="I28" i="107"/>
  <c r="B90" i="107"/>
  <c r="X12" i="107"/>
  <c r="T28" i="107"/>
  <c r="S91" i="107"/>
  <c r="X91" i="107" s="1"/>
  <c r="Y14" i="107"/>
  <c r="B91" i="107"/>
  <c r="I91" i="107" s="1"/>
  <c r="J14" i="107"/>
  <c r="J16" i="107"/>
  <c r="B92" i="107"/>
  <c r="I92" i="107" s="1"/>
  <c r="F469" i="106"/>
  <c r="G469" i="106" s="1"/>
  <c r="F471" i="106"/>
  <c r="G471" i="106" s="1"/>
  <c r="F481" i="106"/>
  <c r="G481" i="106" s="1"/>
  <c r="F483" i="106"/>
  <c r="G483" i="106" s="1"/>
  <c r="G465" i="106"/>
  <c r="F466" i="106"/>
  <c r="G466" i="106" s="1"/>
  <c r="F468" i="106"/>
  <c r="G468" i="106" s="1"/>
  <c r="F470" i="106"/>
  <c r="G470" i="106" s="1"/>
  <c r="F472" i="106"/>
  <c r="G472" i="106" s="1"/>
  <c r="F474" i="106"/>
  <c r="G474" i="106" s="1"/>
  <c r="F476" i="106"/>
  <c r="G476" i="106" s="1"/>
  <c r="F478" i="106"/>
  <c r="G478" i="106" s="1"/>
  <c r="F480" i="106"/>
  <c r="G480" i="106" s="1"/>
  <c r="F482" i="106"/>
  <c r="G482" i="106" s="1"/>
  <c r="F484" i="106"/>
  <c r="G484" i="106" s="1"/>
  <c r="F486" i="106"/>
  <c r="G486" i="106" s="1"/>
  <c r="F467" i="106"/>
  <c r="G467" i="106" s="1"/>
  <c r="F473" i="106"/>
  <c r="G473" i="106" s="1"/>
  <c r="F475" i="106"/>
  <c r="G475" i="106" s="1"/>
  <c r="F479" i="106"/>
  <c r="G479" i="106" s="1"/>
  <c r="G33" i="107" l="1"/>
  <c r="E56" i="107"/>
  <c r="I57" i="107" s="1"/>
  <c r="G33" i="108"/>
  <c r="E56" i="108"/>
  <c r="I57" i="108" s="1"/>
  <c r="A300" i="106"/>
  <c r="A309" i="106" s="1"/>
  <c r="I85" i="107"/>
  <c r="J85" i="107" s="1"/>
  <c r="T55" i="107"/>
  <c r="J28" i="107"/>
  <c r="J28" i="108"/>
  <c r="I87" i="108"/>
  <c r="J87" i="108" s="1"/>
  <c r="T64" i="108"/>
  <c r="X65" i="108" s="1"/>
  <c r="X70" i="108" s="1"/>
  <c r="Y70" i="108" s="1"/>
  <c r="T52" i="108"/>
  <c r="X53" i="108" s="1"/>
  <c r="T58" i="108"/>
  <c r="X59" i="108" s="1"/>
  <c r="X71" i="108" s="1"/>
  <c r="Y71" i="108" s="1"/>
  <c r="T61" i="108"/>
  <c r="X62" i="108" s="1"/>
  <c r="X67" i="108" s="1"/>
  <c r="Y67" i="108" s="1"/>
  <c r="B93" i="108"/>
  <c r="I90" i="108"/>
  <c r="J93" i="108" s="1"/>
  <c r="Y13" i="108"/>
  <c r="Y28" i="108" s="1"/>
  <c r="X28" i="108"/>
  <c r="S90" i="108"/>
  <c r="T58" i="107"/>
  <c r="X59" i="107" s="1"/>
  <c r="X71" i="107" s="1"/>
  <c r="Y71" i="107" s="1"/>
  <c r="T52" i="107"/>
  <c r="X53" i="107" s="1"/>
  <c r="T61" i="107"/>
  <c r="X62" i="107" s="1"/>
  <c r="X67" i="107" s="1"/>
  <c r="Y67" i="107" s="1"/>
  <c r="T64" i="107"/>
  <c r="X65" i="107" s="1"/>
  <c r="X70" i="107" s="1"/>
  <c r="Y70" i="107" s="1"/>
  <c r="X28" i="107"/>
  <c r="V33" i="107" s="1"/>
  <c r="Y12" i="107"/>
  <c r="Y28" i="107" s="1"/>
  <c r="S90" i="107"/>
  <c r="B93" i="107"/>
  <c r="I90" i="107"/>
  <c r="J93" i="107" s="1"/>
  <c r="I87" i="107"/>
  <c r="J87" i="107" s="1"/>
  <c r="I70" i="107"/>
  <c r="F488" i="106"/>
  <c r="F490" i="106" s="1"/>
  <c r="J33" i="107" l="1"/>
  <c r="J37" i="107"/>
  <c r="J36" i="107"/>
  <c r="J38" i="107" s="1"/>
  <c r="J33" i="108"/>
  <c r="J37" i="108"/>
  <c r="J36" i="108"/>
  <c r="J38" i="108" s="1"/>
  <c r="A328" i="106"/>
  <c r="A338" i="106" s="1"/>
  <c r="A349" i="106" s="1"/>
  <c r="A356" i="106" s="1"/>
  <c r="A365" i="106" s="1"/>
  <c r="Y33" i="107"/>
  <c r="V37" i="107"/>
  <c r="Y37" i="107" s="1"/>
  <c r="V36" i="107"/>
  <c r="Y36" i="107" s="1"/>
  <c r="Y33" i="108"/>
  <c r="V36" i="108"/>
  <c r="Y36" i="108" s="1"/>
  <c r="V37" i="108"/>
  <c r="Y37" i="108" s="1"/>
  <c r="V33" i="108"/>
  <c r="T55" i="108"/>
  <c r="X56" i="108" s="1"/>
  <c r="I86" i="107"/>
  <c r="J86" i="107" s="1"/>
  <c r="X56" i="107"/>
  <c r="X85" i="107" s="1"/>
  <c r="Y85" i="107" s="1"/>
  <c r="X90" i="108"/>
  <c r="Y93" i="108" s="1"/>
  <c r="S93" i="108"/>
  <c r="X87" i="108"/>
  <c r="Y87" i="108" s="1"/>
  <c r="X69" i="108"/>
  <c r="X90" i="107"/>
  <c r="Y93" i="107" s="1"/>
  <c r="S93" i="107"/>
  <c r="X69" i="107"/>
  <c r="X87" i="107"/>
  <c r="Y87" i="107" s="1"/>
  <c r="Y38" i="107" l="1"/>
  <c r="A381" i="106"/>
  <c r="A390" i="106" s="1"/>
  <c r="A400" i="106" s="1"/>
  <c r="A410" i="106" s="1"/>
  <c r="A419" i="106" s="1"/>
  <c r="A427" i="106" s="1"/>
  <c r="A437" i="106" s="1"/>
  <c r="A446" i="106" s="1"/>
  <c r="Y38" i="108"/>
  <c r="X85" i="108"/>
  <c r="Y85" i="108" s="1"/>
  <c r="X86" i="108"/>
  <c r="Y86" i="108" s="1"/>
  <c r="X86" i="107"/>
  <c r="Y86" i="107" s="1"/>
  <c r="I85" i="108"/>
  <c r="J85" i="108" s="1"/>
  <c r="I86" i="108"/>
  <c r="J86" i="108" s="1"/>
  <c r="J103" i="56"/>
  <c r="I106" i="56" s="1"/>
  <c r="J118" i="105" l="1"/>
  <c r="J118" i="104"/>
  <c r="J118" i="103"/>
  <c r="J118" i="102"/>
  <c r="J118" i="101"/>
  <c r="J118" i="100"/>
  <c r="J118" i="99"/>
  <c r="J118" i="98"/>
  <c r="J118" i="97"/>
  <c r="Q115"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V103" i="105"/>
  <c r="J104" i="105"/>
  <c r="G103" i="105"/>
  <c r="X97" i="105"/>
  <c r="E98" i="105"/>
  <c r="T97" i="105"/>
  <c r="X96" i="105"/>
  <c r="T96" i="105"/>
  <c r="T92" i="105"/>
  <c r="V92" i="105"/>
  <c r="T91" i="105"/>
  <c r="V91" i="105"/>
  <c r="T90" i="105"/>
  <c r="V90" i="105"/>
  <c r="V87" i="105"/>
  <c r="V85" i="105"/>
  <c r="V83" i="105"/>
  <c r="Y81" i="105"/>
  <c r="X83" i="105" s="1"/>
  <c r="Y80" i="105"/>
  <c r="V71" i="105"/>
  <c r="V70" i="105"/>
  <c r="V67" i="105"/>
  <c r="X64" i="105"/>
  <c r="X61" i="105"/>
  <c r="X58" i="105"/>
  <c r="X55" i="105"/>
  <c r="X52" i="105"/>
  <c r="T50" i="105"/>
  <c r="E47" i="105"/>
  <c r="Y49" i="105"/>
  <c r="Y48" i="105"/>
  <c r="Y47" i="105"/>
  <c r="Y46" i="105"/>
  <c r="Y45" i="105"/>
  <c r="Y44" i="105"/>
  <c r="Y43" i="105"/>
  <c r="Y42" i="105"/>
  <c r="Y41" i="105"/>
  <c r="G32" i="105"/>
  <c r="V32" i="105"/>
  <c r="E23" i="105"/>
  <c r="I23" i="105" s="1"/>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T6" i="105"/>
  <c r="R2" i="105"/>
  <c r="J104" i="104"/>
  <c r="G103" i="104"/>
  <c r="X97" i="104"/>
  <c r="E98" i="104"/>
  <c r="T97" i="104"/>
  <c r="X96" i="104"/>
  <c r="T96" i="104"/>
  <c r="T92" i="104"/>
  <c r="V92" i="104"/>
  <c r="T91" i="104"/>
  <c r="V91" i="104"/>
  <c r="T90" i="104"/>
  <c r="V90" i="104"/>
  <c r="V86" i="104"/>
  <c r="V83" i="104"/>
  <c r="Y81" i="104"/>
  <c r="Y80" i="104"/>
  <c r="V70" i="104"/>
  <c r="V67" i="104"/>
  <c r="X64" i="104"/>
  <c r="X61" i="104"/>
  <c r="X58" i="104"/>
  <c r="X55" i="104"/>
  <c r="X52" i="104"/>
  <c r="T50" i="104"/>
  <c r="E46" i="104"/>
  <c r="Y49" i="104"/>
  <c r="Y48" i="104"/>
  <c r="Y47" i="104"/>
  <c r="Y46" i="104"/>
  <c r="Y45" i="104"/>
  <c r="Y44" i="104"/>
  <c r="Y43" i="104"/>
  <c r="Y42" i="104"/>
  <c r="Y41" i="104"/>
  <c r="G32" i="104"/>
  <c r="V32" i="104"/>
  <c r="E23" i="104"/>
  <c r="I23" i="104" s="1"/>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T6" i="104"/>
  <c r="R2" i="104"/>
  <c r="G103" i="103"/>
  <c r="J98" i="103"/>
  <c r="E98" i="103"/>
  <c r="T97" i="103"/>
  <c r="J97" i="103"/>
  <c r="T96" i="103"/>
  <c r="T92" i="103"/>
  <c r="V92" i="103"/>
  <c r="T91" i="103"/>
  <c r="V91" i="103"/>
  <c r="T90" i="103"/>
  <c r="V90" i="103"/>
  <c r="V87" i="103"/>
  <c r="V85" i="103"/>
  <c r="V83" i="103"/>
  <c r="Y81" i="103"/>
  <c r="X83" i="103" s="1"/>
  <c r="Y80" i="103"/>
  <c r="V71" i="103"/>
  <c r="V70" i="103"/>
  <c r="V67" i="103"/>
  <c r="X64" i="103"/>
  <c r="X61" i="103"/>
  <c r="X58" i="103"/>
  <c r="X55" i="103"/>
  <c r="X52" i="103"/>
  <c r="T50" i="103"/>
  <c r="E46" i="103"/>
  <c r="Y49" i="103"/>
  <c r="Y48" i="103"/>
  <c r="Y47" i="103"/>
  <c r="Y46" i="103"/>
  <c r="Y45" i="103"/>
  <c r="Y44" i="103"/>
  <c r="Y43" i="103"/>
  <c r="Y42" i="103"/>
  <c r="Y41" i="103"/>
  <c r="G32" i="103"/>
  <c r="V32" i="103"/>
  <c r="E23" i="103"/>
  <c r="I23" i="103" s="1"/>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T6" i="103"/>
  <c r="R2" i="103"/>
  <c r="G103" i="102"/>
  <c r="J98" i="102"/>
  <c r="E98" i="102"/>
  <c r="T97" i="102"/>
  <c r="X96" i="102"/>
  <c r="T96" i="102"/>
  <c r="T92" i="102"/>
  <c r="V92" i="102"/>
  <c r="T91" i="102"/>
  <c r="V91" i="102"/>
  <c r="T90" i="102"/>
  <c r="V90" i="102"/>
  <c r="V86" i="102"/>
  <c r="V85" i="102"/>
  <c r="V83" i="102"/>
  <c r="Y81" i="102"/>
  <c r="X83" i="102" s="1"/>
  <c r="J81" i="102"/>
  <c r="Y80" i="102"/>
  <c r="V70" i="102"/>
  <c r="V67" i="102"/>
  <c r="X64" i="102"/>
  <c r="X61" i="102"/>
  <c r="X58" i="102"/>
  <c r="X55" i="102"/>
  <c r="X52" i="102"/>
  <c r="T50" i="102"/>
  <c r="Y49" i="102"/>
  <c r="Y48" i="102"/>
  <c r="Y47" i="102"/>
  <c r="Y46" i="102"/>
  <c r="Y45" i="102"/>
  <c r="Y44" i="102"/>
  <c r="Y43" i="102"/>
  <c r="Y42" i="102"/>
  <c r="Y41" i="102"/>
  <c r="G32" i="102"/>
  <c r="V32" i="102"/>
  <c r="E23" i="102"/>
  <c r="I23" i="102" s="1"/>
  <c r="T23" i="102"/>
  <c r="X23" i="102" s="1"/>
  <c r="T6" i="102"/>
  <c r="D90" i="102"/>
  <c r="R2" i="102"/>
  <c r="V103" i="101"/>
  <c r="G103" i="101"/>
  <c r="X97" i="101"/>
  <c r="E98" i="101"/>
  <c r="T97" i="101"/>
  <c r="X96" i="101"/>
  <c r="T96" i="101"/>
  <c r="T92" i="101"/>
  <c r="V92" i="101"/>
  <c r="T91" i="101"/>
  <c r="V91" i="101"/>
  <c r="T90" i="101"/>
  <c r="V90" i="101"/>
  <c r="V87" i="101"/>
  <c r="V86" i="101"/>
  <c r="V83" i="101"/>
  <c r="Y81" i="101"/>
  <c r="J81" i="101"/>
  <c r="Y80" i="101"/>
  <c r="V71" i="101"/>
  <c r="V70" i="101"/>
  <c r="V67" i="101"/>
  <c r="X64" i="101"/>
  <c r="X61" i="101"/>
  <c r="X58" i="101"/>
  <c r="X55" i="101"/>
  <c r="X52" i="101"/>
  <c r="T50" i="101"/>
  <c r="E46" i="101"/>
  <c r="Y49" i="101"/>
  <c r="Y48" i="101"/>
  <c r="Y47" i="101"/>
  <c r="Y46" i="101"/>
  <c r="Y45" i="101"/>
  <c r="Y44" i="101"/>
  <c r="Y43" i="101"/>
  <c r="Y42" i="101"/>
  <c r="Y41" i="101"/>
  <c r="G32" i="101"/>
  <c r="E23" i="101"/>
  <c r="I23" i="101" s="1"/>
  <c r="T6" i="101"/>
  <c r="D92" i="101"/>
  <c r="R2" i="101"/>
  <c r="J104" i="100"/>
  <c r="G103" i="100"/>
  <c r="X97" i="100"/>
  <c r="E98" i="100"/>
  <c r="T97" i="100"/>
  <c r="X96" i="100"/>
  <c r="T96" i="100"/>
  <c r="T92" i="100"/>
  <c r="V92" i="100"/>
  <c r="T91" i="100"/>
  <c r="V91" i="100"/>
  <c r="T90" i="100"/>
  <c r="V90" i="100"/>
  <c r="V87" i="100"/>
  <c r="V86" i="100"/>
  <c r="V85" i="100"/>
  <c r="V83" i="100"/>
  <c r="Y81" i="100"/>
  <c r="J81" i="100"/>
  <c r="Y80" i="100"/>
  <c r="V70" i="100"/>
  <c r="V67" i="100"/>
  <c r="X64" i="100"/>
  <c r="X61" i="100"/>
  <c r="X58" i="100"/>
  <c r="X55" i="100"/>
  <c r="X52" i="100"/>
  <c r="T50" i="100"/>
  <c r="E46" i="100"/>
  <c r="Y49" i="100"/>
  <c r="Y48" i="100"/>
  <c r="Y47" i="100"/>
  <c r="Y46" i="100"/>
  <c r="Y45" i="100"/>
  <c r="Y44" i="100"/>
  <c r="Y43" i="100"/>
  <c r="Y42" i="100"/>
  <c r="Y41" i="100"/>
  <c r="G32" i="100"/>
  <c r="V32" i="100"/>
  <c r="E26" i="100"/>
  <c r="I26" i="100" s="1"/>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T6" i="100"/>
  <c r="D90" i="100"/>
  <c r="R2" i="100"/>
  <c r="V103" i="99"/>
  <c r="J104" i="99"/>
  <c r="G103" i="99"/>
  <c r="X97" i="99"/>
  <c r="E98" i="99"/>
  <c r="T97" i="99"/>
  <c r="X96" i="99"/>
  <c r="T96" i="99"/>
  <c r="T92" i="99"/>
  <c r="V92" i="99"/>
  <c r="T91" i="99"/>
  <c r="V91" i="99"/>
  <c r="T90" i="99"/>
  <c r="V90" i="99"/>
  <c r="V86" i="99"/>
  <c r="V83" i="99"/>
  <c r="Y81" i="99"/>
  <c r="J81" i="99"/>
  <c r="Y80" i="99"/>
  <c r="V70" i="99"/>
  <c r="V67" i="99"/>
  <c r="X64" i="99"/>
  <c r="X61" i="99"/>
  <c r="X58" i="99"/>
  <c r="X55" i="99"/>
  <c r="X52" i="99"/>
  <c r="T50" i="99"/>
  <c r="E46" i="99"/>
  <c r="Y49" i="99"/>
  <c r="Y48" i="99"/>
  <c r="Y47" i="99"/>
  <c r="Y46" i="99"/>
  <c r="Y45" i="99"/>
  <c r="Y44" i="99"/>
  <c r="Y43" i="99"/>
  <c r="Y42" i="99"/>
  <c r="Y41" i="99"/>
  <c r="G32" i="99"/>
  <c r="V32" i="99"/>
  <c r="E23" i="99"/>
  <c r="I23" i="99" s="1"/>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T6" i="99"/>
  <c r="R2" i="99"/>
  <c r="V103" i="98"/>
  <c r="J104" i="98"/>
  <c r="G103" i="98"/>
  <c r="J98" i="98"/>
  <c r="E98" i="98"/>
  <c r="T97" i="98"/>
  <c r="X96" i="98"/>
  <c r="T96" i="98"/>
  <c r="T92" i="98"/>
  <c r="V92" i="98"/>
  <c r="T91" i="98"/>
  <c r="V91" i="98"/>
  <c r="T90" i="98"/>
  <c r="V90" i="98"/>
  <c r="V86" i="98"/>
  <c r="V83" i="98"/>
  <c r="Y81" i="98"/>
  <c r="X83" i="98" s="1"/>
  <c r="J81" i="98"/>
  <c r="Y80" i="98"/>
  <c r="V71" i="98"/>
  <c r="V70" i="98"/>
  <c r="V67" i="98"/>
  <c r="X64" i="98"/>
  <c r="X61" i="98"/>
  <c r="X58" i="98"/>
  <c r="X55" i="98"/>
  <c r="X52" i="98"/>
  <c r="T50" i="98"/>
  <c r="E46" i="98"/>
  <c r="Y49" i="98"/>
  <c r="Y48" i="98"/>
  <c r="Y47" i="98"/>
  <c r="Y46" i="98"/>
  <c r="Y45" i="98"/>
  <c r="Y44" i="98"/>
  <c r="Y43" i="98"/>
  <c r="Y42" i="98"/>
  <c r="Y41" i="98"/>
  <c r="G32" i="98"/>
  <c r="V32" i="98"/>
  <c r="E23" i="98"/>
  <c r="I23" i="98" s="1"/>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T6" i="98"/>
  <c r="D92" i="98"/>
  <c r="R2" i="98"/>
  <c r="V103" i="97"/>
  <c r="G103" i="97"/>
  <c r="J98" i="97"/>
  <c r="E98" i="97"/>
  <c r="T97" i="97"/>
  <c r="X96" i="97"/>
  <c r="T96" i="97"/>
  <c r="T92" i="97"/>
  <c r="V92" i="97"/>
  <c r="T91" i="97"/>
  <c r="V91" i="97"/>
  <c r="T90" i="97"/>
  <c r="V90" i="97"/>
  <c r="V86" i="97"/>
  <c r="V85" i="97"/>
  <c r="V83" i="97"/>
  <c r="Y81" i="97"/>
  <c r="X83" i="97" s="1"/>
  <c r="J81" i="97"/>
  <c r="Y80" i="97"/>
  <c r="V71" i="97"/>
  <c r="V70" i="97"/>
  <c r="V67" i="97"/>
  <c r="X64" i="97"/>
  <c r="X61" i="97"/>
  <c r="X58" i="97"/>
  <c r="X55" i="97"/>
  <c r="X52" i="97"/>
  <c r="T50" i="97"/>
  <c r="E46" i="97"/>
  <c r="Y49" i="97"/>
  <c r="Y48" i="97"/>
  <c r="Y47" i="97"/>
  <c r="Y46" i="97"/>
  <c r="Y45" i="97"/>
  <c r="Y44" i="97"/>
  <c r="Y43" i="97"/>
  <c r="Y42" i="97"/>
  <c r="Y41" i="97"/>
  <c r="G32" i="97"/>
  <c r="V32" i="97"/>
  <c r="E23" i="97"/>
  <c r="I23" i="97" s="1"/>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T6" i="97"/>
  <c r="D92" i="97"/>
  <c r="R2" i="97"/>
  <c r="J104" i="96"/>
  <c r="G103" i="96"/>
  <c r="E98" i="96"/>
  <c r="T97" i="96"/>
  <c r="X96" i="96"/>
  <c r="T96" i="96"/>
  <c r="T92" i="96"/>
  <c r="V92" i="96"/>
  <c r="T91" i="96"/>
  <c r="V91" i="96"/>
  <c r="T90" i="96"/>
  <c r="V90" i="96"/>
  <c r="V87" i="96"/>
  <c r="V86" i="96"/>
  <c r="V85" i="96"/>
  <c r="V83" i="96"/>
  <c r="Y81" i="96"/>
  <c r="X83" i="96" s="1"/>
  <c r="J81" i="96"/>
  <c r="Y80" i="96"/>
  <c r="V70" i="96"/>
  <c r="V67" i="96"/>
  <c r="X64" i="96"/>
  <c r="X61" i="96"/>
  <c r="X58" i="96"/>
  <c r="X55" i="96"/>
  <c r="X52" i="96"/>
  <c r="T50" i="96"/>
  <c r="E46" i="96"/>
  <c r="Y49" i="96"/>
  <c r="Y48" i="96"/>
  <c r="Y47" i="96"/>
  <c r="Y46" i="96"/>
  <c r="Y45" i="96"/>
  <c r="Y44" i="96"/>
  <c r="Y43" i="96"/>
  <c r="Y42" i="96"/>
  <c r="Y41" i="96"/>
  <c r="G32" i="96"/>
  <c r="V32" i="96"/>
  <c r="E23" i="96"/>
  <c r="I23" i="96" s="1"/>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T6" i="96"/>
  <c r="R2" i="96"/>
  <c r="V103" i="95"/>
  <c r="J104" i="95"/>
  <c r="G103" i="95"/>
  <c r="X97" i="95"/>
  <c r="Y97" i="95" s="1"/>
  <c r="E98" i="95"/>
  <c r="T97" i="95"/>
  <c r="X96" i="95"/>
  <c r="Y96" i="95" s="1"/>
  <c r="T96" i="95"/>
  <c r="T92" i="95"/>
  <c r="V92" i="95"/>
  <c r="T91" i="95"/>
  <c r="V91" i="95"/>
  <c r="T90" i="95"/>
  <c r="V90" i="95"/>
  <c r="V86" i="95"/>
  <c r="V83" i="95"/>
  <c r="Y81" i="95"/>
  <c r="J81" i="95"/>
  <c r="Y80" i="95"/>
  <c r="V67" i="95"/>
  <c r="X64" i="95"/>
  <c r="X61" i="95"/>
  <c r="X58" i="95"/>
  <c r="X55" i="95"/>
  <c r="X52" i="95"/>
  <c r="T50" i="95"/>
  <c r="E46" i="95"/>
  <c r="Y49" i="95"/>
  <c r="Y48" i="95"/>
  <c r="Y47" i="95"/>
  <c r="Y46" i="95"/>
  <c r="Y45" i="95"/>
  <c r="Y44" i="95"/>
  <c r="Y43" i="95"/>
  <c r="Y42" i="95"/>
  <c r="Y41" i="95"/>
  <c r="G32" i="95"/>
  <c r="V32" i="95"/>
  <c r="E23" i="95"/>
  <c r="I23" i="95" s="1"/>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T6" i="95"/>
  <c r="R2" i="95"/>
  <c r="J104" i="94"/>
  <c r="G103" i="94"/>
  <c r="X97" i="94"/>
  <c r="E98" i="94"/>
  <c r="T97" i="94"/>
  <c r="X96" i="94"/>
  <c r="T96" i="94"/>
  <c r="T92" i="94"/>
  <c r="V92" i="94"/>
  <c r="T91" i="94"/>
  <c r="V91" i="94"/>
  <c r="T90" i="94"/>
  <c r="V90" i="94"/>
  <c r="V86" i="94"/>
  <c r="V83" i="94"/>
  <c r="Y81" i="94"/>
  <c r="J81" i="94"/>
  <c r="Y80" i="94"/>
  <c r="V71" i="94"/>
  <c r="V70" i="94"/>
  <c r="V67" i="94"/>
  <c r="X64" i="94"/>
  <c r="X61" i="94"/>
  <c r="X58" i="94"/>
  <c r="X55" i="94"/>
  <c r="X52" i="94"/>
  <c r="T50" i="94"/>
  <c r="E46" i="94"/>
  <c r="Y49" i="94"/>
  <c r="Y48" i="94"/>
  <c r="Y47" i="94"/>
  <c r="Y46" i="94"/>
  <c r="Y45" i="94"/>
  <c r="Y44" i="94"/>
  <c r="Y43" i="94"/>
  <c r="Y42" i="94"/>
  <c r="Y41" i="94"/>
  <c r="G32" i="94"/>
  <c r="V32" i="94"/>
  <c r="E23" i="94"/>
  <c r="I23" i="94" s="1"/>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T6" i="94"/>
  <c r="R2" i="94"/>
  <c r="G103" i="93"/>
  <c r="X97" i="93"/>
  <c r="Y97" i="93" s="1"/>
  <c r="E98" i="93"/>
  <c r="T97" i="93"/>
  <c r="X96" i="93"/>
  <c r="T96" i="93"/>
  <c r="T92" i="93"/>
  <c r="V92" i="93"/>
  <c r="T91" i="93"/>
  <c r="V91" i="93"/>
  <c r="T90" i="93"/>
  <c r="V90" i="93"/>
  <c r="V86" i="93"/>
  <c r="V83" i="93"/>
  <c r="Y81" i="93"/>
  <c r="X83" i="93" s="1"/>
  <c r="J81" i="93"/>
  <c r="Y80" i="93"/>
  <c r="V67" i="93"/>
  <c r="X64" i="93"/>
  <c r="X61" i="93"/>
  <c r="X58" i="93"/>
  <c r="X55" i="93"/>
  <c r="X52" i="93"/>
  <c r="T50" i="93"/>
  <c r="E46" i="93"/>
  <c r="Y49" i="93"/>
  <c r="Y48" i="93"/>
  <c r="Y47" i="93"/>
  <c r="Y46" i="93"/>
  <c r="Y45" i="93"/>
  <c r="Y44" i="93"/>
  <c r="Y43" i="93"/>
  <c r="Y42" i="93"/>
  <c r="Y41" i="93"/>
  <c r="G32" i="93"/>
  <c r="V32" i="93"/>
  <c r="E23" i="93"/>
  <c r="I23" i="93" s="1"/>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T6" i="93"/>
  <c r="R2" i="93"/>
  <c r="V103" i="92"/>
  <c r="G103" i="92"/>
  <c r="J98" i="92"/>
  <c r="E98" i="92"/>
  <c r="T97" i="92"/>
  <c r="X96" i="92"/>
  <c r="T96" i="92"/>
  <c r="T92" i="92"/>
  <c r="V92" i="92"/>
  <c r="T91" i="92"/>
  <c r="V91" i="92"/>
  <c r="T90" i="92"/>
  <c r="V90" i="92"/>
  <c r="V87" i="92"/>
  <c r="V86" i="92"/>
  <c r="Y81" i="92"/>
  <c r="X83" i="92" s="1"/>
  <c r="J81" i="92"/>
  <c r="Y80" i="92"/>
  <c r="V67" i="92"/>
  <c r="X64" i="92"/>
  <c r="X61" i="92"/>
  <c r="X58" i="92"/>
  <c r="X55" i="92"/>
  <c r="X52" i="92"/>
  <c r="T50" i="92"/>
  <c r="E46" i="92"/>
  <c r="Y49" i="92"/>
  <c r="Y48" i="92"/>
  <c r="Y47" i="92"/>
  <c r="Y46" i="92"/>
  <c r="Y45" i="92"/>
  <c r="Y44" i="92"/>
  <c r="Y43" i="92"/>
  <c r="Y42" i="92"/>
  <c r="Y41" i="92"/>
  <c r="G32" i="92"/>
  <c r="V32" i="92"/>
  <c r="E23" i="92"/>
  <c r="I23" i="92" s="1"/>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T6" i="92"/>
  <c r="R2" i="92"/>
  <c r="V103" i="91"/>
  <c r="J104" i="91"/>
  <c r="G103" i="91"/>
  <c r="E98" i="91"/>
  <c r="T97" i="91"/>
  <c r="X96" i="91"/>
  <c r="T96" i="91"/>
  <c r="T92" i="91"/>
  <c r="V92" i="91"/>
  <c r="T91" i="91"/>
  <c r="V91" i="91"/>
  <c r="T90" i="91"/>
  <c r="V90" i="91"/>
  <c r="V87" i="91"/>
  <c r="V86" i="91"/>
  <c r="V83" i="91"/>
  <c r="Y81" i="91"/>
  <c r="J81" i="91"/>
  <c r="Y80" i="91"/>
  <c r="V67" i="91"/>
  <c r="X64" i="91"/>
  <c r="X61" i="91"/>
  <c r="X58" i="91"/>
  <c r="X55" i="91"/>
  <c r="X52" i="91"/>
  <c r="T50" i="91"/>
  <c r="E49" i="91"/>
  <c r="Y49" i="91"/>
  <c r="Y48" i="91"/>
  <c r="Y47" i="91"/>
  <c r="E47" i="91"/>
  <c r="Y46" i="91"/>
  <c r="Y45" i="91"/>
  <c r="Y44" i="91"/>
  <c r="Y43" i="91"/>
  <c r="Y42" i="91"/>
  <c r="Y41" i="91"/>
  <c r="G32" i="91"/>
  <c r="V32" i="91"/>
  <c r="E26" i="91"/>
  <c r="I26" i="91" s="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T6" i="91"/>
  <c r="R2" i="91"/>
  <c r="V103" i="90"/>
  <c r="J104" i="90"/>
  <c r="G103" i="90"/>
  <c r="J98" i="90"/>
  <c r="E98" i="90"/>
  <c r="T97" i="90"/>
  <c r="X96" i="90"/>
  <c r="T96" i="90"/>
  <c r="T92" i="90"/>
  <c r="V92" i="90"/>
  <c r="T91" i="90"/>
  <c r="V91" i="90"/>
  <c r="T90" i="90"/>
  <c r="V90" i="90"/>
  <c r="V87" i="90"/>
  <c r="V86" i="90"/>
  <c r="V85" i="90"/>
  <c r="V83" i="90"/>
  <c r="Y81" i="90"/>
  <c r="X83" i="90" s="1"/>
  <c r="J81" i="90"/>
  <c r="Y80" i="90"/>
  <c r="V71" i="90"/>
  <c r="V70" i="90"/>
  <c r="V67" i="90"/>
  <c r="X64" i="90"/>
  <c r="X61" i="90"/>
  <c r="X58" i="90"/>
  <c r="X55" i="90"/>
  <c r="X52" i="90"/>
  <c r="T50" i="90"/>
  <c r="E46" i="90"/>
  <c r="Y49" i="90"/>
  <c r="Y48" i="90"/>
  <c r="Y47" i="90"/>
  <c r="Y46" i="90"/>
  <c r="Y45" i="90"/>
  <c r="Y44" i="90"/>
  <c r="Y43" i="90"/>
  <c r="Y42" i="90"/>
  <c r="Y41" i="90"/>
  <c r="G32" i="90"/>
  <c r="V32" i="90"/>
  <c r="E23" i="90"/>
  <c r="I23" i="90" s="1"/>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T6" i="90"/>
  <c r="R2" i="90"/>
  <c r="V103" i="89"/>
  <c r="J104" i="89"/>
  <c r="G103" i="89"/>
  <c r="X97" i="89"/>
  <c r="E98" i="89"/>
  <c r="T97" i="89"/>
  <c r="X96" i="89"/>
  <c r="T96" i="89"/>
  <c r="T92" i="89"/>
  <c r="V92" i="89"/>
  <c r="T91" i="89"/>
  <c r="V91" i="89"/>
  <c r="T90" i="89"/>
  <c r="V90" i="89"/>
  <c r="V87" i="89"/>
  <c r="V86" i="89"/>
  <c r="V83" i="89"/>
  <c r="Y80" i="89"/>
  <c r="V70" i="89"/>
  <c r="V67" i="89"/>
  <c r="X64" i="89"/>
  <c r="X61" i="89"/>
  <c r="X58" i="89"/>
  <c r="X55" i="89"/>
  <c r="X52" i="89"/>
  <c r="T50" i="89"/>
  <c r="E46" i="89"/>
  <c r="Y49" i="89"/>
  <c r="Y48" i="89"/>
  <c r="Y47" i="89"/>
  <c r="Y46" i="89"/>
  <c r="Y45" i="89"/>
  <c r="Y44" i="89"/>
  <c r="Y43" i="89"/>
  <c r="E43" i="89"/>
  <c r="Y42" i="89"/>
  <c r="Y41" i="89"/>
  <c r="G32" i="89"/>
  <c r="V32" i="89"/>
  <c r="E23" i="89"/>
  <c r="I23" i="89" s="1"/>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T6" i="89"/>
  <c r="R2" i="89"/>
  <c r="G103" i="88"/>
  <c r="X97" i="88"/>
  <c r="Y97" i="88" s="1"/>
  <c r="E98" i="88"/>
  <c r="T97" i="88"/>
  <c r="X96" i="88"/>
  <c r="T96" i="88"/>
  <c r="T92" i="88"/>
  <c r="V92" i="88"/>
  <c r="T91" i="88"/>
  <c r="V91" i="88"/>
  <c r="T90" i="88"/>
  <c r="V90" i="88"/>
  <c r="V87" i="88"/>
  <c r="V86" i="88"/>
  <c r="V85" i="88"/>
  <c r="V83" i="88"/>
  <c r="Y81" i="88"/>
  <c r="Y80" i="88"/>
  <c r="V70" i="88"/>
  <c r="V67" i="88"/>
  <c r="X64" i="88"/>
  <c r="X61" i="88"/>
  <c r="X58" i="88"/>
  <c r="X55" i="88"/>
  <c r="X52" i="88"/>
  <c r="T50" i="88"/>
  <c r="E46" i="88"/>
  <c r="Y49" i="88"/>
  <c r="Y48" i="88"/>
  <c r="Y47" i="88"/>
  <c r="Y46" i="88"/>
  <c r="Y45" i="88"/>
  <c r="Y44" i="88"/>
  <c r="Y43" i="88"/>
  <c r="Y42" i="88"/>
  <c r="Y41" i="88"/>
  <c r="G32" i="88"/>
  <c r="V32" i="88"/>
  <c r="E23" i="88"/>
  <c r="I23" i="88" s="1"/>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T6" i="88"/>
  <c r="R2" i="88"/>
  <c r="G103" i="87"/>
  <c r="E98" i="87"/>
  <c r="T97" i="87"/>
  <c r="X96" i="87"/>
  <c r="T96" i="87"/>
  <c r="T92" i="87"/>
  <c r="V92" i="87"/>
  <c r="T91" i="87"/>
  <c r="V91" i="87"/>
  <c r="T90" i="87"/>
  <c r="V90" i="87"/>
  <c r="V87" i="87"/>
  <c r="V86" i="87"/>
  <c r="Y81" i="87"/>
  <c r="J81" i="87"/>
  <c r="Y80" i="87"/>
  <c r="V71" i="87"/>
  <c r="V67" i="87"/>
  <c r="X64" i="87"/>
  <c r="X61" i="87"/>
  <c r="X58" i="87"/>
  <c r="X55" i="87"/>
  <c r="X52" i="87"/>
  <c r="T50" i="87"/>
  <c r="E46" i="87"/>
  <c r="Y49" i="87"/>
  <c r="Y48" i="87"/>
  <c r="Y47" i="87"/>
  <c r="E47" i="87"/>
  <c r="Y46" i="87"/>
  <c r="Y45" i="87"/>
  <c r="Y44" i="87"/>
  <c r="Y43" i="87"/>
  <c r="Y42" i="87"/>
  <c r="Y41" i="87"/>
  <c r="G32" i="87"/>
  <c r="V32" i="87"/>
  <c r="E23" i="87"/>
  <c r="I23" i="87" s="1"/>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T6" i="87"/>
  <c r="R2" i="87"/>
  <c r="V103" i="86"/>
  <c r="G103" i="86"/>
  <c r="J98" i="86"/>
  <c r="E98" i="86"/>
  <c r="T97" i="86"/>
  <c r="X96" i="86"/>
  <c r="T96" i="86"/>
  <c r="T92" i="86"/>
  <c r="V92" i="86"/>
  <c r="T91" i="86"/>
  <c r="V91" i="86"/>
  <c r="T90" i="86"/>
  <c r="V90" i="86"/>
  <c r="V87" i="86"/>
  <c r="V86" i="86"/>
  <c r="V83" i="86"/>
  <c r="Y81" i="86"/>
  <c r="J81" i="86"/>
  <c r="Y80" i="86"/>
  <c r="V71" i="86"/>
  <c r="V70" i="86"/>
  <c r="V67" i="86"/>
  <c r="X64" i="86"/>
  <c r="X61" i="86"/>
  <c r="X58" i="86"/>
  <c r="X55" i="86"/>
  <c r="X52" i="86"/>
  <c r="T50" i="86"/>
  <c r="E48" i="86"/>
  <c r="Y49" i="86"/>
  <c r="Y48" i="86"/>
  <c r="Y47" i="86"/>
  <c r="Y46" i="86"/>
  <c r="Y45" i="86"/>
  <c r="Y44" i="86"/>
  <c r="Y43" i="86"/>
  <c r="Y42" i="86"/>
  <c r="Y41" i="86"/>
  <c r="G32" i="86"/>
  <c r="V32" i="86"/>
  <c r="E25" i="86"/>
  <c r="I25" i="86" s="1"/>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T6" i="86"/>
  <c r="R2" i="86"/>
  <c r="V103" i="85"/>
  <c r="J104" i="85"/>
  <c r="G103" i="85"/>
  <c r="E98" i="85"/>
  <c r="T97" i="85"/>
  <c r="X96" i="85"/>
  <c r="T96" i="85"/>
  <c r="T92" i="85"/>
  <c r="V92" i="85"/>
  <c r="T91" i="85"/>
  <c r="V91" i="85"/>
  <c r="T90" i="85"/>
  <c r="V90" i="85"/>
  <c r="V87" i="85"/>
  <c r="V83" i="85"/>
  <c r="Y81" i="85"/>
  <c r="Y80" i="85"/>
  <c r="V71" i="85"/>
  <c r="V70" i="85"/>
  <c r="V67" i="85"/>
  <c r="X64" i="85"/>
  <c r="X61" i="85"/>
  <c r="X58" i="85"/>
  <c r="X55" i="85"/>
  <c r="X52" i="85"/>
  <c r="T50" i="85"/>
  <c r="E46" i="85"/>
  <c r="Y49" i="85"/>
  <c r="Y48" i="85"/>
  <c r="Y47" i="85"/>
  <c r="Y46" i="85"/>
  <c r="Y45" i="85"/>
  <c r="Y44" i="85"/>
  <c r="Y43" i="85"/>
  <c r="Y42" i="85"/>
  <c r="Y41" i="85"/>
  <c r="G32" i="85"/>
  <c r="V32" i="85"/>
  <c r="E23" i="85"/>
  <c r="I23" i="85" s="1"/>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T6" i="85"/>
  <c r="R2" i="85"/>
  <c r="G103" i="84"/>
  <c r="J98" i="84"/>
  <c r="E98" i="84"/>
  <c r="T97" i="84"/>
  <c r="X96" i="84"/>
  <c r="T96" i="84"/>
  <c r="T92" i="84"/>
  <c r="V92" i="84"/>
  <c r="T91" i="84"/>
  <c r="V91" i="84"/>
  <c r="T90" i="84"/>
  <c r="V90" i="84"/>
  <c r="V86" i="84"/>
  <c r="Y81" i="84"/>
  <c r="X83" i="84" s="1"/>
  <c r="J81" i="84"/>
  <c r="Y80" i="84"/>
  <c r="V71" i="84"/>
  <c r="V70" i="84"/>
  <c r="V67" i="84"/>
  <c r="X64" i="84"/>
  <c r="X61" i="84"/>
  <c r="X58" i="84"/>
  <c r="X55" i="84"/>
  <c r="X52" i="84"/>
  <c r="T50" i="84"/>
  <c r="Y49" i="84"/>
  <c r="Y48" i="84"/>
  <c r="Y47" i="84"/>
  <c r="Y46" i="84"/>
  <c r="Y45" i="84"/>
  <c r="Y44" i="84"/>
  <c r="Y43" i="84"/>
  <c r="Y42" i="84"/>
  <c r="Y41" i="84"/>
  <c r="G32" i="84"/>
  <c r="V32" i="84"/>
  <c r="E23" i="84"/>
  <c r="I23" i="84" s="1"/>
  <c r="T27" i="84"/>
  <c r="X27" i="84" s="1"/>
  <c r="E27" i="84"/>
  <c r="I27" i="84" s="1"/>
  <c r="T26" i="84"/>
  <c r="X26" i="84" s="1"/>
  <c r="T25" i="84"/>
  <c r="X25" i="84" s="1"/>
  <c r="T24" i="84"/>
  <c r="X24" i="84" s="1"/>
  <c r="E24" i="84"/>
  <c r="I24" i="84" s="1"/>
  <c r="T23" i="84"/>
  <c r="X23" i="84" s="1"/>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T6" i="84"/>
  <c r="R2" i="84"/>
  <c r="J104" i="83"/>
  <c r="G103" i="83"/>
  <c r="X97" i="83"/>
  <c r="E98" i="83"/>
  <c r="T97" i="83"/>
  <c r="X96" i="83"/>
  <c r="T96" i="83"/>
  <c r="T92" i="83"/>
  <c r="V92" i="83"/>
  <c r="T91" i="83"/>
  <c r="V91" i="83"/>
  <c r="T90" i="83"/>
  <c r="V90" i="83"/>
  <c r="V85" i="83"/>
  <c r="V83" i="83"/>
  <c r="Y81" i="83"/>
  <c r="J81" i="83"/>
  <c r="Y80" i="83"/>
  <c r="V71" i="83"/>
  <c r="V70" i="83"/>
  <c r="V67" i="83"/>
  <c r="X64" i="83"/>
  <c r="X61" i="83"/>
  <c r="X58" i="83"/>
  <c r="X55" i="83"/>
  <c r="X52" i="83"/>
  <c r="T50" i="83"/>
  <c r="Y49" i="83"/>
  <c r="Y48" i="83"/>
  <c r="Y47" i="83"/>
  <c r="E47" i="83"/>
  <c r="Y46" i="83"/>
  <c r="Y45" i="83"/>
  <c r="Y44" i="83"/>
  <c r="Y43" i="83"/>
  <c r="Y42" i="83"/>
  <c r="Y41" i="83"/>
  <c r="G32" i="83"/>
  <c r="V32" i="83"/>
  <c r="E23" i="83"/>
  <c r="I23" i="83" s="1"/>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T6" i="83"/>
  <c r="D92" i="83"/>
  <c r="R2" i="83"/>
  <c r="V103" i="82"/>
  <c r="G103" i="82"/>
  <c r="X97" i="82"/>
  <c r="Y97" i="82" s="1"/>
  <c r="E98" i="82"/>
  <c r="T97" i="82"/>
  <c r="X96" i="82"/>
  <c r="T96" i="82"/>
  <c r="T92" i="82"/>
  <c r="V92" i="82"/>
  <c r="T91" i="82"/>
  <c r="V91" i="82"/>
  <c r="T90" i="82"/>
  <c r="V90" i="82"/>
  <c r="V86" i="82"/>
  <c r="V85" i="82"/>
  <c r="Y81" i="82"/>
  <c r="X83" i="82" s="1"/>
  <c r="Y80" i="82"/>
  <c r="V70" i="82"/>
  <c r="V67" i="82"/>
  <c r="X64" i="82"/>
  <c r="X61" i="82"/>
  <c r="X58" i="82"/>
  <c r="X55" i="82"/>
  <c r="X52" i="82"/>
  <c r="T50" i="82"/>
  <c r="E46" i="82"/>
  <c r="Y49" i="82"/>
  <c r="Y48" i="82"/>
  <c r="Y47" i="82"/>
  <c r="Y46" i="82"/>
  <c r="Y45" i="82"/>
  <c r="Y44" i="82"/>
  <c r="Y43" i="82"/>
  <c r="Y42" i="82"/>
  <c r="Y41" i="82"/>
  <c r="G32" i="82"/>
  <c r="V32" i="82"/>
  <c r="E23" i="82"/>
  <c r="I23" i="82" s="1"/>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T6" i="82"/>
  <c r="R2" i="82"/>
  <c r="V103" i="81"/>
  <c r="J104" i="81"/>
  <c r="G103" i="81"/>
  <c r="J98" i="81"/>
  <c r="E98" i="81"/>
  <c r="T97" i="81"/>
  <c r="X96" i="81"/>
  <c r="T96" i="81"/>
  <c r="T92" i="81"/>
  <c r="V92" i="81"/>
  <c r="T91" i="81"/>
  <c r="V91" i="81"/>
  <c r="T90" i="81"/>
  <c r="V90" i="81"/>
  <c r="V87" i="81"/>
  <c r="V86" i="81"/>
  <c r="Y81" i="81"/>
  <c r="Y80" i="81"/>
  <c r="V70" i="81"/>
  <c r="V67" i="81"/>
  <c r="X64" i="81"/>
  <c r="X61" i="81"/>
  <c r="X58" i="81"/>
  <c r="X55" i="81"/>
  <c r="X52" i="81"/>
  <c r="T50" i="81"/>
  <c r="E46" i="81"/>
  <c r="Y49" i="81"/>
  <c r="Y48" i="81"/>
  <c r="Y47" i="81"/>
  <c r="Y46" i="81"/>
  <c r="Y45" i="81"/>
  <c r="Y44" i="81"/>
  <c r="Y43" i="81"/>
  <c r="Y42" i="81"/>
  <c r="Y41" i="81"/>
  <c r="G32" i="81"/>
  <c r="V32" i="81"/>
  <c r="E23" i="81"/>
  <c r="I23" i="81" s="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T6" i="81"/>
  <c r="R2" i="81"/>
  <c r="J104" i="80"/>
  <c r="G103" i="80"/>
  <c r="J98" i="80"/>
  <c r="E98" i="80"/>
  <c r="T97" i="80"/>
  <c r="X96" i="80"/>
  <c r="T96" i="80"/>
  <c r="T92" i="80"/>
  <c r="V92" i="80"/>
  <c r="T91" i="80"/>
  <c r="V91" i="80"/>
  <c r="T90" i="80"/>
  <c r="V90" i="80"/>
  <c r="V86" i="80"/>
  <c r="V85" i="80"/>
  <c r="Y81" i="80"/>
  <c r="J81" i="80"/>
  <c r="Y80" i="80"/>
  <c r="V70" i="80"/>
  <c r="V67" i="80"/>
  <c r="X64" i="80"/>
  <c r="X61" i="80"/>
  <c r="X58" i="80"/>
  <c r="X55" i="80"/>
  <c r="X52" i="80"/>
  <c r="T50" i="80"/>
  <c r="E46" i="80"/>
  <c r="Y49" i="80"/>
  <c r="Y48" i="80"/>
  <c r="Y47" i="80"/>
  <c r="Y46" i="80"/>
  <c r="Y45" i="80"/>
  <c r="Y44" i="80"/>
  <c r="Y43" i="80"/>
  <c r="Y42" i="80"/>
  <c r="Y41" i="80"/>
  <c r="G32" i="80"/>
  <c r="V32" i="80"/>
  <c r="E23" i="80"/>
  <c r="I23" i="80" s="1"/>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T6" i="80"/>
  <c r="D90" i="80"/>
  <c r="R2" i="80"/>
  <c r="V103" i="79"/>
  <c r="J104" i="79"/>
  <c r="G103" i="79"/>
  <c r="J98" i="79"/>
  <c r="E98" i="79"/>
  <c r="T97" i="79"/>
  <c r="X96" i="79"/>
  <c r="T96" i="79"/>
  <c r="T92" i="79"/>
  <c r="V92" i="79"/>
  <c r="T91" i="79"/>
  <c r="V91" i="79"/>
  <c r="T90" i="79"/>
  <c r="V90" i="79"/>
  <c r="V87" i="79"/>
  <c r="V86" i="79"/>
  <c r="V85" i="79"/>
  <c r="V83" i="79"/>
  <c r="Y81" i="79"/>
  <c r="X83" i="79" s="1"/>
  <c r="Y80" i="79"/>
  <c r="V71" i="79"/>
  <c r="V70" i="79"/>
  <c r="V67" i="79"/>
  <c r="X64" i="79"/>
  <c r="X61" i="79"/>
  <c r="X58" i="79"/>
  <c r="X55" i="79"/>
  <c r="X52" i="79"/>
  <c r="T50" i="79"/>
  <c r="Y49" i="79"/>
  <c r="Y48" i="79"/>
  <c r="Y47" i="79"/>
  <c r="Y46" i="79"/>
  <c r="Y45" i="79"/>
  <c r="Y44" i="79"/>
  <c r="Y43" i="79"/>
  <c r="Y42" i="79"/>
  <c r="Y41" i="79"/>
  <c r="G32" i="79"/>
  <c r="V32" i="79"/>
  <c r="E23" i="79"/>
  <c r="I23" i="79" s="1"/>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T6" i="79"/>
  <c r="R2" i="79"/>
  <c r="V103" i="78"/>
  <c r="G103" i="78"/>
  <c r="E98" i="78"/>
  <c r="T97" i="78"/>
  <c r="X96" i="78"/>
  <c r="T96" i="78"/>
  <c r="T92" i="78"/>
  <c r="V92" i="78"/>
  <c r="T91" i="78"/>
  <c r="V91" i="78"/>
  <c r="T90" i="78"/>
  <c r="V90" i="78"/>
  <c r="V86" i="78"/>
  <c r="V85" i="78"/>
  <c r="V83" i="78"/>
  <c r="Y81" i="78"/>
  <c r="X83" i="78" s="1"/>
  <c r="J81" i="78"/>
  <c r="Y80" i="78"/>
  <c r="V70" i="78"/>
  <c r="V67" i="78"/>
  <c r="X64" i="78"/>
  <c r="X61" i="78"/>
  <c r="X58" i="78"/>
  <c r="X55" i="78"/>
  <c r="X52" i="78"/>
  <c r="T50" i="78"/>
  <c r="E46" i="78"/>
  <c r="Y49" i="78"/>
  <c r="Y48" i="78"/>
  <c r="Y47" i="78"/>
  <c r="Y46" i="78"/>
  <c r="Y45" i="78"/>
  <c r="Y44" i="78"/>
  <c r="Y43" i="78"/>
  <c r="Y42" i="78"/>
  <c r="Y41" i="78"/>
  <c r="G32" i="78"/>
  <c r="V32" i="78"/>
  <c r="E23" i="78"/>
  <c r="I23" i="78" s="1"/>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T6" i="78"/>
  <c r="D92" i="78"/>
  <c r="R2" i="78"/>
  <c r="J104" i="77"/>
  <c r="G103" i="77"/>
  <c r="J98" i="77"/>
  <c r="E98" i="77"/>
  <c r="T97" i="77"/>
  <c r="X96" i="77"/>
  <c r="T92" i="77"/>
  <c r="V92" i="77"/>
  <c r="T91" i="77"/>
  <c r="V91" i="77"/>
  <c r="T90" i="77"/>
  <c r="V90" i="77"/>
  <c r="V87" i="77"/>
  <c r="V86" i="77"/>
  <c r="V85" i="77"/>
  <c r="Y81" i="77"/>
  <c r="X83" i="77" s="1"/>
  <c r="Y80" i="77"/>
  <c r="V71" i="77"/>
  <c r="V67" i="77"/>
  <c r="X64" i="77"/>
  <c r="X61" i="77"/>
  <c r="X58" i="77"/>
  <c r="X55" i="77"/>
  <c r="X52" i="77"/>
  <c r="T50" i="77"/>
  <c r="E46" i="77"/>
  <c r="Y49" i="77"/>
  <c r="Y48" i="77"/>
  <c r="Y47" i="77"/>
  <c r="Y46" i="77"/>
  <c r="Y45" i="77"/>
  <c r="Y44" i="77"/>
  <c r="Y43" i="77"/>
  <c r="Y42" i="77"/>
  <c r="Y41" i="77"/>
  <c r="G32" i="77"/>
  <c r="V32" i="77"/>
  <c r="E23" i="77"/>
  <c r="T6" i="77"/>
  <c r="R2" i="77"/>
  <c r="V103" i="76"/>
  <c r="J104" i="76"/>
  <c r="G103" i="76"/>
  <c r="J98" i="76"/>
  <c r="E98" i="76"/>
  <c r="T97" i="76"/>
  <c r="X96" i="76"/>
  <c r="T96" i="76"/>
  <c r="T92" i="76"/>
  <c r="V92" i="76"/>
  <c r="T91" i="76"/>
  <c r="V91" i="76"/>
  <c r="T90" i="76"/>
  <c r="V90" i="76"/>
  <c r="V87" i="76"/>
  <c r="V86" i="76"/>
  <c r="V83" i="76"/>
  <c r="Y81" i="76"/>
  <c r="X83" i="76" s="1"/>
  <c r="J81" i="76"/>
  <c r="Y80" i="76"/>
  <c r="V67" i="76"/>
  <c r="X64" i="76"/>
  <c r="X61" i="76"/>
  <c r="X58" i="76"/>
  <c r="X55" i="76"/>
  <c r="X52" i="76"/>
  <c r="T50" i="76"/>
  <c r="E46" i="76"/>
  <c r="Y49" i="76"/>
  <c r="Y48" i="76"/>
  <c r="Y47" i="76"/>
  <c r="Y46" i="76"/>
  <c r="Y45" i="76"/>
  <c r="Y44" i="76"/>
  <c r="Y43" i="76"/>
  <c r="Y42" i="76"/>
  <c r="Y41" i="76"/>
  <c r="G32" i="76"/>
  <c r="V32" i="76"/>
  <c r="E23" i="76"/>
  <c r="I23" i="76" s="1"/>
  <c r="T6" i="76"/>
  <c r="R2" i="76"/>
  <c r="V103" i="75"/>
  <c r="G103" i="75"/>
  <c r="X97" i="75"/>
  <c r="E98" i="75"/>
  <c r="T97" i="75"/>
  <c r="X96" i="75"/>
  <c r="T96" i="75"/>
  <c r="T92" i="75"/>
  <c r="V92" i="75"/>
  <c r="T91" i="75"/>
  <c r="V91" i="75"/>
  <c r="T90" i="75"/>
  <c r="V90" i="75"/>
  <c r="V86" i="75"/>
  <c r="J81" i="75"/>
  <c r="Y80" i="75"/>
  <c r="V67" i="75"/>
  <c r="X64" i="75"/>
  <c r="X61" i="75"/>
  <c r="X58" i="75"/>
  <c r="X55" i="75"/>
  <c r="X52" i="75"/>
  <c r="T50" i="75"/>
  <c r="E46" i="75"/>
  <c r="Y49" i="75"/>
  <c r="Y48" i="75"/>
  <c r="Y47" i="75"/>
  <c r="Y46" i="75"/>
  <c r="Y45" i="75"/>
  <c r="Y44" i="75"/>
  <c r="Y43" i="75"/>
  <c r="Y42" i="75"/>
  <c r="Y41" i="75"/>
  <c r="G32" i="75"/>
  <c r="V32" i="75"/>
  <c r="E23" i="75"/>
  <c r="I23" i="75" s="1"/>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T6" i="75"/>
  <c r="R2" i="75"/>
  <c r="J104" i="74"/>
  <c r="G103" i="74"/>
  <c r="X97" i="74"/>
  <c r="Y97" i="74" s="1"/>
  <c r="E98" i="74"/>
  <c r="T97" i="74"/>
  <c r="X96" i="74"/>
  <c r="T96" i="74"/>
  <c r="T92" i="74"/>
  <c r="V92" i="74"/>
  <c r="T91" i="74"/>
  <c r="V91" i="74"/>
  <c r="T90" i="74"/>
  <c r="V90" i="74"/>
  <c r="V86" i="74"/>
  <c r="V85" i="74"/>
  <c r="Y81" i="74"/>
  <c r="Y80" i="74"/>
  <c r="V67" i="74"/>
  <c r="X64" i="74"/>
  <c r="X61" i="74"/>
  <c r="X58" i="74"/>
  <c r="X55" i="74"/>
  <c r="X52" i="74"/>
  <c r="T50" i="74"/>
  <c r="E46" i="74"/>
  <c r="Y49" i="74"/>
  <c r="Y48" i="74"/>
  <c r="Y47" i="74"/>
  <c r="Y46" i="74"/>
  <c r="Y45" i="74"/>
  <c r="Y44" i="74"/>
  <c r="Y43" i="74"/>
  <c r="Y42" i="74"/>
  <c r="Y41" i="74"/>
  <c r="G32" i="74"/>
  <c r="V32" i="74"/>
  <c r="E23" i="74"/>
  <c r="I23" i="74" s="1"/>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T6" i="74"/>
  <c r="R2" i="74"/>
  <c r="V103" i="73"/>
  <c r="J104" i="73"/>
  <c r="G103" i="73"/>
  <c r="J98" i="73"/>
  <c r="E98" i="73"/>
  <c r="T97" i="73"/>
  <c r="X96" i="73"/>
  <c r="T96" i="73"/>
  <c r="T92" i="73"/>
  <c r="V92" i="73"/>
  <c r="T91" i="73"/>
  <c r="V91" i="73"/>
  <c r="T90" i="73"/>
  <c r="V90" i="73"/>
  <c r="V87" i="73"/>
  <c r="V85" i="73"/>
  <c r="Y81" i="73"/>
  <c r="J81" i="73"/>
  <c r="Y80" i="73"/>
  <c r="V67" i="73"/>
  <c r="X64" i="73"/>
  <c r="X61" i="73"/>
  <c r="X58" i="73"/>
  <c r="X55" i="73"/>
  <c r="X52" i="73"/>
  <c r="T50" i="73"/>
  <c r="E46" i="73"/>
  <c r="Y49" i="73"/>
  <c r="Y48" i="73"/>
  <c r="Y47" i="73"/>
  <c r="Y46" i="73"/>
  <c r="Y45" i="73"/>
  <c r="Y44" i="73"/>
  <c r="Y43" i="73"/>
  <c r="Y42" i="73"/>
  <c r="Y41" i="73"/>
  <c r="G32" i="73"/>
  <c r="V32" i="73"/>
  <c r="E23" i="73"/>
  <c r="I23" i="73" s="1"/>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T6" i="73"/>
  <c r="R2" i="73"/>
  <c r="V103" i="72"/>
  <c r="J104" i="72"/>
  <c r="G103" i="72"/>
  <c r="X97" i="72"/>
  <c r="Y97" i="72" s="1"/>
  <c r="E98" i="72"/>
  <c r="T97" i="72"/>
  <c r="X96" i="72"/>
  <c r="T96" i="72"/>
  <c r="T92" i="72"/>
  <c r="V92" i="72"/>
  <c r="T91" i="72"/>
  <c r="V91" i="72"/>
  <c r="T90" i="72"/>
  <c r="V90" i="72"/>
  <c r="V86" i="72"/>
  <c r="V83" i="72"/>
  <c r="Y81" i="72"/>
  <c r="J81" i="72"/>
  <c r="Y80" i="72"/>
  <c r="V70" i="72"/>
  <c r="V67" i="72"/>
  <c r="X64" i="72"/>
  <c r="X61" i="72"/>
  <c r="X58" i="72"/>
  <c r="X55" i="72"/>
  <c r="X52" i="72"/>
  <c r="T50" i="72"/>
  <c r="E46" i="72"/>
  <c r="Y49" i="72"/>
  <c r="Y48" i="72"/>
  <c r="Y47" i="72"/>
  <c r="Y46" i="72"/>
  <c r="Y45" i="72"/>
  <c r="Y44" i="72"/>
  <c r="Y43" i="72"/>
  <c r="Y42" i="72"/>
  <c r="Y41" i="72"/>
  <c r="G32" i="72"/>
  <c r="V32" i="72"/>
  <c r="E23" i="72"/>
  <c r="I23" i="72" s="1"/>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T6" i="72"/>
  <c r="R2" i="72"/>
  <c r="V103" i="71"/>
  <c r="J104" i="71"/>
  <c r="G103" i="71"/>
  <c r="X97" i="71"/>
  <c r="E98" i="71"/>
  <c r="T97" i="71"/>
  <c r="X96" i="71"/>
  <c r="T96" i="71"/>
  <c r="T92" i="71"/>
  <c r="V92" i="71"/>
  <c r="T91" i="71"/>
  <c r="V91" i="71"/>
  <c r="T90" i="71"/>
  <c r="V90" i="71"/>
  <c r="V86" i="71"/>
  <c r="V83" i="71"/>
  <c r="Y81" i="71"/>
  <c r="X83" i="71" s="1"/>
  <c r="J81" i="71"/>
  <c r="Y80" i="71"/>
  <c r="V71" i="71"/>
  <c r="V70" i="71"/>
  <c r="V67" i="71"/>
  <c r="X64" i="71"/>
  <c r="X61" i="71"/>
  <c r="X58" i="71"/>
  <c r="X55" i="71"/>
  <c r="X52" i="71"/>
  <c r="T50" i="71"/>
  <c r="Y49" i="71"/>
  <c r="Y48" i="71"/>
  <c r="Y47" i="71"/>
  <c r="Y46" i="71"/>
  <c r="Y45" i="71"/>
  <c r="Y44" i="71"/>
  <c r="Y43" i="71"/>
  <c r="Y42" i="71"/>
  <c r="Y41" i="71"/>
  <c r="G32" i="71"/>
  <c r="V32" i="71"/>
  <c r="E23" i="71"/>
  <c r="I23" i="71" s="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T6" i="71"/>
  <c r="D92" i="71"/>
  <c r="R2" i="71"/>
  <c r="J104" i="70"/>
  <c r="G103" i="70"/>
  <c r="J98" i="70"/>
  <c r="E98" i="70"/>
  <c r="T97" i="70"/>
  <c r="X96" i="70"/>
  <c r="T96" i="70"/>
  <c r="T92" i="70"/>
  <c r="V92" i="70"/>
  <c r="T91" i="70"/>
  <c r="V91" i="70"/>
  <c r="T90" i="70"/>
  <c r="V90" i="70"/>
  <c r="V86" i="70"/>
  <c r="V83" i="70"/>
  <c r="Y81" i="70"/>
  <c r="J81" i="70"/>
  <c r="Y80" i="70"/>
  <c r="V70" i="70"/>
  <c r="V67" i="70"/>
  <c r="X64" i="70"/>
  <c r="X61" i="70"/>
  <c r="X58" i="70"/>
  <c r="X55" i="70"/>
  <c r="X52" i="70"/>
  <c r="T50" i="70"/>
  <c r="E46" i="70"/>
  <c r="Y49" i="70"/>
  <c r="Y48" i="70"/>
  <c r="Y47" i="70"/>
  <c r="Y46" i="70"/>
  <c r="Y45" i="70"/>
  <c r="Y44" i="70"/>
  <c r="Y43" i="70"/>
  <c r="Y42" i="70"/>
  <c r="Y41" i="70"/>
  <c r="G32" i="70"/>
  <c r="V32" i="70"/>
  <c r="E23" i="70"/>
  <c r="I23" i="70" s="1"/>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T6" i="70"/>
  <c r="R2" i="70"/>
  <c r="V103" i="69"/>
  <c r="J104" i="69"/>
  <c r="G103" i="69"/>
  <c r="X97" i="69"/>
  <c r="Y97" i="69" s="1"/>
  <c r="E98" i="69"/>
  <c r="T97" i="69"/>
  <c r="X96" i="69"/>
  <c r="T96" i="69"/>
  <c r="T92" i="69"/>
  <c r="V92" i="69"/>
  <c r="T91" i="69"/>
  <c r="V91" i="69"/>
  <c r="T90" i="69"/>
  <c r="V90" i="69"/>
  <c r="V86" i="69"/>
  <c r="V83" i="69"/>
  <c r="Y81" i="69"/>
  <c r="X83" i="69" s="1"/>
  <c r="J81" i="69"/>
  <c r="Y80" i="69"/>
  <c r="V71" i="69"/>
  <c r="V70" i="69"/>
  <c r="V67" i="69"/>
  <c r="X64" i="69"/>
  <c r="X61" i="69"/>
  <c r="X58" i="69"/>
  <c r="X55" i="69"/>
  <c r="X52" i="69"/>
  <c r="T50" i="69"/>
  <c r="Y49" i="69"/>
  <c r="Y48" i="69"/>
  <c r="Y47" i="69"/>
  <c r="Y46" i="69"/>
  <c r="Y45" i="69"/>
  <c r="Y44" i="69"/>
  <c r="Y43" i="69"/>
  <c r="Y42" i="69"/>
  <c r="Y41" i="69"/>
  <c r="G32" i="69"/>
  <c r="V32" i="69"/>
  <c r="E23" i="69"/>
  <c r="T23" i="69" s="1"/>
  <c r="X23" i="69" s="1"/>
  <c r="E27" i="69"/>
  <c r="T27" i="69" s="1"/>
  <c r="X27" i="69" s="1"/>
  <c r="E21" i="69"/>
  <c r="I21" i="69" s="1"/>
  <c r="T6" i="69"/>
  <c r="R2" i="69"/>
  <c r="J104" i="68"/>
  <c r="G103" i="68"/>
  <c r="X97" i="68"/>
  <c r="Y97" i="68" s="1"/>
  <c r="E98" i="68"/>
  <c r="X96" i="68"/>
  <c r="T96" i="68"/>
  <c r="T92" i="68"/>
  <c r="V92" i="68"/>
  <c r="T91" i="68"/>
  <c r="V91" i="68"/>
  <c r="T90" i="68"/>
  <c r="V90" i="68"/>
  <c r="V86" i="68"/>
  <c r="V85" i="68"/>
  <c r="Y81" i="68"/>
  <c r="X83" i="68" s="1"/>
  <c r="J81" i="68"/>
  <c r="Y80" i="68"/>
  <c r="V67" i="68"/>
  <c r="X64" i="68"/>
  <c r="X61" i="68"/>
  <c r="X58" i="68"/>
  <c r="X55" i="68"/>
  <c r="X52" i="68"/>
  <c r="T50" i="68"/>
  <c r="E46" i="68"/>
  <c r="Y49" i="68"/>
  <c r="Y48" i="68"/>
  <c r="Y47" i="68"/>
  <c r="Y46" i="68"/>
  <c r="Y45" i="68"/>
  <c r="Y44" i="68"/>
  <c r="Y43" i="68"/>
  <c r="Y42" i="68"/>
  <c r="Y41" i="68"/>
  <c r="G32" i="68"/>
  <c r="V32" i="68"/>
  <c r="E23" i="68"/>
  <c r="T6" i="68"/>
  <c r="R2" i="68"/>
  <c r="J104" i="67"/>
  <c r="G103" i="67"/>
  <c r="X97" i="67"/>
  <c r="X96" i="67"/>
  <c r="T96" i="67"/>
  <c r="T92" i="67"/>
  <c r="V92" i="67"/>
  <c r="T91" i="67"/>
  <c r="V91" i="67"/>
  <c r="T90" i="67"/>
  <c r="V90" i="67"/>
  <c r="V87" i="67"/>
  <c r="V86" i="67"/>
  <c r="V83" i="67"/>
  <c r="Y81" i="67"/>
  <c r="X83" i="67" s="1"/>
  <c r="J81" i="67"/>
  <c r="Y80" i="67"/>
  <c r="V71" i="67"/>
  <c r="V70" i="67"/>
  <c r="V67" i="67"/>
  <c r="X64" i="67"/>
  <c r="X61" i="67"/>
  <c r="X58" i="67"/>
  <c r="X55" i="67"/>
  <c r="X52" i="67"/>
  <c r="T50" i="67"/>
  <c r="Y49" i="67"/>
  <c r="Y48" i="67"/>
  <c r="Y47" i="67"/>
  <c r="Y46" i="67"/>
  <c r="Y45" i="67"/>
  <c r="Y44" i="67"/>
  <c r="Y43" i="67"/>
  <c r="Y42" i="67"/>
  <c r="Y41" i="67"/>
  <c r="G32" i="67"/>
  <c r="V32" i="67"/>
  <c r="E23" i="67"/>
  <c r="T23" i="67" s="1"/>
  <c r="X23" i="67" s="1"/>
  <c r="T6" i="67"/>
  <c r="D90" i="67"/>
  <c r="R2" i="67"/>
  <c r="G103" i="66"/>
  <c r="X97" i="66"/>
  <c r="X96" i="66"/>
  <c r="T92" i="66"/>
  <c r="V92" i="66"/>
  <c r="T91" i="66"/>
  <c r="V91" i="66"/>
  <c r="T90" i="66"/>
  <c r="V90" i="66"/>
  <c r="V85" i="66"/>
  <c r="V83" i="66"/>
  <c r="Y81" i="66"/>
  <c r="X83" i="66" s="1"/>
  <c r="J81" i="66"/>
  <c r="Y80" i="66"/>
  <c r="V71" i="66"/>
  <c r="V70" i="66"/>
  <c r="V67" i="66"/>
  <c r="X64" i="66"/>
  <c r="X61" i="66"/>
  <c r="X58" i="66"/>
  <c r="X55" i="66"/>
  <c r="X52" i="66"/>
  <c r="T50" i="66"/>
  <c r="Y49" i="66"/>
  <c r="Y48" i="66"/>
  <c r="Y47" i="66"/>
  <c r="Y46" i="66"/>
  <c r="Y45" i="66"/>
  <c r="Y44" i="66"/>
  <c r="Y43" i="66"/>
  <c r="Y42" i="66"/>
  <c r="Y41" i="66"/>
  <c r="G32" i="66"/>
  <c r="V32" i="66"/>
  <c r="E23" i="66"/>
  <c r="I23" i="66" s="1"/>
  <c r="T6" i="66"/>
  <c r="D92" i="66"/>
  <c r="R2" i="66"/>
  <c r="E98" i="65"/>
  <c r="V103" i="65"/>
  <c r="G103" i="65"/>
  <c r="X97" i="65"/>
  <c r="T97" i="65"/>
  <c r="X96" i="65"/>
  <c r="T96" i="65"/>
  <c r="T92" i="65"/>
  <c r="V92" i="65"/>
  <c r="T91" i="65"/>
  <c r="V91" i="65"/>
  <c r="T90" i="65"/>
  <c r="V90" i="65"/>
  <c r="V86" i="65"/>
  <c r="V83" i="65"/>
  <c r="Y81" i="65"/>
  <c r="J81" i="65"/>
  <c r="Y80" i="65"/>
  <c r="V71" i="65"/>
  <c r="V70" i="65"/>
  <c r="V67" i="65"/>
  <c r="X64" i="65"/>
  <c r="X61" i="65"/>
  <c r="X58" i="65"/>
  <c r="X55" i="65"/>
  <c r="X52" i="65"/>
  <c r="T50" i="65"/>
  <c r="E46" i="65"/>
  <c r="Y49" i="65"/>
  <c r="Y48" i="65"/>
  <c r="Y47" i="65"/>
  <c r="Y46" i="65"/>
  <c r="Y45" i="65"/>
  <c r="Y44" i="65"/>
  <c r="Y43" i="65"/>
  <c r="Y42" i="65"/>
  <c r="Y41" i="65"/>
  <c r="G32" i="65"/>
  <c r="V32" i="65"/>
  <c r="E23" i="65"/>
  <c r="I23" i="65" s="1"/>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T6" i="65"/>
  <c r="R2" i="65"/>
  <c r="V103" i="64"/>
  <c r="J104" i="64"/>
  <c r="G103" i="64"/>
  <c r="X97" i="64"/>
  <c r="Y97" i="64" s="1"/>
  <c r="E98" i="64"/>
  <c r="T97" i="64"/>
  <c r="X96" i="64"/>
  <c r="T96" i="64"/>
  <c r="T92" i="64"/>
  <c r="V92" i="64"/>
  <c r="T91" i="64"/>
  <c r="V91" i="64"/>
  <c r="T90" i="64"/>
  <c r="V90" i="64"/>
  <c r="V87" i="64"/>
  <c r="V86" i="64"/>
  <c r="Y81" i="64"/>
  <c r="X83" i="64" s="1"/>
  <c r="J81" i="64"/>
  <c r="Y80" i="64"/>
  <c r="V67" i="64"/>
  <c r="X64" i="64"/>
  <c r="X61" i="64"/>
  <c r="X58" i="64"/>
  <c r="X55" i="64"/>
  <c r="X52" i="64"/>
  <c r="T50" i="64"/>
  <c r="E46" i="64"/>
  <c r="Y49" i="64"/>
  <c r="Y48" i="64"/>
  <c r="Y47" i="64"/>
  <c r="Y46" i="64"/>
  <c r="Y45" i="64"/>
  <c r="Y44" i="64"/>
  <c r="Y43" i="64"/>
  <c r="Y42" i="64"/>
  <c r="Y41" i="64"/>
  <c r="G32" i="64"/>
  <c r="V32" i="64"/>
  <c r="E23" i="64"/>
  <c r="T6" i="64"/>
  <c r="R2" i="64"/>
  <c r="T96" i="63"/>
  <c r="J104" i="63"/>
  <c r="G103" i="63"/>
  <c r="X97" i="63"/>
  <c r="E98" i="63"/>
  <c r="T97" i="63"/>
  <c r="X96" i="63"/>
  <c r="T92" i="63"/>
  <c r="V92" i="63"/>
  <c r="T91" i="63"/>
  <c r="V91" i="63"/>
  <c r="T90" i="63"/>
  <c r="V90" i="63"/>
  <c r="V85" i="63"/>
  <c r="V83" i="63"/>
  <c r="Y81" i="63"/>
  <c r="X83" i="63" s="1"/>
  <c r="J81" i="63"/>
  <c r="Y80" i="63"/>
  <c r="V71" i="63"/>
  <c r="V67" i="63"/>
  <c r="X64" i="63"/>
  <c r="X61" i="63"/>
  <c r="X58" i="63"/>
  <c r="X55" i="63"/>
  <c r="X52" i="63"/>
  <c r="T50" i="63"/>
  <c r="Y49" i="63"/>
  <c r="Y48" i="63"/>
  <c r="Y47" i="63"/>
  <c r="Y46" i="63"/>
  <c r="Y45" i="63"/>
  <c r="Y44" i="63"/>
  <c r="Y43" i="63"/>
  <c r="Y42" i="63"/>
  <c r="Y41" i="63"/>
  <c r="G32" i="63"/>
  <c r="V32" i="63"/>
  <c r="E23" i="63"/>
  <c r="T23" i="63" s="1"/>
  <c r="X23" i="63" s="1"/>
  <c r="T6" i="63"/>
  <c r="R2" i="63"/>
  <c r="J104" i="62"/>
  <c r="G103" i="62"/>
  <c r="X97" i="62"/>
  <c r="X96" i="62"/>
  <c r="T96" i="62"/>
  <c r="T92" i="62"/>
  <c r="V92" i="62"/>
  <c r="T91" i="62"/>
  <c r="V91" i="62"/>
  <c r="T90" i="62"/>
  <c r="V90" i="62"/>
  <c r="V86" i="62"/>
  <c r="V83" i="62"/>
  <c r="Y81" i="62"/>
  <c r="X83" i="62" s="1"/>
  <c r="J81" i="62"/>
  <c r="Y80" i="62"/>
  <c r="V71" i="62"/>
  <c r="V70" i="62"/>
  <c r="V67" i="62"/>
  <c r="X64" i="62"/>
  <c r="X61" i="62"/>
  <c r="X58" i="62"/>
  <c r="X55" i="62"/>
  <c r="X52" i="62"/>
  <c r="T50" i="62"/>
  <c r="Y49" i="62"/>
  <c r="Y48" i="62"/>
  <c r="Y47" i="62"/>
  <c r="Y46" i="62"/>
  <c r="Y45" i="62"/>
  <c r="Y44" i="62"/>
  <c r="Y43" i="62"/>
  <c r="Y42" i="62"/>
  <c r="Y41" i="62"/>
  <c r="G32" i="62"/>
  <c r="V32" i="62"/>
  <c r="E23" i="62"/>
  <c r="T23" i="62" s="1"/>
  <c r="X23" i="62" s="1"/>
  <c r="T6" i="62"/>
  <c r="R2" i="62"/>
  <c r="T97" i="2"/>
  <c r="T96" i="2"/>
  <c r="T97" i="58"/>
  <c r="T97" i="59"/>
  <c r="T96" i="59"/>
  <c r="T97" i="60"/>
  <c r="T96" i="60"/>
  <c r="T96" i="61"/>
  <c r="T97" i="61"/>
  <c r="V103" i="61"/>
  <c r="G103" i="61"/>
  <c r="J98" i="61"/>
  <c r="E98" i="61"/>
  <c r="X96" i="61"/>
  <c r="T92" i="61"/>
  <c r="V92" i="61"/>
  <c r="T91" i="61"/>
  <c r="V91" i="61"/>
  <c r="T90" i="61"/>
  <c r="V90" i="61"/>
  <c r="V87" i="61"/>
  <c r="V86" i="61"/>
  <c r="Y81" i="61"/>
  <c r="J81" i="61"/>
  <c r="Y80" i="61"/>
  <c r="V71" i="61"/>
  <c r="V70" i="61"/>
  <c r="V67" i="61"/>
  <c r="X64" i="61"/>
  <c r="X61" i="61"/>
  <c r="X58" i="61"/>
  <c r="X55" i="61"/>
  <c r="X52" i="61"/>
  <c r="T50" i="61"/>
  <c r="E46" i="61"/>
  <c r="Y49" i="61"/>
  <c r="Y48" i="61"/>
  <c r="Y47" i="61"/>
  <c r="Y46" i="61"/>
  <c r="Y45" i="61"/>
  <c r="Y44" i="61"/>
  <c r="Y43" i="61"/>
  <c r="Y42" i="61"/>
  <c r="Y41" i="61"/>
  <c r="G32" i="61"/>
  <c r="V32" i="61"/>
  <c r="E23" i="61"/>
  <c r="I23" i="61" s="1"/>
  <c r="E24" i="61"/>
  <c r="I24" i="61" s="1"/>
  <c r="T6" i="61"/>
  <c r="R2" i="61"/>
  <c r="V103" i="60"/>
  <c r="G103" i="60"/>
  <c r="E98" i="60"/>
  <c r="T92" i="60"/>
  <c r="V92" i="60"/>
  <c r="T91" i="60"/>
  <c r="V91" i="60"/>
  <c r="T90" i="60"/>
  <c r="V90" i="60"/>
  <c r="V87" i="60"/>
  <c r="V86" i="60"/>
  <c r="V85" i="60"/>
  <c r="V83" i="60"/>
  <c r="Y81" i="60"/>
  <c r="J81" i="60"/>
  <c r="Y80" i="60"/>
  <c r="V70" i="60"/>
  <c r="V67" i="60"/>
  <c r="X64" i="60"/>
  <c r="X61" i="60"/>
  <c r="X58" i="60"/>
  <c r="X55" i="60"/>
  <c r="X52" i="60"/>
  <c r="T50" i="60"/>
  <c r="E46" i="60"/>
  <c r="Y49" i="60"/>
  <c r="Y48" i="60"/>
  <c r="Y47" i="60"/>
  <c r="Y46" i="60"/>
  <c r="Y45" i="60"/>
  <c r="Y44" i="60"/>
  <c r="Y43" i="60"/>
  <c r="Y42" i="60"/>
  <c r="Y41" i="60"/>
  <c r="G32" i="60"/>
  <c r="V32" i="60"/>
  <c r="E23" i="60"/>
  <c r="I23" i="60" s="1"/>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T6" i="60"/>
  <c r="R2" i="60"/>
  <c r="G103" i="59"/>
  <c r="J98" i="59"/>
  <c r="E98" i="59"/>
  <c r="X96" i="59"/>
  <c r="T92" i="59"/>
  <c r="V92" i="59"/>
  <c r="T91" i="59"/>
  <c r="V91" i="59"/>
  <c r="T90" i="59"/>
  <c r="V90" i="59"/>
  <c r="V87" i="59"/>
  <c r="V85" i="59"/>
  <c r="V83" i="59"/>
  <c r="Y81" i="59"/>
  <c r="X83" i="59" s="1"/>
  <c r="J81" i="59"/>
  <c r="Y80" i="59"/>
  <c r="V71" i="59"/>
  <c r="V70" i="59"/>
  <c r="V67" i="59"/>
  <c r="X64" i="59"/>
  <c r="X61" i="59"/>
  <c r="X58" i="59"/>
  <c r="X55" i="59"/>
  <c r="X52" i="59"/>
  <c r="T50" i="59"/>
  <c r="Y49" i="59"/>
  <c r="Y48" i="59"/>
  <c r="Y47" i="59"/>
  <c r="Y46" i="59"/>
  <c r="Y45" i="59"/>
  <c r="Y44" i="59"/>
  <c r="Y43" i="59"/>
  <c r="Y42" i="59"/>
  <c r="Y41" i="59"/>
  <c r="G32" i="59"/>
  <c r="V32" i="59"/>
  <c r="E23" i="59"/>
  <c r="T23" i="59" s="1"/>
  <c r="X23" i="59" s="1"/>
  <c r="T6" i="59"/>
  <c r="R2" i="59"/>
  <c r="V103" i="58"/>
  <c r="J104" i="58"/>
  <c r="G103" i="58"/>
  <c r="X97" i="58"/>
  <c r="Y97" i="58" s="1"/>
  <c r="E98" i="58"/>
  <c r="X96" i="58"/>
  <c r="T92" i="58"/>
  <c r="V92" i="58"/>
  <c r="T91" i="58"/>
  <c r="V91" i="58"/>
  <c r="T90" i="58"/>
  <c r="V90" i="58"/>
  <c r="V87" i="58"/>
  <c r="V86" i="58"/>
  <c r="V85" i="58"/>
  <c r="V83" i="58"/>
  <c r="Y81" i="58"/>
  <c r="J81" i="58"/>
  <c r="Y80" i="58"/>
  <c r="V70" i="58"/>
  <c r="V67" i="58"/>
  <c r="X64" i="58"/>
  <c r="X61" i="58"/>
  <c r="X58" i="58"/>
  <c r="X55" i="58"/>
  <c r="X52" i="58"/>
  <c r="T50" i="58"/>
  <c r="E46" i="58"/>
  <c r="Y49" i="58"/>
  <c r="Y48" i="58"/>
  <c r="Y47" i="58"/>
  <c r="Y46" i="58"/>
  <c r="Y45" i="58"/>
  <c r="Y44" i="58"/>
  <c r="Y43" i="58"/>
  <c r="Y42" i="58"/>
  <c r="Y41" i="58"/>
  <c r="G32" i="58"/>
  <c r="V32" i="58"/>
  <c r="T6" i="58"/>
  <c r="R2" i="58"/>
  <c r="E127" i="57"/>
  <c r="E129" i="57" s="1"/>
  <c r="Q123" i="57"/>
  <c r="Q122" i="57"/>
  <c r="Q121" i="57"/>
  <c r="Q120" i="57"/>
  <c r="Q119" i="57"/>
  <c r="Q118" i="57"/>
  <c r="Q117" i="57"/>
  <c r="Q116" i="57"/>
  <c r="Q114"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5" i="57"/>
  <c r="Q84" i="57"/>
  <c r="Q83" i="57"/>
  <c r="Q82" i="57"/>
  <c r="Q81" i="57"/>
  <c r="Q80" i="57"/>
  <c r="Q79" i="57"/>
  <c r="Q78" i="57"/>
  <c r="Q77" i="57"/>
  <c r="Q76" i="57"/>
  <c r="Q75" i="57"/>
  <c r="R127" i="57"/>
  <c r="P58" i="57"/>
  <c r="O58" i="57"/>
  <c r="N58" i="57"/>
  <c r="L58" i="57"/>
  <c r="R57" i="57"/>
  <c r="Q47" i="57"/>
  <c r="Q34" i="57"/>
  <c r="Q21" i="57"/>
  <c r="E137" i="56"/>
  <c r="H136" i="56"/>
  <c r="F136" i="56"/>
  <c r="H135" i="56"/>
  <c r="H137" i="56" s="1"/>
  <c r="D133" i="56"/>
  <c r="C133" i="56"/>
  <c r="K92" i="56"/>
  <c r="L92" i="56" s="1"/>
  <c r="E135" i="56"/>
  <c r="D58" i="56"/>
  <c r="C58" i="56"/>
  <c r="D37" i="56"/>
  <c r="C37" i="56"/>
  <c r="Y42" i="54"/>
  <c r="X42" i="54"/>
  <c r="Y39" i="54"/>
  <c r="Y34" i="54"/>
  <c r="Y33" i="54"/>
  <c r="X33" i="54"/>
  <c r="Y32" i="54"/>
  <c r="Y31" i="54"/>
  <c r="Y30" i="54"/>
  <c r="X30" i="54"/>
  <c r="Y29" i="54"/>
  <c r="Y28" i="54"/>
  <c r="X28" i="54"/>
  <c r="X27" i="54"/>
  <c r="Y26" i="54"/>
  <c r="X26" i="54"/>
  <c r="Y25" i="54"/>
  <c r="Y21" i="54"/>
  <c r="X21" i="54"/>
  <c r="Y20" i="54"/>
  <c r="X18" i="54"/>
  <c r="X17" i="54"/>
  <c r="X16" i="54"/>
  <c r="Y15" i="54"/>
  <c r="Y14" i="54"/>
  <c r="X14" i="54"/>
  <c r="X13" i="54"/>
  <c r="X12" i="54"/>
  <c r="X11" i="54"/>
  <c r="Y10" i="54"/>
  <c r="Y9" i="54"/>
  <c r="X8" i="54"/>
  <c r="Y6" i="54"/>
  <c r="X6" i="54"/>
  <c r="Y81" i="2"/>
  <c r="I153" i="56" l="1"/>
  <c r="Y96" i="93"/>
  <c r="Y96" i="105"/>
  <c r="I135" i="56"/>
  <c r="E20" i="104"/>
  <c r="I20" i="104" s="1"/>
  <c r="J20" i="104" s="1"/>
  <c r="E21" i="104"/>
  <c r="I21" i="104" s="1"/>
  <c r="J21" i="104" s="1"/>
  <c r="E12" i="103"/>
  <c r="I12" i="103" s="1"/>
  <c r="J12" i="103" s="1"/>
  <c r="E14" i="103"/>
  <c r="I14" i="103" s="1"/>
  <c r="J14" i="103" s="1"/>
  <c r="E27" i="103"/>
  <c r="I27" i="103" s="1"/>
  <c r="J27" i="103" s="1"/>
  <c r="E24" i="102"/>
  <c r="I24" i="102" s="1"/>
  <c r="J24" i="102" s="1"/>
  <c r="E27" i="102"/>
  <c r="I27" i="102" s="1"/>
  <c r="J27" i="102" s="1"/>
  <c r="E27" i="100"/>
  <c r="I27" i="100" s="1"/>
  <c r="J27" i="100" s="1"/>
  <c r="E25" i="98"/>
  <c r="I25" i="98" s="1"/>
  <c r="J25" i="98" s="1"/>
  <c r="E24" i="98"/>
  <c r="I24" i="98" s="1"/>
  <c r="J24" i="98" s="1"/>
  <c r="E47" i="95"/>
  <c r="J47" i="95" s="1"/>
  <c r="E24" i="95"/>
  <c r="I24" i="95" s="1"/>
  <c r="J24" i="95" s="1"/>
  <c r="E27" i="95"/>
  <c r="I27" i="95" s="1"/>
  <c r="J27" i="95" s="1"/>
  <c r="E20" i="95"/>
  <c r="I20" i="95" s="1"/>
  <c r="J20" i="95" s="1"/>
  <c r="E20" i="94"/>
  <c r="I20" i="94" s="1"/>
  <c r="J20" i="94" s="1"/>
  <c r="E21" i="94"/>
  <c r="I21" i="94" s="1"/>
  <c r="J21" i="94" s="1"/>
  <c r="E24" i="94"/>
  <c r="I24" i="94" s="1"/>
  <c r="J24" i="94" s="1"/>
  <c r="E43" i="93"/>
  <c r="J43" i="93" s="1"/>
  <c r="E20" i="93"/>
  <c r="I20" i="93" s="1"/>
  <c r="J20" i="93" s="1"/>
  <c r="E42" i="91"/>
  <c r="J42" i="91" s="1"/>
  <c r="E27" i="91"/>
  <c r="I27" i="91" s="1"/>
  <c r="J27" i="91" s="1"/>
  <c r="E20" i="91"/>
  <c r="I20" i="91" s="1"/>
  <c r="J20" i="91" s="1"/>
  <c r="E14" i="91"/>
  <c r="I14" i="91" s="1"/>
  <c r="J14" i="91" s="1"/>
  <c r="E27" i="90"/>
  <c r="I27" i="90" s="1"/>
  <c r="J27" i="90" s="1"/>
  <c r="E47" i="89"/>
  <c r="J47" i="89" s="1"/>
  <c r="E14" i="89"/>
  <c r="I14" i="89" s="1"/>
  <c r="J14" i="89" s="1"/>
  <c r="E27" i="89"/>
  <c r="I27" i="89" s="1"/>
  <c r="J27" i="89" s="1"/>
  <c r="E21" i="89"/>
  <c r="I21" i="89" s="1"/>
  <c r="J21" i="89" s="1"/>
  <c r="E24" i="89"/>
  <c r="I24" i="89" s="1"/>
  <c r="J24" i="89" s="1"/>
  <c r="E21" i="88"/>
  <c r="I21" i="88" s="1"/>
  <c r="J21" i="88" s="1"/>
  <c r="E20" i="88"/>
  <c r="I20" i="88" s="1"/>
  <c r="J20" i="88" s="1"/>
  <c r="E24" i="87"/>
  <c r="I24" i="87" s="1"/>
  <c r="J24" i="87" s="1"/>
  <c r="E42" i="86"/>
  <c r="J42" i="86" s="1"/>
  <c r="E21" i="86"/>
  <c r="I21" i="86" s="1"/>
  <c r="J21" i="86" s="1"/>
  <c r="E27" i="83"/>
  <c r="I27" i="83" s="1"/>
  <c r="J27" i="83" s="1"/>
  <c r="E27" i="79"/>
  <c r="I27" i="79" s="1"/>
  <c r="J27" i="79" s="1"/>
  <c r="E18" i="78"/>
  <c r="I18" i="78" s="1"/>
  <c r="J18" i="78" s="1"/>
  <c r="E20" i="78"/>
  <c r="I20" i="78" s="1"/>
  <c r="J20" i="78" s="1"/>
  <c r="E21" i="78"/>
  <c r="I21" i="78" s="1"/>
  <c r="J21" i="78" s="1"/>
  <c r="E24" i="77"/>
  <c r="T24" i="77" s="1"/>
  <c r="X24" i="77" s="1"/>
  <c r="Y24" i="77" s="1"/>
  <c r="E43" i="75"/>
  <c r="J43" i="75" s="1"/>
  <c r="E20" i="75"/>
  <c r="I20" i="75" s="1"/>
  <c r="J20" i="75" s="1"/>
  <c r="E20" i="74"/>
  <c r="I20" i="74" s="1"/>
  <c r="J20" i="74" s="1"/>
  <c r="E24" i="73"/>
  <c r="I24" i="73" s="1"/>
  <c r="J24" i="73" s="1"/>
  <c r="E24" i="72"/>
  <c r="I24" i="72" s="1"/>
  <c r="J24" i="72" s="1"/>
  <c r="E27" i="72"/>
  <c r="I27" i="72" s="1"/>
  <c r="J27" i="72" s="1"/>
  <c r="E21" i="72"/>
  <c r="I21" i="72" s="1"/>
  <c r="J21" i="72" s="1"/>
  <c r="E20" i="70"/>
  <c r="I20" i="70" s="1"/>
  <c r="J20" i="70" s="1"/>
  <c r="E21" i="70"/>
  <c r="I21" i="70" s="1"/>
  <c r="J21" i="70" s="1"/>
  <c r="E24" i="70"/>
  <c r="I24" i="70" s="1"/>
  <c r="J24" i="70" s="1"/>
  <c r="E14" i="70"/>
  <c r="I14" i="70" s="1"/>
  <c r="J14" i="70" s="1"/>
  <c r="E17" i="69"/>
  <c r="T17" i="69" s="1"/>
  <c r="X17" i="69" s="1"/>
  <c r="Y17" i="69" s="1"/>
  <c r="E20" i="69"/>
  <c r="I20" i="69" s="1"/>
  <c r="J20" i="69" s="1"/>
  <c r="E24" i="69"/>
  <c r="T24" i="69" s="1"/>
  <c r="X24" i="69" s="1"/>
  <c r="Y24" i="69" s="1"/>
  <c r="E14" i="69"/>
  <c r="T14" i="69" s="1"/>
  <c r="X14" i="69" s="1"/>
  <c r="Y14" i="69" s="1"/>
  <c r="E14" i="66"/>
  <c r="I14" i="66" s="1"/>
  <c r="J14" i="66" s="1"/>
  <c r="E27" i="66"/>
  <c r="I27" i="66" s="1"/>
  <c r="J27" i="66" s="1"/>
  <c r="E27" i="65"/>
  <c r="I27" i="65" s="1"/>
  <c r="J27" i="65" s="1"/>
  <c r="E17" i="63"/>
  <c r="I17" i="63" s="1"/>
  <c r="J17" i="63" s="1"/>
  <c r="E27" i="63"/>
  <c r="I27" i="63" s="1"/>
  <c r="J27" i="63" s="1"/>
  <c r="E14" i="61"/>
  <c r="I14" i="61" s="1"/>
  <c r="J14" i="61" s="1"/>
  <c r="T23" i="61"/>
  <c r="X23" i="61" s="1"/>
  <c r="Y23" i="61" s="1"/>
  <c r="X96" i="60"/>
  <c r="Y96" i="60" s="1"/>
  <c r="J97" i="60"/>
  <c r="J31" i="70"/>
  <c r="Y31" i="70" s="1"/>
  <c r="Y32" i="70" s="1"/>
  <c r="J31" i="63"/>
  <c r="Y31" i="63" s="1"/>
  <c r="Y32" i="63" s="1"/>
  <c r="J97" i="70"/>
  <c r="J97" i="67"/>
  <c r="J102" i="101"/>
  <c r="Y50" i="96"/>
  <c r="Y103" i="65"/>
  <c r="I84" i="65"/>
  <c r="J84" i="65" s="1"/>
  <c r="J31" i="59"/>
  <c r="Y31" i="59" s="1"/>
  <c r="Y32" i="59" s="1"/>
  <c r="X83" i="61"/>
  <c r="J31" i="73"/>
  <c r="Y31" i="73" s="1"/>
  <c r="Y32" i="73" s="1"/>
  <c r="Y23" i="75"/>
  <c r="J31" i="65"/>
  <c r="Y31" i="65" s="1"/>
  <c r="Y32" i="65" s="1"/>
  <c r="Y24" i="99"/>
  <c r="J97" i="101"/>
  <c r="J31" i="74"/>
  <c r="Y31" i="74" s="1"/>
  <c r="Y32" i="74" s="1"/>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Y20" i="70"/>
  <c r="Y20" i="104"/>
  <c r="J47" i="105"/>
  <c r="J31" i="58"/>
  <c r="J32" i="58" s="1"/>
  <c r="Y21" i="70"/>
  <c r="Y17" i="71"/>
  <c r="J97" i="69"/>
  <c r="E12" i="66"/>
  <c r="I12" i="66" s="1"/>
  <c r="J12" i="66" s="1"/>
  <c r="X83" i="58"/>
  <c r="I84" i="68"/>
  <c r="J84" i="68" s="1"/>
  <c r="I84" i="70"/>
  <c r="J84" i="70" s="1"/>
  <c r="J97" i="80"/>
  <c r="J31" i="60"/>
  <c r="J32" i="60" s="1"/>
  <c r="Y26" i="71"/>
  <c r="J20" i="84"/>
  <c r="J31" i="86"/>
  <c r="Y31" i="86" s="1"/>
  <c r="Y32" i="86" s="1"/>
  <c r="Y23" i="91"/>
  <c r="J31" i="104"/>
  <c r="Y31" i="104" s="1"/>
  <c r="Y32" i="104" s="1"/>
  <c r="J26" i="100"/>
  <c r="Y18" i="73"/>
  <c r="Y20" i="84"/>
  <c r="Y24" i="91"/>
  <c r="D92" i="100"/>
  <c r="Y19" i="73"/>
  <c r="Y22" i="84"/>
  <c r="Y24" i="78"/>
  <c r="Y22" i="73"/>
  <c r="J103" i="83"/>
  <c r="J23" i="84"/>
  <c r="Y21" i="65"/>
  <c r="Y23" i="73"/>
  <c r="J46" i="68"/>
  <c r="Y22" i="83"/>
  <c r="Y24" i="89"/>
  <c r="Y26" i="100"/>
  <c r="Y50" i="60"/>
  <c r="Y22" i="65"/>
  <c r="Y15" i="71"/>
  <c r="J97" i="76"/>
  <c r="Y23" i="83"/>
  <c r="J31" i="90"/>
  <c r="Y31" i="90" s="1"/>
  <c r="Y32" i="90" s="1"/>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Y24" i="71"/>
  <c r="J31" i="75"/>
  <c r="Y31" i="75" s="1"/>
  <c r="Y32" i="75" s="1"/>
  <c r="J23" i="80"/>
  <c r="J31" i="87"/>
  <c r="Y31" i="87" s="1"/>
  <c r="Y32" i="87" s="1"/>
  <c r="J31" i="93"/>
  <c r="Y31" i="93" s="1"/>
  <c r="Y32" i="93" s="1"/>
  <c r="Y17" i="100"/>
  <c r="Y20" i="103"/>
  <c r="Y103" i="91"/>
  <c r="Y102" i="69"/>
  <c r="Y19" i="97"/>
  <c r="Y23" i="60"/>
  <c r="J31" i="61"/>
  <c r="J32" i="61" s="1"/>
  <c r="Y27" i="80"/>
  <c r="J31" i="81"/>
  <c r="Y31" i="81" s="1"/>
  <c r="Y32" i="81" s="1"/>
  <c r="Y20" i="83"/>
  <c r="X83" i="87"/>
  <c r="Y22" i="89"/>
  <c r="Y25" i="96"/>
  <c r="J31" i="98"/>
  <c r="Y31" i="98" s="1"/>
  <c r="Y32" i="98" s="1"/>
  <c r="Y22" i="99"/>
  <c r="Y17" i="103"/>
  <c r="Y18" i="104"/>
  <c r="D90" i="59"/>
  <c r="Y103" i="71"/>
  <c r="Y20" i="81"/>
  <c r="Y17" i="94"/>
  <c r="Y24" i="60"/>
  <c r="J31" i="64"/>
  <c r="Y31" i="64" s="1"/>
  <c r="Y32" i="64" s="1"/>
  <c r="Y21" i="75"/>
  <c r="Y21" i="87"/>
  <c r="Y21" i="91"/>
  <c r="X83" i="91"/>
  <c r="Y23" i="95"/>
  <c r="Y23" i="67"/>
  <c r="J31" i="68"/>
  <c r="Y31" i="68" s="1"/>
  <c r="Y32" i="68" s="1"/>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3" i="103"/>
  <c r="Y103" i="103" s="1"/>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Y50" i="94"/>
  <c r="Y19" i="96"/>
  <c r="Y22" i="97"/>
  <c r="J103" i="97"/>
  <c r="Y23" i="98"/>
  <c r="Y18" i="100"/>
  <c r="D92" i="104"/>
  <c r="D90" i="87"/>
  <c r="Y17" i="98"/>
  <c r="Y15" i="60"/>
  <c r="D92" i="91"/>
  <c r="Y23" i="81"/>
  <c r="Y17" i="75"/>
  <c r="Y50" i="75"/>
  <c r="Y19" i="78"/>
  <c r="Y50" i="78"/>
  <c r="Y22" i="80"/>
  <c r="J31" i="82"/>
  <c r="Y31" i="82" s="1"/>
  <c r="Y32" i="82" s="1"/>
  <c r="Y17" i="91"/>
  <c r="Y20" i="94"/>
  <c r="Y20" i="96"/>
  <c r="Y23" i="97"/>
  <c r="Y19" i="100"/>
  <c r="Y15" i="80"/>
  <c r="Y21" i="81"/>
  <c r="J102" i="97"/>
  <c r="Y21" i="98"/>
  <c r="Y15" i="75"/>
  <c r="Y20" i="80"/>
  <c r="Y15" i="91"/>
  <c r="Y18" i="96"/>
  <c r="Y15" i="87"/>
  <c r="Y104" i="61"/>
  <c r="Y25" i="65"/>
  <c r="J102" i="68"/>
  <c r="D92" i="73"/>
  <c r="Y20" i="60"/>
  <c r="Y18" i="75"/>
  <c r="Y23" i="80"/>
  <c r="Y17" i="86"/>
  <c r="Y17" i="87"/>
  <c r="J97" i="87"/>
  <c r="Y18" i="91"/>
  <c r="Y21" i="96"/>
  <c r="Y24" i="97"/>
  <c r="J104" i="97"/>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J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Y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J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J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J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J20" i="62" s="1"/>
  <c r="E21" i="62"/>
  <c r="T21" i="62" s="1"/>
  <c r="X21" i="62" s="1"/>
  <c r="Y21" i="62" s="1"/>
  <c r="E24" i="62"/>
  <c r="I24" i="62" s="1"/>
  <c r="J24" i="62" s="1"/>
  <c r="I23" i="62"/>
  <c r="J23" i="62" s="1"/>
  <c r="E47" i="61"/>
  <c r="J47" i="61" s="1"/>
  <c r="E14" i="60"/>
  <c r="I14" i="60" s="1"/>
  <c r="J14" i="60" s="1"/>
  <c r="E18" i="60"/>
  <c r="I18" i="60" s="1"/>
  <c r="J18" i="60" s="1"/>
  <c r="E21" i="60"/>
  <c r="I21" i="60" s="1"/>
  <c r="J21" i="60" s="1"/>
  <c r="E20" i="60"/>
  <c r="I20" i="60" s="1"/>
  <c r="J20" i="60" s="1"/>
  <c r="E27" i="82"/>
  <c r="I27" i="82" s="1"/>
  <c r="J27" i="82" s="1"/>
  <c r="D90" i="82"/>
  <c r="Y27" i="82"/>
  <c r="J46" i="82"/>
  <c r="D92" i="82"/>
  <c r="J102" i="82"/>
  <c r="Y24" i="82"/>
  <c r="Y17" i="82"/>
  <c r="E18" i="82"/>
  <c r="I18" i="82" s="1"/>
  <c r="J18" i="82" s="1"/>
  <c r="Y18" i="82"/>
  <c r="Y19" i="82"/>
  <c r="E20" i="82"/>
  <c r="I20" i="82" s="1"/>
  <c r="J20" i="82" s="1"/>
  <c r="J97" i="82"/>
  <c r="Y104" i="82"/>
  <c r="Y26" i="82"/>
  <c r="J104" i="82"/>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J104" i="88"/>
  <c r="E14" i="88"/>
  <c r="I14" i="88" s="1"/>
  <c r="J14" i="88" s="1"/>
  <c r="Y27" i="88"/>
  <c r="J46" i="88"/>
  <c r="Y25" i="88"/>
  <c r="E17" i="88"/>
  <c r="I17" i="88" s="1"/>
  <c r="J17" i="88" s="1"/>
  <c r="X83" i="88"/>
  <c r="Y83" i="88" s="1"/>
  <c r="D92" i="88"/>
  <c r="Y18" i="88"/>
  <c r="Y15" i="88"/>
  <c r="J23" i="88"/>
  <c r="Y17" i="88"/>
  <c r="E18" i="88"/>
  <c r="I18" i="88" s="1"/>
  <c r="J18" i="88" s="1"/>
  <c r="Y19" i="88"/>
  <c r="Y26" i="89"/>
  <c r="J98" i="89"/>
  <c r="D90" i="89"/>
  <c r="J23" i="89"/>
  <c r="J46" i="89"/>
  <c r="Y15" i="89"/>
  <c r="J43" i="89"/>
  <c r="J102" i="89"/>
  <c r="Y17" i="89"/>
  <c r="Y18" i="89"/>
  <c r="Y19" i="89"/>
  <c r="Y27" i="89"/>
  <c r="D92" i="89"/>
  <c r="Y97" i="89"/>
  <c r="Y25" i="89"/>
  <c r="Y20" i="89"/>
  <c r="Y50" i="89"/>
  <c r="J102" i="103"/>
  <c r="J103" i="103"/>
  <c r="E24" i="103"/>
  <c r="I24" i="103" s="1"/>
  <c r="J24" i="103" s="1"/>
  <c r="D92" i="103"/>
  <c r="J104" i="103"/>
  <c r="X97" i="103"/>
  <c r="Y97" i="103" s="1"/>
  <c r="Y26" i="103"/>
  <c r="Y23" i="103"/>
  <c r="X96" i="103"/>
  <c r="Y96" i="103" s="1"/>
  <c r="Y25" i="103"/>
  <c r="Y27" i="103"/>
  <c r="Y24" i="103"/>
  <c r="Y15" i="103"/>
  <c r="J23" i="103"/>
  <c r="J46" i="103"/>
  <c r="J97" i="104"/>
  <c r="X83" i="104"/>
  <c r="Y83" i="104" s="1"/>
  <c r="V103" i="104"/>
  <c r="Y103" i="104" s="1"/>
  <c r="D90" i="104"/>
  <c r="Y15" i="104"/>
  <c r="J23" i="104"/>
  <c r="Y96" i="104"/>
  <c r="Y27" i="104"/>
  <c r="I84" i="104"/>
  <c r="J84" i="104" s="1"/>
  <c r="Y24" i="104"/>
  <c r="Y97" i="104"/>
  <c r="Y25" i="104"/>
  <c r="Y26" i="104"/>
  <c r="J102" i="104"/>
  <c r="Y13" i="104"/>
  <c r="J46" i="104"/>
  <c r="Y17" i="104"/>
  <c r="Y15" i="105"/>
  <c r="J98" i="105"/>
  <c r="D90" i="105"/>
  <c r="Y18"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Y104" i="102"/>
  <c r="J97" i="102"/>
  <c r="J102" i="102"/>
  <c r="V103" i="102"/>
  <c r="Y103" i="102" s="1"/>
  <c r="X97" i="102"/>
  <c r="Y97" i="102" s="1"/>
  <c r="Y23" i="102"/>
  <c r="J104" i="102"/>
  <c r="J23" i="102"/>
  <c r="J31" i="102"/>
  <c r="D92" i="102"/>
  <c r="X83" i="101"/>
  <c r="Y83" i="101" s="1"/>
  <c r="J98" i="101"/>
  <c r="E27" i="101"/>
  <c r="I84" i="101"/>
  <c r="J84" i="101" s="1"/>
  <c r="Y97" i="101"/>
  <c r="J46" i="101"/>
  <c r="J23" i="101"/>
  <c r="D90" i="101"/>
  <c r="J104" i="101"/>
  <c r="E19" i="100"/>
  <c r="I19" i="100" s="1"/>
  <c r="J19" i="100" s="1"/>
  <c r="Y23" i="100"/>
  <c r="Y97" i="100"/>
  <c r="E17" i="100"/>
  <c r="I17" i="100" s="1"/>
  <c r="J17" i="100" s="1"/>
  <c r="E21" i="100"/>
  <c r="I21" i="100" s="1"/>
  <c r="J21" i="100" s="1"/>
  <c r="E23" i="100"/>
  <c r="I23" i="100" s="1"/>
  <c r="J23" i="100" s="1"/>
  <c r="E24" i="100"/>
  <c r="I24" i="100" s="1"/>
  <c r="J24" i="100" s="1"/>
  <c r="X83" i="100"/>
  <c r="Y83" i="100" s="1"/>
  <c r="V103" i="100"/>
  <c r="Y103" i="100" s="1"/>
  <c r="E20" i="100"/>
  <c r="I20" i="100" s="1"/>
  <c r="J20" i="100" s="1"/>
  <c r="Y50" i="100"/>
  <c r="Y24" i="100"/>
  <c r="J102" i="100"/>
  <c r="X83" i="99"/>
  <c r="Y83" i="99" s="1"/>
  <c r="Y97" i="99"/>
  <c r="Y50" i="99"/>
  <c r="J27" i="99"/>
  <c r="Y27" i="99"/>
  <c r="J46" i="99"/>
  <c r="Y13" i="99"/>
  <c r="D90" i="99"/>
  <c r="J23" i="99"/>
  <c r="J97" i="99"/>
  <c r="J102" i="99"/>
  <c r="Y15" i="99"/>
  <c r="Y25" i="99"/>
  <c r="Y26" i="99"/>
  <c r="Y17" i="99"/>
  <c r="D92" i="99"/>
  <c r="Y18" i="99"/>
  <c r="Y25" i="98"/>
  <c r="Y102" i="98"/>
  <c r="Y104" i="98"/>
  <c r="J46" i="98"/>
  <c r="E15" i="98"/>
  <c r="I15" i="98" s="1"/>
  <c r="J15" i="98" s="1"/>
  <c r="J102" i="98"/>
  <c r="Y26" i="98"/>
  <c r="J27" i="98"/>
  <c r="I84" i="98"/>
  <c r="J84" i="98" s="1"/>
  <c r="Y13" i="98"/>
  <c r="Y27" i="98"/>
  <c r="J23" i="98"/>
  <c r="Y15" i="98"/>
  <c r="J46" i="97"/>
  <c r="E14" i="97"/>
  <c r="I14" i="97" s="1"/>
  <c r="J14" i="97" s="1"/>
  <c r="E21" i="97"/>
  <c r="I21" i="97" s="1"/>
  <c r="J21" i="97" s="1"/>
  <c r="J97" i="97"/>
  <c r="E24" i="97"/>
  <c r="I24" i="97" s="1"/>
  <c r="J24" i="97" s="1"/>
  <c r="Y25" i="97"/>
  <c r="I84" i="97"/>
  <c r="J84" i="97" s="1"/>
  <c r="X97" i="97"/>
  <c r="Y97" i="97" s="1"/>
  <c r="Y104" i="97"/>
  <c r="Y26" i="97"/>
  <c r="E27" i="97"/>
  <c r="I27" i="97" s="1"/>
  <c r="J27" i="97" s="1"/>
  <c r="Y27" i="97"/>
  <c r="I84" i="96"/>
  <c r="J84" i="96" s="1"/>
  <c r="J98" i="96"/>
  <c r="E27" i="96"/>
  <c r="I27" i="96" s="1"/>
  <c r="J27" i="96" s="1"/>
  <c r="D90" i="96"/>
  <c r="J97" i="96"/>
  <c r="Y27" i="96"/>
  <c r="J46" i="96"/>
  <c r="J102" i="96"/>
  <c r="D92" i="96"/>
  <c r="X83" i="95"/>
  <c r="Y83" i="95" s="1"/>
  <c r="Y27" i="95"/>
  <c r="J46" i="95"/>
  <c r="J23" i="95"/>
  <c r="Y15" i="95"/>
  <c r="Y17" i="95"/>
  <c r="E18" i="95"/>
  <c r="I18" i="95" s="1"/>
  <c r="J18" i="95" s="1"/>
  <c r="Y25"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Y104" i="93"/>
  <c r="V103" i="93"/>
  <c r="Y103" i="93" s="1"/>
  <c r="Y27" i="93"/>
  <c r="J46" i="93"/>
  <c r="D90" i="93"/>
  <c r="Y13" i="93"/>
  <c r="J23" i="93"/>
  <c r="Y25" i="93"/>
  <c r="J102" i="93"/>
  <c r="D92" i="93"/>
  <c r="Y26" i="93"/>
  <c r="J104" i="93"/>
  <c r="Y15" i="93"/>
  <c r="Y17" i="93"/>
  <c r="Y18" i="93"/>
  <c r="Y19" i="93"/>
  <c r="Y22" i="93"/>
  <c r="Y50" i="93"/>
  <c r="Y20" i="93"/>
  <c r="Y21" i="93"/>
  <c r="Y23" i="93"/>
  <c r="I84" i="93"/>
  <c r="J84" i="93" s="1"/>
  <c r="Y15" i="92"/>
  <c r="Y96" i="92"/>
  <c r="Y17" i="92"/>
  <c r="Y50" i="92"/>
  <c r="J97" i="92"/>
  <c r="D92" i="92"/>
  <c r="Y18" i="92"/>
  <c r="Y19" i="92"/>
  <c r="I84" i="92"/>
  <c r="J84" i="92" s="1"/>
  <c r="Y20" i="92"/>
  <c r="Y21" i="92"/>
  <c r="Y22" i="92"/>
  <c r="J102" i="92"/>
  <c r="Y23" i="92"/>
  <c r="D90" i="92"/>
  <c r="Y26" i="92"/>
  <c r="J104" i="92"/>
  <c r="J23" i="92"/>
  <c r="Y24" i="92"/>
  <c r="Y25" i="92"/>
  <c r="Y27" i="92"/>
  <c r="J46" i="92"/>
  <c r="J98" i="91"/>
  <c r="Y25" i="91"/>
  <c r="J47" i="91"/>
  <c r="J102" i="91"/>
  <c r="J26" i="91"/>
  <c r="J49" i="91"/>
  <c r="D90" i="91"/>
  <c r="Y27" i="91"/>
  <c r="E14" i="90"/>
  <c r="I14" i="90" s="1"/>
  <c r="J14" i="90" s="1"/>
  <c r="Y17" i="90"/>
  <c r="Y18" i="90"/>
  <c r="Y19" i="90"/>
  <c r="Y22" i="90"/>
  <c r="E24" i="90"/>
  <c r="I24" i="90" s="1"/>
  <c r="J24" i="90" s="1"/>
  <c r="J97" i="90"/>
  <c r="J23" i="90"/>
  <c r="Y104" i="90"/>
  <c r="D92" i="90"/>
  <c r="Y21" i="90"/>
  <c r="Y23" i="90"/>
  <c r="Y24" i="90"/>
  <c r="Y27" i="90"/>
  <c r="J102" i="90"/>
  <c r="Y13" i="90"/>
  <c r="D90" i="90"/>
  <c r="Y15" i="90"/>
  <c r="Y20" i="90"/>
  <c r="Y25" i="90"/>
  <c r="Y104" i="87"/>
  <c r="J47" i="87"/>
  <c r="Y27" i="87"/>
  <c r="J98" i="87"/>
  <c r="J23" i="87"/>
  <c r="V103" i="87"/>
  <c r="Y103" i="87" s="1"/>
  <c r="J102" i="87"/>
  <c r="Y13" i="87"/>
  <c r="E14" i="87"/>
  <c r="I14" i="87" s="1"/>
  <c r="J14" i="87" s="1"/>
  <c r="D92" i="87"/>
  <c r="Y22" i="87"/>
  <c r="Y23" i="87"/>
  <c r="J104" i="86"/>
  <c r="E23" i="86"/>
  <c r="I23" i="86" s="1"/>
  <c r="J23" i="86" s="1"/>
  <c r="X83" i="86"/>
  <c r="Y83" i="86" s="1"/>
  <c r="X97" i="86"/>
  <c r="Y97" i="86" s="1"/>
  <c r="J48" i="86"/>
  <c r="Y26" i="86"/>
  <c r="Y27" i="86"/>
  <c r="J25" i="86"/>
  <c r="D90" i="86"/>
  <c r="J98" i="85"/>
  <c r="X83" i="85"/>
  <c r="Y83" i="85" s="1"/>
  <c r="Y103" i="85"/>
  <c r="J46" i="85"/>
  <c r="D90" i="85"/>
  <c r="J103" i="85"/>
  <c r="Y15" i="85"/>
  <c r="Y19" i="85"/>
  <c r="Y21" i="85"/>
  <c r="J97" i="85"/>
  <c r="D92" i="85"/>
  <c r="Y18" i="85"/>
  <c r="J102" i="85"/>
  <c r="J23" i="85"/>
  <c r="Y23" i="85"/>
  <c r="Y17" i="85"/>
  <c r="Y20" i="85"/>
  <c r="Y22" i="85"/>
  <c r="Y24" i="85"/>
  <c r="I84" i="85"/>
  <c r="J84" i="85" s="1"/>
  <c r="Y104" i="84"/>
  <c r="J24" i="84"/>
  <c r="Y24" i="84"/>
  <c r="Y25" i="84"/>
  <c r="X97" i="84"/>
  <c r="Y97" i="84" s="1"/>
  <c r="Y26" i="84"/>
  <c r="Y27" i="84"/>
  <c r="Y15" i="84"/>
  <c r="J102" i="84"/>
  <c r="V103" i="84"/>
  <c r="Y103" i="84" s="1"/>
  <c r="D90" i="84"/>
  <c r="Y23" i="84"/>
  <c r="Y17" i="84"/>
  <c r="E18" i="84"/>
  <c r="I18" i="84" s="1"/>
  <c r="J18" i="84" s="1"/>
  <c r="Y18" i="84"/>
  <c r="J27" i="84"/>
  <c r="E17" i="84"/>
  <c r="I17" i="84" s="1"/>
  <c r="J17" i="84" s="1"/>
  <c r="Y19" i="84"/>
  <c r="J104" i="84"/>
  <c r="Y26" i="83"/>
  <c r="J47" i="83"/>
  <c r="Y27" i="83"/>
  <c r="E17" i="83"/>
  <c r="I17" i="83" s="1"/>
  <c r="J17" i="83" s="1"/>
  <c r="J102" i="83"/>
  <c r="Y25" i="83"/>
  <c r="J97" i="83"/>
  <c r="J23" i="83"/>
  <c r="X83" i="83"/>
  <c r="Y83" i="83" s="1"/>
  <c r="Y15" i="83"/>
  <c r="Y97" i="83"/>
  <c r="Y17" i="83"/>
  <c r="Y18" i="83"/>
  <c r="Y19" i="83"/>
  <c r="D90" i="83"/>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50" i="80"/>
  <c r="X83" i="80"/>
  <c r="J31" i="80"/>
  <c r="J32" i="80" s="1"/>
  <c r="E24" i="80"/>
  <c r="I24" i="80" s="1"/>
  <c r="J24" i="80" s="1"/>
  <c r="J102" i="80"/>
  <c r="E20" i="80"/>
  <c r="I20" i="80" s="1"/>
  <c r="J20" i="80" s="1"/>
  <c r="E21" i="80"/>
  <c r="I21" i="80" s="1"/>
  <c r="J21" i="80" s="1"/>
  <c r="Y24" i="80"/>
  <c r="Y25" i="80"/>
  <c r="D90"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Y104" i="78"/>
  <c r="E27" i="78"/>
  <c r="I27" i="78" s="1"/>
  <c r="J27" i="78" s="1"/>
  <c r="Y27" i="78"/>
  <c r="J46" i="78"/>
  <c r="D90" i="78"/>
  <c r="Y13" i="78"/>
  <c r="J104" i="78"/>
  <c r="Y25" i="78"/>
  <c r="J23" i="78"/>
  <c r="Y26" i="78"/>
  <c r="Y15" i="78"/>
  <c r="J103" i="77"/>
  <c r="J46" i="77"/>
  <c r="I84" i="77"/>
  <c r="J84" i="77" s="1"/>
  <c r="D92" i="77"/>
  <c r="Y50" i="77"/>
  <c r="J102" i="77"/>
  <c r="J97" i="77"/>
  <c r="J23" i="76"/>
  <c r="Y50" i="76"/>
  <c r="D92" i="76"/>
  <c r="J102" i="76"/>
  <c r="E17" i="76"/>
  <c r="I84" i="76"/>
  <c r="J84" i="76" s="1"/>
  <c r="J103" i="76"/>
  <c r="T23" i="76"/>
  <c r="X23" i="76" s="1"/>
  <c r="Y23" i="76" s="1"/>
  <c r="D90" i="76"/>
  <c r="Y97" i="75"/>
  <c r="Y103" i="75"/>
  <c r="Y24" i="75"/>
  <c r="Y25" i="75"/>
  <c r="Y26" i="75"/>
  <c r="D90" i="75"/>
  <c r="Y27" i="75"/>
  <c r="J104" i="75"/>
  <c r="J23" i="75"/>
  <c r="J46" i="75"/>
  <c r="E27" i="74"/>
  <c r="I27" i="74" s="1"/>
  <c r="J27" i="74" s="1"/>
  <c r="E14" i="74"/>
  <c r="I14" i="74" s="1"/>
  <c r="J14" i="74" s="1"/>
  <c r="X83" i="74"/>
  <c r="V83" i="74"/>
  <c r="J23" i="74"/>
  <c r="Y15" i="74"/>
  <c r="E17" i="74"/>
  <c r="I17" i="74" s="1"/>
  <c r="J17" i="74" s="1"/>
  <c r="I84" i="74"/>
  <c r="J84" i="74" s="1"/>
  <c r="D92" i="74"/>
  <c r="Y26" i="74"/>
  <c r="Y17" i="74"/>
  <c r="Y18" i="74"/>
  <c r="Y19" i="74"/>
  <c r="J102" i="74"/>
  <c r="Y50" i="74"/>
  <c r="Y27" i="74"/>
  <c r="J46" i="74"/>
  <c r="Y20" i="74"/>
  <c r="Y25" i="74"/>
  <c r="Y21" i="74"/>
  <c r="J97" i="74"/>
  <c r="Y22" i="74"/>
  <c r="Y50" i="73"/>
  <c r="I84" i="73"/>
  <c r="J84" i="73" s="1"/>
  <c r="Y26" i="73"/>
  <c r="J97" i="73"/>
  <c r="Y27" i="73"/>
  <c r="J46" i="73"/>
  <c r="Y24" i="73"/>
  <c r="J23" i="73"/>
  <c r="Y25" i="73"/>
  <c r="Y12" i="73"/>
  <c r="Y17" i="72"/>
  <c r="Y18" i="72"/>
  <c r="X83" i="72"/>
  <c r="Y83" i="72" s="1"/>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V103" i="70"/>
  <c r="Y103" i="70" s="1"/>
  <c r="Y26" i="70"/>
  <c r="J103" i="70"/>
  <c r="Y27" i="70"/>
  <c r="J46" i="70"/>
  <c r="Y15" i="70"/>
  <c r="J23" i="70"/>
  <c r="Y18" i="70"/>
  <c r="J102" i="70"/>
  <c r="Y24" i="70"/>
  <c r="D90" i="70"/>
  <c r="E17" i="70"/>
  <c r="I17" i="70" s="1"/>
  <c r="J17" i="70" s="1"/>
  <c r="E19" i="70"/>
  <c r="I19" i="70" s="1"/>
  <c r="J19" i="70" s="1"/>
  <c r="D90" i="69"/>
  <c r="Y104" i="69"/>
  <c r="D92" i="69"/>
  <c r="E18" i="69"/>
  <c r="T18" i="69" s="1"/>
  <c r="X18" i="69" s="1"/>
  <c r="Y18" i="69" s="1"/>
  <c r="J98" i="69"/>
  <c r="J102" i="69"/>
  <c r="Y27" i="69"/>
  <c r="Y23" i="69"/>
  <c r="I84" i="69"/>
  <c r="J84" i="69" s="1"/>
  <c r="J21" i="69"/>
  <c r="D92" i="68"/>
  <c r="J97" i="68"/>
  <c r="Y50" i="68"/>
  <c r="E14" i="68"/>
  <c r="I14" i="68" s="1"/>
  <c r="J14" i="68" s="1"/>
  <c r="Y104" i="67"/>
  <c r="V103" i="67"/>
  <c r="Y103" i="67" s="1"/>
  <c r="J102" i="67"/>
  <c r="I84" i="67"/>
  <c r="J84" i="67" s="1"/>
  <c r="J23" i="66"/>
  <c r="D90" i="66"/>
  <c r="J102" i="66"/>
  <c r="E17" i="66"/>
  <c r="J104" i="66"/>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Y27" i="65"/>
  <c r="J46" i="65"/>
  <c r="J104" i="65"/>
  <c r="Y15" i="65"/>
  <c r="Y17" i="65"/>
  <c r="Y18" i="65"/>
  <c r="Y19" i="65"/>
  <c r="E14" i="64"/>
  <c r="I14" i="64" s="1"/>
  <c r="J14" i="64" s="1"/>
  <c r="J97" i="63"/>
  <c r="E20" i="63"/>
  <c r="I20" i="63" s="1"/>
  <c r="J20" i="63" s="1"/>
  <c r="I23" i="63"/>
  <c r="J23" i="63" s="1"/>
  <c r="I84" i="63"/>
  <c r="J84" i="63" s="1"/>
  <c r="Y23" i="63"/>
  <c r="J103" i="63"/>
  <c r="Y104" i="62"/>
  <c r="E17" i="62"/>
  <c r="T17" i="62" s="1"/>
  <c r="X17" i="62" s="1"/>
  <c r="Y17" i="62" s="1"/>
  <c r="J97" i="62"/>
  <c r="D92" i="62"/>
  <c r="E27" i="62"/>
  <c r="T27" i="62" s="1"/>
  <c r="X27" i="62" s="1"/>
  <c r="Y27" i="62" s="1"/>
  <c r="I84" i="62"/>
  <c r="J84" i="62" s="1"/>
  <c r="Y23" i="62"/>
  <c r="V103" i="62"/>
  <c r="Y103" i="62" s="1"/>
  <c r="D90" i="62"/>
  <c r="J23" i="61"/>
  <c r="I84" i="61"/>
  <c r="J84" i="61" s="1"/>
  <c r="T24" i="61"/>
  <c r="X24" i="61" s="1"/>
  <c r="Y24" i="61" s="1"/>
  <c r="D90" i="61"/>
  <c r="E18" i="61"/>
  <c r="E20" i="61"/>
  <c r="D92" i="61"/>
  <c r="J102" i="61"/>
  <c r="J97" i="61"/>
  <c r="I84" i="60"/>
  <c r="J84" i="60" s="1"/>
  <c r="J102" i="60"/>
  <c r="Y25" i="60"/>
  <c r="E27" i="60"/>
  <c r="I27" i="60" s="1"/>
  <c r="J27" i="60" s="1"/>
  <c r="D90" i="60"/>
  <c r="Y27" i="60"/>
  <c r="J46" i="60"/>
  <c r="J104" i="60"/>
  <c r="J98" i="60"/>
  <c r="X83" i="60"/>
  <c r="Y83" i="60" s="1"/>
  <c r="Y26" i="60"/>
  <c r="J23" i="60"/>
  <c r="Y104" i="59"/>
  <c r="D92" i="59"/>
  <c r="J102" i="59"/>
  <c r="J104" i="59"/>
  <c r="J97" i="59"/>
  <c r="V103" i="59"/>
  <c r="Y103" i="59" s="1"/>
  <c r="X97" i="59"/>
  <c r="Y97" i="59" s="1"/>
  <c r="Y23" i="59"/>
  <c r="Y104" i="58"/>
  <c r="J46" i="58"/>
  <c r="D92" i="58"/>
  <c r="I84" i="58"/>
  <c r="J84" i="58" s="1"/>
  <c r="J102" i="58"/>
  <c r="J97" i="58"/>
  <c r="Y50" i="58"/>
  <c r="T96" i="58"/>
  <c r="Y96" i="58" s="1"/>
  <c r="I137" i="56"/>
  <c r="C57" i="56"/>
  <c r="D57" i="56"/>
  <c r="C68" i="56"/>
  <c r="D68" i="56"/>
  <c r="Q127"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Y104" i="104"/>
  <c r="S91" i="104"/>
  <c r="X91" i="104" s="1"/>
  <c r="Y14" i="104"/>
  <c r="Y12" i="104"/>
  <c r="X28" i="104"/>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Y12" i="103"/>
  <c r="S91" i="103"/>
  <c r="X91" i="103" s="1"/>
  <c r="Y14" i="103"/>
  <c r="E43" i="103"/>
  <c r="J43" i="103" s="1"/>
  <c r="E47" i="103"/>
  <c r="J47" i="103" s="1"/>
  <c r="E21" i="103"/>
  <c r="I21" i="103" s="1"/>
  <c r="J21" i="103" s="1"/>
  <c r="D90" i="103"/>
  <c r="E18" i="103"/>
  <c r="I18" i="103" s="1"/>
  <c r="J18" i="103" s="1"/>
  <c r="E44" i="103"/>
  <c r="J44" i="103" s="1"/>
  <c r="E48" i="103"/>
  <c r="J48" i="103" s="1"/>
  <c r="X13" i="103"/>
  <c r="Y13" i="103" s="1"/>
  <c r="Y104" i="103"/>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E15" i="102"/>
  <c r="E25" i="102"/>
  <c r="T17" i="102"/>
  <c r="X17" i="102" s="1"/>
  <c r="Y17" i="102" s="1"/>
  <c r="T27" i="102"/>
  <c r="X27" i="102" s="1"/>
  <c r="Y27" i="102" s="1"/>
  <c r="D91" i="102"/>
  <c r="E12" i="102"/>
  <c r="E22" i="102"/>
  <c r="V71" i="102"/>
  <c r="E16" i="102"/>
  <c r="E26" i="102"/>
  <c r="E19" i="102"/>
  <c r="E13" i="102"/>
  <c r="Y96" i="101"/>
  <c r="E17" i="101"/>
  <c r="E18" i="101"/>
  <c r="Y103" i="101"/>
  <c r="J103" i="101"/>
  <c r="E19" i="101"/>
  <c r="E44" i="101"/>
  <c r="E48" i="101"/>
  <c r="J48" i="101" s="1"/>
  <c r="V85" i="101"/>
  <c r="E12" i="101"/>
  <c r="T12" i="101" s="1"/>
  <c r="X12" i="101" s="1"/>
  <c r="Y12" i="101" s="1"/>
  <c r="E22" i="101"/>
  <c r="D91" i="101"/>
  <c r="E16" i="101"/>
  <c r="E26" i="101"/>
  <c r="E43" i="10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S91" i="100"/>
  <c r="X91" i="100" s="1"/>
  <c r="Y14" i="100"/>
  <c r="Y104" i="100"/>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S90" i="99"/>
  <c r="S91" i="99"/>
  <c r="X91" i="99" s="1"/>
  <c r="Y14" i="99"/>
  <c r="Y103" i="99"/>
  <c r="Y16" i="99"/>
  <c r="S92" i="99"/>
  <c r="X92" i="99" s="1"/>
  <c r="J103" i="99"/>
  <c r="V87" i="99"/>
  <c r="V85"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X28" i="98"/>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Y96" i="97"/>
  <c r="E17" i="97"/>
  <c r="I17" i="97" s="1"/>
  <c r="J17" i="97" s="1"/>
  <c r="E18" i="97"/>
  <c r="I18" i="97" s="1"/>
  <c r="J18" i="97" s="1"/>
  <c r="E20" i="97"/>
  <c r="I20" i="97" s="1"/>
  <c r="J20" i="97" s="1"/>
  <c r="Y12" i="97"/>
  <c r="X28" i="97"/>
  <c r="V33" i="97" s="1"/>
  <c r="S90" i="97"/>
  <c r="Y83"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Y104" i="96"/>
  <c r="J103" i="96"/>
  <c r="S91" i="96"/>
  <c r="X91" i="96" s="1"/>
  <c r="Y14" i="96"/>
  <c r="Y83" i="96"/>
  <c r="Y16" i="96"/>
  <c r="S92" i="96"/>
  <c r="X92" i="96" s="1"/>
  <c r="E44" i="96"/>
  <c r="J44" i="96" s="1"/>
  <c r="E48" i="96"/>
  <c r="J48" i="96" s="1"/>
  <c r="E15" i="96"/>
  <c r="I15" i="96" s="1"/>
  <c r="J15" i="96" s="1"/>
  <c r="E25" i="96"/>
  <c r="I25" i="96" s="1"/>
  <c r="J25" i="96" s="1"/>
  <c r="V103" i="96"/>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T28" i="94"/>
  <c r="T64" i="94" s="1"/>
  <c r="X65" i="94" s="1"/>
  <c r="X70" i="94" s="1"/>
  <c r="Y70" i="94" s="1"/>
  <c r="E17" i="94"/>
  <c r="I17" i="94" s="1"/>
  <c r="J17" i="94" s="1"/>
  <c r="S91" i="94"/>
  <c r="X91" i="94" s="1"/>
  <c r="Y14" i="94"/>
  <c r="Y104" i="94"/>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3" i="94"/>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Y103" i="92"/>
  <c r="Y12" i="92"/>
  <c r="X97" i="92"/>
  <c r="Y97" i="92" s="1"/>
  <c r="E21" i="92"/>
  <c r="I21" i="92" s="1"/>
  <c r="J21" i="92" s="1"/>
  <c r="V70" i="92"/>
  <c r="V85"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Y104" i="88"/>
  <c r="S91" i="88"/>
  <c r="X91" i="88" s="1"/>
  <c r="Y14" i="88"/>
  <c r="J98" i="88"/>
  <c r="E44" i="88"/>
  <c r="J44" i="88" s="1"/>
  <c r="E48" i="88"/>
  <c r="J48" i="88" s="1"/>
  <c r="E15" i="88"/>
  <c r="I15" i="88" s="1"/>
  <c r="J15" i="88" s="1"/>
  <c r="E25" i="88"/>
  <c r="I25" i="88" s="1"/>
  <c r="J25" i="88" s="1"/>
  <c r="V103" i="88"/>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J104" i="87"/>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S91" i="86"/>
  <c r="X91" i="86" s="1"/>
  <c r="Y14" i="86"/>
  <c r="Y16" i="86"/>
  <c r="S92" i="86"/>
  <c r="X92" i="86" s="1"/>
  <c r="J103" i="86"/>
  <c r="X13" i="86"/>
  <c r="Y13" i="86" s="1"/>
  <c r="E43" i="86"/>
  <c r="J43" i="86" s="1"/>
  <c r="E47" i="86"/>
  <c r="J47" i="86" s="1"/>
  <c r="V85"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E18" i="83"/>
  <c r="I18" i="83" s="1"/>
  <c r="J18" i="83" s="1"/>
  <c r="E22" i="83"/>
  <c r="I22" i="83" s="1"/>
  <c r="J22" i="83" s="1"/>
  <c r="E12" i="83"/>
  <c r="I12" i="83" s="1"/>
  <c r="J12" i="83" s="1"/>
  <c r="E24" i="83"/>
  <c r="I24" i="83" s="1"/>
  <c r="J24" i="83" s="1"/>
  <c r="Y50" i="83"/>
  <c r="S92" i="83"/>
  <c r="X92" i="83" s="1"/>
  <c r="Y16" i="83"/>
  <c r="J98" i="83"/>
  <c r="Y104"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3" i="83"/>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Y104" i="80"/>
  <c r="Y12" i="80"/>
  <c r="J103" i="80"/>
  <c r="S91" i="80"/>
  <c r="X91" i="80" s="1"/>
  <c r="Y14" i="80"/>
  <c r="S92" i="80"/>
  <c r="X92" i="80" s="1"/>
  <c r="Y16" i="80"/>
  <c r="V87" i="80"/>
  <c r="E15" i="80"/>
  <c r="I15" i="80" s="1"/>
  <c r="J15" i="80" s="1"/>
  <c r="E25" i="80"/>
  <c r="I25" i="80" s="1"/>
  <c r="J25" i="80" s="1"/>
  <c r="V103" i="80"/>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Y104" i="77"/>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3" i="77"/>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83" i="76"/>
  <c r="Y103" i="76"/>
  <c r="E44" i="76"/>
  <c r="J44" i="76" s="1"/>
  <c r="E48" i="76"/>
  <c r="J48" i="76" s="1"/>
  <c r="V70" i="76"/>
  <c r="V85"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T28" i="74"/>
  <c r="T52" i="74" s="1"/>
  <c r="X53" i="74" s="1"/>
  <c r="Y12" i="74"/>
  <c r="S91" i="74"/>
  <c r="X91" i="74" s="1"/>
  <c r="Y14" i="74"/>
  <c r="Y104" i="74"/>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3" i="74"/>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E21" i="73"/>
  <c r="I21" i="73" s="1"/>
  <c r="J21" i="73" s="1"/>
  <c r="V70" i="73"/>
  <c r="D90" i="73"/>
  <c r="E18" i="73"/>
  <c r="I18" i="73" s="1"/>
  <c r="J18" i="73" s="1"/>
  <c r="E44" i="73"/>
  <c r="J44" i="73" s="1"/>
  <c r="E48" i="73"/>
  <c r="J48" i="73" s="1"/>
  <c r="J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12" i="70"/>
  <c r="Y104" i="70"/>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50" i="69"/>
  <c r="T20" i="69"/>
  <c r="X20" i="69" s="1"/>
  <c r="Y20" i="69" s="1"/>
  <c r="J103" i="69"/>
  <c r="I23" i="69"/>
  <c r="J23" i="69" s="1"/>
  <c r="V87" i="69"/>
  <c r="V85" i="69"/>
  <c r="E12" i="69"/>
  <c r="E22" i="69"/>
  <c r="D91" i="69"/>
  <c r="E16" i="69"/>
  <c r="E26" i="69"/>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Y104" i="68"/>
  <c r="J103" i="68"/>
  <c r="I23" i="68"/>
  <c r="J23" i="68" s="1"/>
  <c r="T23" i="68"/>
  <c r="X23" i="68" s="1"/>
  <c r="Y23" i="68" s="1"/>
  <c r="J98" i="68"/>
  <c r="V70" i="68"/>
  <c r="E15" i="68"/>
  <c r="E25" i="68"/>
  <c r="V103" i="68"/>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Y104" i="66"/>
  <c r="J103" i="66"/>
  <c r="E46" i="66"/>
  <c r="J46" i="66" s="1"/>
  <c r="E42" i="66"/>
  <c r="J42" i="66" s="1"/>
  <c r="E49" i="66"/>
  <c r="J49" i="66" s="1"/>
  <c r="E45" i="66"/>
  <c r="J45" i="66" s="1"/>
  <c r="E41" i="66"/>
  <c r="E48" i="66"/>
  <c r="J48" i="66" s="1"/>
  <c r="E44" i="66"/>
  <c r="J44" i="66" s="1"/>
  <c r="E47" i="66"/>
  <c r="J47" i="66" s="1"/>
  <c r="E43" i="66"/>
  <c r="J43" i="66" s="1"/>
  <c r="Y83" i="66"/>
  <c r="Y97" i="66"/>
  <c r="Y50" i="66"/>
  <c r="V87" i="66"/>
  <c r="E15" i="66"/>
  <c r="E25" i="66"/>
  <c r="V103" i="66"/>
  <c r="Y103" i="66" s="1"/>
  <c r="E19" i="66"/>
  <c r="V86" i="66"/>
  <c r="D91" i="66"/>
  <c r="E16" i="66"/>
  <c r="E26" i="66"/>
  <c r="E13" i="66"/>
  <c r="Y96" i="65"/>
  <c r="E24" i="65"/>
  <c r="I24" i="65" s="1"/>
  <c r="J24" i="65" s="1"/>
  <c r="T28" i="65"/>
  <c r="T52" i="65" s="1"/>
  <c r="X53" i="65" s="1"/>
  <c r="E17" i="65"/>
  <c r="I17" i="65" s="1"/>
  <c r="J17" i="65" s="1"/>
  <c r="E18" i="65"/>
  <c r="I18" i="65" s="1"/>
  <c r="J18" i="65" s="1"/>
  <c r="Y97" i="65"/>
  <c r="S92" i="65"/>
  <c r="X92" i="65" s="1"/>
  <c r="Y16"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Y102" i="64"/>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97" i="63"/>
  <c r="J98" i="63"/>
  <c r="Y96" i="63"/>
  <c r="E46" i="63"/>
  <c r="J46" i="63" s="1"/>
  <c r="E42" i="63"/>
  <c r="J42" i="63" s="1"/>
  <c r="E49" i="63"/>
  <c r="J49" i="63" s="1"/>
  <c r="E45" i="63"/>
  <c r="J45" i="63" s="1"/>
  <c r="E41" i="63"/>
  <c r="E48" i="63"/>
  <c r="J48" i="63" s="1"/>
  <c r="E44" i="63"/>
  <c r="J44" i="63" s="1"/>
  <c r="E47" i="63"/>
  <c r="J47" i="63" s="1"/>
  <c r="E43" i="63"/>
  <c r="J43" i="63" s="1"/>
  <c r="Y83" i="63"/>
  <c r="Y104" i="63"/>
  <c r="Y50" i="63"/>
  <c r="D92" i="63"/>
  <c r="E14" i="63"/>
  <c r="E24" i="63"/>
  <c r="E21" i="63"/>
  <c r="V70" i="63"/>
  <c r="D90" i="63"/>
  <c r="E18" i="63"/>
  <c r="E15" i="63"/>
  <c r="E25" i="63"/>
  <c r="V103" i="63"/>
  <c r="Y103" i="63" s="1"/>
  <c r="E19" i="63"/>
  <c r="E12" i="63"/>
  <c r="E22" i="63"/>
  <c r="D91" i="63"/>
  <c r="E16" i="63"/>
  <c r="E26" i="63"/>
  <c r="E13" i="63"/>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50" i="62"/>
  <c r="V87" i="62"/>
  <c r="V85" i="62"/>
  <c r="E12" i="62"/>
  <c r="E22" i="62"/>
  <c r="D91" i="62"/>
  <c r="E16" i="62"/>
  <c r="E26" i="62"/>
  <c r="E15" i="62"/>
  <c r="E25" i="62"/>
  <c r="E19" i="62"/>
  <c r="E13" i="62"/>
  <c r="Y96" i="61"/>
  <c r="Y96" i="59"/>
  <c r="E43" i="61"/>
  <c r="J43" i="61" s="1"/>
  <c r="E21" i="61"/>
  <c r="Y31" i="61"/>
  <c r="Y32" i="61" s="1"/>
  <c r="J103" i="61"/>
  <c r="Y50" i="61"/>
  <c r="Y103" i="61"/>
  <c r="J104" i="6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Y103" i="58"/>
  <c r="Y83" i="58"/>
  <c r="J103" i="58"/>
  <c r="J98" i="58"/>
  <c r="D90" i="58"/>
  <c r="E44" i="58"/>
  <c r="J44" i="58" s="1"/>
  <c r="E48" i="58"/>
  <c r="J48" i="58" s="1"/>
  <c r="V71" i="58"/>
  <c r="E43" i="58"/>
  <c r="J43" i="58" s="1"/>
  <c r="E47" i="58"/>
  <c r="J47" i="58" s="1"/>
  <c r="E45" i="58"/>
  <c r="J45" i="58" s="1"/>
  <c r="D91" i="58"/>
  <c r="E41" i="58"/>
  <c r="E49" i="58"/>
  <c r="J49" i="58" s="1"/>
  <c r="E42" i="58"/>
  <c r="J42" i="58" s="1"/>
  <c r="Y31" i="60" l="1"/>
  <c r="Y32" i="60" s="1"/>
  <c r="T17" i="63"/>
  <c r="X17" i="63" s="1"/>
  <c r="Y17" i="63" s="1"/>
  <c r="J44" i="101"/>
  <c r="J43" i="101"/>
  <c r="X28" i="84"/>
  <c r="V33" i="84" s="1"/>
  <c r="T24" i="62"/>
  <c r="X24" i="62" s="1"/>
  <c r="Y24" i="62" s="1"/>
  <c r="I21" i="62"/>
  <c r="J21" i="62" s="1"/>
  <c r="V33" i="98"/>
  <c r="T55" i="98"/>
  <c r="V33" i="93"/>
  <c r="T55" i="93"/>
  <c r="I18" i="102"/>
  <c r="J18" i="102" s="1"/>
  <c r="V33" i="104"/>
  <c r="T55" i="104"/>
  <c r="V33" i="90"/>
  <c r="T55" i="90"/>
  <c r="V33" i="78"/>
  <c r="T55" i="78"/>
  <c r="I17" i="69"/>
  <c r="J17" i="69" s="1"/>
  <c r="V33" i="99"/>
  <c r="T55" i="99"/>
  <c r="T20" i="63"/>
  <c r="X20" i="63" s="1"/>
  <c r="Y20" i="63" s="1"/>
  <c r="T14" i="61"/>
  <c r="X14" i="61" s="1"/>
  <c r="Y14" i="61" s="1"/>
  <c r="Y83" i="73"/>
  <c r="Y31" i="58"/>
  <c r="Y32" i="58" s="1"/>
  <c r="J32" i="86"/>
  <c r="Y31" i="62"/>
  <c r="Y32" i="62" s="1"/>
  <c r="J32" i="92"/>
  <c r="J32" i="70"/>
  <c r="Y31" i="76"/>
  <c r="Y32" i="76" s="1"/>
  <c r="J32" i="98"/>
  <c r="J32" i="74"/>
  <c r="J32" i="63"/>
  <c r="J32" i="68"/>
  <c r="J32" i="81"/>
  <c r="J32" i="72"/>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X90" i="88" s="1"/>
  <c r="Y93" i="88" s="1"/>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Y71" i="81" s="1"/>
  <c r="I14" i="69"/>
  <c r="J14" i="69" s="1"/>
  <c r="T20" i="68"/>
  <c r="X20" i="68" s="1"/>
  <c r="Y20" i="68" s="1"/>
  <c r="T14" i="66"/>
  <c r="X14" i="66" s="1"/>
  <c r="Y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S90" i="65"/>
  <c r="X90" i="65" s="1"/>
  <c r="Y93" i="65" s="1"/>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S90" i="71"/>
  <c r="X90" i="71" s="1"/>
  <c r="Y93" i="71" s="1"/>
  <c r="J105" i="58"/>
  <c r="I20" i="67"/>
  <c r="J20" i="67" s="1"/>
  <c r="I17" i="67"/>
  <c r="J17" i="67" s="1"/>
  <c r="I27" i="67"/>
  <c r="J27" i="67" s="1"/>
  <c r="T14" i="67"/>
  <c r="X14" i="67" s="1"/>
  <c r="Y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Y14" i="68" s="1"/>
  <c r="T21" i="67"/>
  <c r="X21" i="67" s="1"/>
  <c r="Y21" i="67" s="1"/>
  <c r="T64" i="65"/>
  <c r="X65" i="65" s="1"/>
  <c r="X70" i="65" s="1"/>
  <c r="Y70" i="65" s="1"/>
  <c r="I27" i="62"/>
  <c r="J27" i="62" s="1"/>
  <c r="I17" i="62"/>
  <c r="J17" i="62" s="1"/>
  <c r="Y102" i="88"/>
  <c r="Y105" i="88" s="1"/>
  <c r="J105" i="88"/>
  <c r="Y28" i="89"/>
  <c r="Y102" i="89"/>
  <c r="Y104" i="89"/>
  <c r="T61" i="89"/>
  <c r="X62" i="89" s="1"/>
  <c r="X67" i="89" s="1"/>
  <c r="Y67" i="89" s="1"/>
  <c r="B91" i="103"/>
  <c r="I91" i="103" s="1"/>
  <c r="J105" i="103"/>
  <c r="J105" i="105"/>
  <c r="Y102" i="105"/>
  <c r="Y104" i="105"/>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J105" i="95"/>
  <c r="Y102" i="93"/>
  <c r="Y105" i="93" s="1"/>
  <c r="Y28" i="92"/>
  <c r="X28" i="92"/>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Y104" i="85"/>
  <c r="S90" i="84"/>
  <c r="X90" i="84" s="1"/>
  <c r="Y93" i="84" s="1"/>
  <c r="Y102" i="84"/>
  <c r="Y105" i="84" s="1"/>
  <c r="Y102" i="83"/>
  <c r="Y105" i="83" s="1"/>
  <c r="Y102" i="81"/>
  <c r="Y104" i="81"/>
  <c r="S90" i="80"/>
  <c r="X90" i="80" s="1"/>
  <c r="Y93" i="80" s="1"/>
  <c r="T61" i="80"/>
  <c r="X62" i="80" s="1"/>
  <c r="X67" i="80" s="1"/>
  <c r="Y67" i="80" s="1"/>
  <c r="T58" i="80"/>
  <c r="X59" i="80" s="1"/>
  <c r="X71" i="80" s="1"/>
  <c r="Y71" i="80" s="1"/>
  <c r="X28" i="80"/>
  <c r="T64" i="80"/>
  <c r="X65" i="80" s="1"/>
  <c r="X70" i="80" s="1"/>
  <c r="Y70" i="80" s="1"/>
  <c r="Y83" i="80"/>
  <c r="Y102" i="79"/>
  <c r="Y104" i="79"/>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Y104" i="65"/>
  <c r="T58" i="65"/>
  <c r="X59" i="65" s="1"/>
  <c r="X71" i="65" s="1"/>
  <c r="Y71" i="65" s="1"/>
  <c r="T61" i="65"/>
  <c r="X62" i="65" s="1"/>
  <c r="X67" i="65" s="1"/>
  <c r="Y67" i="65" s="1"/>
  <c r="Y28" i="65"/>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Y104" i="60"/>
  <c r="Y102" i="59"/>
  <c r="Y105" i="59" s="1"/>
  <c r="B91" i="105"/>
  <c r="I91" i="105" s="1"/>
  <c r="J41" i="105"/>
  <c r="J50" i="105" s="1"/>
  <c r="E50" i="105"/>
  <c r="P56" i="54" s="1"/>
  <c r="T58" i="105"/>
  <c r="X59" i="105" s="1"/>
  <c r="X71" i="105" s="1"/>
  <c r="Y71" i="105" s="1"/>
  <c r="T64" i="105"/>
  <c r="X65" i="105" s="1"/>
  <c r="X70" i="105" s="1"/>
  <c r="Y70" i="105" s="1"/>
  <c r="T52" i="105"/>
  <c r="X53" i="105" s="1"/>
  <c r="T61" i="105"/>
  <c r="X62" i="105" s="1"/>
  <c r="X67" i="105" s="1"/>
  <c r="Y67" i="105" s="1"/>
  <c r="E28" i="105"/>
  <c r="O56" i="54" s="1"/>
  <c r="I13" i="105"/>
  <c r="J16" i="105"/>
  <c r="B92" i="105"/>
  <c r="I92" i="105" s="1"/>
  <c r="S90" i="105"/>
  <c r="X28" i="105"/>
  <c r="Y28" i="105"/>
  <c r="Y28" i="104"/>
  <c r="J16" i="104"/>
  <c r="B92" i="104"/>
  <c r="I92" i="104" s="1"/>
  <c r="I12" i="104"/>
  <c r="E28" i="104"/>
  <c r="O55" i="54" s="1"/>
  <c r="X90" i="104"/>
  <c r="Y93" i="104" s="1"/>
  <c r="S93" i="104"/>
  <c r="B91" i="104"/>
  <c r="I91" i="104" s="1"/>
  <c r="J41" i="104"/>
  <c r="J50" i="104" s="1"/>
  <c r="E50" i="104"/>
  <c r="P55" i="54" s="1"/>
  <c r="T52" i="104"/>
  <c r="X53" i="104" s="1"/>
  <c r="T58" i="104"/>
  <c r="X59" i="104" s="1"/>
  <c r="X71" i="104" s="1"/>
  <c r="Y71" i="104" s="1"/>
  <c r="T61" i="104"/>
  <c r="X62" i="104" s="1"/>
  <c r="X67" i="104" s="1"/>
  <c r="Y67" i="104" s="1"/>
  <c r="T64" i="104"/>
  <c r="X65" i="104" s="1"/>
  <c r="X70" i="104" s="1"/>
  <c r="Y70" i="104" s="1"/>
  <c r="J16" i="103"/>
  <c r="B92" i="103"/>
  <c r="I92" i="103" s="1"/>
  <c r="E28" i="103"/>
  <c r="O54" i="54" s="1"/>
  <c r="I13" i="103"/>
  <c r="X28" i="103"/>
  <c r="S90" i="103"/>
  <c r="Y28" i="103"/>
  <c r="E50" i="103"/>
  <c r="P54" i="54" s="1"/>
  <c r="J41" i="103"/>
  <c r="J50" i="103" s="1"/>
  <c r="Y14" i="102"/>
  <c r="J41" i="102"/>
  <c r="J50" i="102" s="1"/>
  <c r="E50" i="102"/>
  <c r="P53" i="54" s="1"/>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c r="Q53" i="54" s="1"/>
  <c r="T25" i="102"/>
  <c r="X25" i="102" s="1"/>
  <c r="Y25" i="102" s="1"/>
  <c r="I25" i="102"/>
  <c r="J25" i="102" s="1"/>
  <c r="T15" i="102"/>
  <c r="X15" i="102" s="1"/>
  <c r="Y15" i="102" s="1"/>
  <c r="I15" i="102"/>
  <c r="E28" i="101"/>
  <c r="O52" i="54" s="1"/>
  <c r="Q52" i="54" s="1"/>
  <c r="I12" i="101"/>
  <c r="Y104" i="101"/>
  <c r="Y102" i="101"/>
  <c r="J41" i="101"/>
  <c r="E50" i="101"/>
  <c r="P52" i="54" s="1"/>
  <c r="S90" i="100"/>
  <c r="X90" i="100" s="1"/>
  <c r="Y93" i="100" s="1"/>
  <c r="X28" i="100"/>
  <c r="V33" i="100" s="1"/>
  <c r="X56" i="100" s="1"/>
  <c r="X86" i="100" s="1"/>
  <c r="Y86" i="100" s="1"/>
  <c r="Y28" i="100"/>
  <c r="J16" i="100"/>
  <c r="B92" i="100"/>
  <c r="I92" i="100" s="1"/>
  <c r="J41" i="100"/>
  <c r="J50" i="100" s="1"/>
  <c r="E50" i="100"/>
  <c r="P51" i="54" s="1"/>
  <c r="B91" i="100"/>
  <c r="I91" i="100" s="1"/>
  <c r="I12" i="100"/>
  <c r="E28" i="100"/>
  <c r="O51" i="54" s="1"/>
  <c r="Q51" i="54" s="1"/>
  <c r="E50" i="99"/>
  <c r="P50" i="54" s="1"/>
  <c r="J41" i="99"/>
  <c r="J50" i="99" s="1"/>
  <c r="T64" i="99"/>
  <c r="X65" i="99" s="1"/>
  <c r="X70" i="99" s="1"/>
  <c r="Y70" i="99" s="1"/>
  <c r="T61" i="99"/>
  <c r="X62" i="99" s="1"/>
  <c r="X67" i="99" s="1"/>
  <c r="Y67" i="99" s="1"/>
  <c r="T58" i="99"/>
  <c r="X59" i="99" s="1"/>
  <c r="X71" i="99" s="1"/>
  <c r="Y71" i="99" s="1"/>
  <c r="T52" i="99"/>
  <c r="X53" i="99" s="1"/>
  <c r="I12" i="99"/>
  <c r="E28" i="99"/>
  <c r="O50" i="54" s="1"/>
  <c r="Q50" i="54" s="1"/>
  <c r="Y102" i="99"/>
  <c r="Y104" i="99"/>
  <c r="B91" i="99"/>
  <c r="I91" i="99" s="1"/>
  <c r="J16" i="99"/>
  <c r="B92" i="99"/>
  <c r="I92" i="99" s="1"/>
  <c r="X90" i="99"/>
  <c r="Y93" i="99" s="1"/>
  <c r="S93" i="99"/>
  <c r="Y28" i="99"/>
  <c r="T64" i="98"/>
  <c r="X65" i="98" s="1"/>
  <c r="X70" i="98" s="1"/>
  <c r="Y70" i="98" s="1"/>
  <c r="X53" i="98"/>
  <c r="T61" i="98"/>
  <c r="X62" i="98" s="1"/>
  <c r="X67" i="98" s="1"/>
  <c r="Y67" i="98" s="1"/>
  <c r="T58" i="98"/>
  <c r="X59" i="98" s="1"/>
  <c r="X71" i="98" s="1"/>
  <c r="Y71" i="98" s="1"/>
  <c r="B91" i="98"/>
  <c r="I91" i="98" s="1"/>
  <c r="E28" i="98"/>
  <c r="O49" i="54" s="1"/>
  <c r="Q49" i="54" s="1"/>
  <c r="I12" i="98"/>
  <c r="X90" i="98"/>
  <c r="Y93" i="98" s="1"/>
  <c r="S93" i="98"/>
  <c r="J16" i="98"/>
  <c r="B92" i="98"/>
  <c r="I92" i="98" s="1"/>
  <c r="Y28" i="98"/>
  <c r="J41" i="98"/>
  <c r="J50" i="98" s="1"/>
  <c r="E50" i="98"/>
  <c r="P49" i="54" s="1"/>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87" i="96"/>
  <c r="Y87" i="96" s="1"/>
  <c r="X69" i="96"/>
  <c r="J16" i="96"/>
  <c r="B92" i="96"/>
  <c r="I92" i="96" s="1"/>
  <c r="I12" i="96"/>
  <c r="E28" i="96"/>
  <c r="O47" i="54" s="1"/>
  <c r="Q47" i="54" s="1"/>
  <c r="Y28" i="96"/>
  <c r="Y102" i="96"/>
  <c r="Y105" i="96" s="1"/>
  <c r="J41" i="96"/>
  <c r="J50" i="96" s="1"/>
  <c r="E50" i="96"/>
  <c r="P47" i="54" s="1"/>
  <c r="S90" i="95"/>
  <c r="X90" i="95" s="1"/>
  <c r="Y93" i="95" s="1"/>
  <c r="Y104" i="95"/>
  <c r="Y102" i="95"/>
  <c r="J41" i="95"/>
  <c r="J50" i="95" s="1"/>
  <c r="E50" i="95"/>
  <c r="P46" i="54" s="1"/>
  <c r="Y28" i="95"/>
  <c r="B91" i="95"/>
  <c r="I91" i="95" s="1"/>
  <c r="J16" i="95"/>
  <c r="B92" i="95"/>
  <c r="I92" i="95" s="1"/>
  <c r="X28" i="95"/>
  <c r="I12" i="95"/>
  <c r="E28" i="95"/>
  <c r="O46" i="54" s="1"/>
  <c r="Q46" i="54" s="1"/>
  <c r="J16" i="94"/>
  <c r="B92" i="94"/>
  <c r="I92" i="94" s="1"/>
  <c r="Y28" i="94"/>
  <c r="B91" i="94"/>
  <c r="I91" i="94" s="1"/>
  <c r="E50" i="94"/>
  <c r="P45" i="54" s="1"/>
  <c r="J41" i="94"/>
  <c r="J50" i="94" s="1"/>
  <c r="E28" i="94"/>
  <c r="O45" i="54" s="1"/>
  <c r="Q45" i="54" s="1"/>
  <c r="I12" i="94"/>
  <c r="X28" i="94"/>
  <c r="S90" i="94"/>
  <c r="J16" i="93"/>
  <c r="B92" i="93"/>
  <c r="I92" i="93" s="1"/>
  <c r="X90" i="93"/>
  <c r="Y93" i="93" s="1"/>
  <c r="S93" i="93"/>
  <c r="E28" i="93"/>
  <c r="O44" i="54" s="1"/>
  <c r="Q44" i="54" s="1"/>
  <c r="I12" i="93"/>
  <c r="E50" i="93"/>
  <c r="P44" i="54" s="1"/>
  <c r="J41" i="93"/>
  <c r="J50" i="93" s="1"/>
  <c r="Y28" i="93"/>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Y104" i="92"/>
  <c r="Y102" i="92"/>
  <c r="J16" i="92"/>
  <c r="B92" i="92"/>
  <c r="I92" i="92" s="1"/>
  <c r="B91" i="92"/>
  <c r="I91" i="92" s="1"/>
  <c r="J41" i="92"/>
  <c r="J50" i="92" s="1"/>
  <c r="E50" i="92"/>
  <c r="P43" i="54" s="1"/>
  <c r="I12" i="92"/>
  <c r="E28" i="92"/>
  <c r="O43" i="54" s="1"/>
  <c r="Q43" i="54" s="1"/>
  <c r="T52" i="91"/>
  <c r="X53" i="91" s="1"/>
  <c r="X69" i="91" s="1"/>
  <c r="T64" i="91"/>
  <c r="X65" i="91" s="1"/>
  <c r="X70" i="91" s="1"/>
  <c r="Y70" i="91" s="1"/>
  <c r="T61" i="91"/>
  <c r="X62" i="91" s="1"/>
  <c r="X67" i="91" s="1"/>
  <c r="Y67" i="91" s="1"/>
  <c r="Y71" i="91"/>
  <c r="J16" i="91"/>
  <c r="B92" i="91"/>
  <c r="I92" i="91" s="1"/>
  <c r="B91" i="91"/>
  <c r="I91" i="91" s="1"/>
  <c r="Y104" i="91"/>
  <c r="Y102" i="91"/>
  <c r="J41" i="91"/>
  <c r="J50" i="91" s="1"/>
  <c r="E50" i="91"/>
  <c r="P42" i="54" s="1"/>
  <c r="S90" i="91"/>
  <c r="X28" i="91"/>
  <c r="V33" i="91" s="1"/>
  <c r="Y28" i="91"/>
  <c r="I12" i="91"/>
  <c r="E28" i="91"/>
  <c r="O42" i="54" s="1"/>
  <c r="B91" i="90"/>
  <c r="I91" i="90" s="1"/>
  <c r="X90" i="90"/>
  <c r="Y93" i="90" s="1"/>
  <c r="S93" i="90"/>
  <c r="Y28" i="90"/>
  <c r="T64" i="90"/>
  <c r="X65" i="90" s="1"/>
  <c r="X70" i="90" s="1"/>
  <c r="Y70" i="90" s="1"/>
  <c r="T52" i="90"/>
  <c r="X53" i="90" s="1"/>
  <c r="T58" i="90"/>
  <c r="X59" i="90" s="1"/>
  <c r="X71" i="90" s="1"/>
  <c r="Y71" i="90" s="1"/>
  <c r="T61" i="90"/>
  <c r="X62" i="90" s="1"/>
  <c r="X67" i="90" s="1"/>
  <c r="Y67" i="90" s="1"/>
  <c r="J41" i="90"/>
  <c r="J50" i="90" s="1"/>
  <c r="E50" i="90"/>
  <c r="P41" i="54" s="1"/>
  <c r="I12" i="90"/>
  <c r="E28" i="90"/>
  <c r="O41" i="54" s="1"/>
  <c r="Q41" i="54" s="1"/>
  <c r="J16" i="90"/>
  <c r="B92" i="90"/>
  <c r="I92" i="90" s="1"/>
  <c r="B91" i="89"/>
  <c r="I91" i="89" s="1"/>
  <c r="J41" i="89"/>
  <c r="J50" i="89" s="1"/>
  <c r="E50" i="89"/>
  <c r="P40" i="54" s="1"/>
  <c r="I12" i="89"/>
  <c r="E28" i="89"/>
  <c r="O40" i="54" s="1"/>
  <c r="Q40" i="54" s="1"/>
  <c r="J16" i="89"/>
  <c r="B92" i="89"/>
  <c r="I92" i="89" s="1"/>
  <c r="S90" i="89"/>
  <c r="X28" i="89"/>
  <c r="X87" i="89"/>
  <c r="Y87" i="89" s="1"/>
  <c r="X69" i="89"/>
  <c r="X28" i="88"/>
  <c r="Y28" i="88"/>
  <c r="B91" i="88"/>
  <c r="I91" i="88" s="1"/>
  <c r="J16" i="88"/>
  <c r="B92" i="88"/>
  <c r="I92" i="88" s="1"/>
  <c r="X87" i="88"/>
  <c r="Y87" i="88" s="1"/>
  <c r="X69" i="88"/>
  <c r="I12" i="88"/>
  <c r="E28" i="88"/>
  <c r="O39" i="54" s="1"/>
  <c r="J41" i="88"/>
  <c r="J50" i="88" s="1"/>
  <c r="E50" i="88"/>
  <c r="P39" i="54" s="1"/>
  <c r="B91" i="87"/>
  <c r="I91" i="87" s="1"/>
  <c r="S91" i="87"/>
  <c r="X91" i="87" s="1"/>
  <c r="Y14" i="87"/>
  <c r="Y28" i="87" s="1"/>
  <c r="J16" i="87"/>
  <c r="B92" i="87"/>
  <c r="I92" i="87" s="1"/>
  <c r="J41" i="87"/>
  <c r="J50" i="87" s="1"/>
  <c r="E50" i="87"/>
  <c r="P38" i="54" s="1"/>
  <c r="X90" i="87"/>
  <c r="X87" i="87"/>
  <c r="Y87" i="87" s="1"/>
  <c r="X69" i="87"/>
  <c r="E28" i="87"/>
  <c r="O38" i="54" s="1"/>
  <c r="Q38" i="54" s="1"/>
  <c r="I12" i="87"/>
  <c r="X28" i="87"/>
  <c r="T58" i="86"/>
  <c r="X59" i="86" s="1"/>
  <c r="X71" i="86" s="1"/>
  <c r="Y71" i="86" s="1"/>
  <c r="B91" i="86"/>
  <c r="I91" i="86" s="1"/>
  <c r="X87" i="86"/>
  <c r="Y87" i="86" s="1"/>
  <c r="X69" i="86"/>
  <c r="Y104" i="86"/>
  <c r="Y102" i="86"/>
  <c r="X28" i="86"/>
  <c r="J41" i="86"/>
  <c r="J50" i="86" s="1"/>
  <c r="E50" i="86"/>
  <c r="P37" i="54" s="1"/>
  <c r="S90" i="86"/>
  <c r="E28" i="86"/>
  <c r="O37" i="54" s="1"/>
  <c r="Q37" i="54" s="1"/>
  <c r="I12" i="86"/>
  <c r="J16" i="86"/>
  <c r="B92" i="86"/>
  <c r="I92" i="86" s="1"/>
  <c r="Y28" i="86"/>
  <c r="T64" i="85"/>
  <c r="X65" i="85" s="1"/>
  <c r="X70" i="85" s="1"/>
  <c r="Y70" i="85" s="1"/>
  <c r="E50" i="85"/>
  <c r="P36" i="54" s="1"/>
  <c r="J41" i="85"/>
  <c r="J50" i="85" s="1"/>
  <c r="X28" i="85"/>
  <c r="B91" i="85"/>
  <c r="I91" i="85" s="1"/>
  <c r="E28" i="85"/>
  <c r="O36" i="54" s="1"/>
  <c r="Q36" i="54" s="1"/>
  <c r="I12" i="85"/>
  <c r="S90" i="85"/>
  <c r="J16" i="85"/>
  <c r="B92" i="85"/>
  <c r="I92" i="85" s="1"/>
  <c r="Y28" i="85"/>
  <c r="T61" i="84"/>
  <c r="X62" i="84" s="1"/>
  <c r="X67" i="84" s="1"/>
  <c r="Y67" i="84" s="1"/>
  <c r="B91" i="84"/>
  <c r="I91" i="84" s="1"/>
  <c r="Y28" i="84"/>
  <c r="T52" i="84"/>
  <c r="X53" i="84" s="1"/>
  <c r="X87" i="84" s="1"/>
  <c r="Y87" i="84" s="1"/>
  <c r="T58" i="84"/>
  <c r="X59" i="84" s="1"/>
  <c r="X71" i="84" s="1"/>
  <c r="Y71" i="84" s="1"/>
  <c r="J41" i="84"/>
  <c r="J50" i="84" s="1"/>
  <c r="E50" i="84"/>
  <c r="E28" i="84"/>
  <c r="I12" i="84"/>
  <c r="J16" i="84"/>
  <c r="B92" i="84"/>
  <c r="I92" i="84" s="1"/>
  <c r="B91" i="83"/>
  <c r="I91" i="83" s="1"/>
  <c r="S90" i="83"/>
  <c r="S93" i="83" s="1"/>
  <c r="X28" i="83"/>
  <c r="J16" i="83"/>
  <c r="J28" i="83" s="1"/>
  <c r="B92" i="83"/>
  <c r="I92" i="83" s="1"/>
  <c r="I28" i="83"/>
  <c r="G33" i="83" s="1"/>
  <c r="E56" i="83" s="1"/>
  <c r="E28" i="83"/>
  <c r="O34" i="54" s="1"/>
  <c r="Q34" i="54" s="1"/>
  <c r="B90" i="83"/>
  <c r="Y28" i="83"/>
  <c r="T58" i="83"/>
  <c r="X59" i="83" s="1"/>
  <c r="X71" i="83" s="1"/>
  <c r="Y71" i="83" s="1"/>
  <c r="T64" i="83"/>
  <c r="X65" i="83" s="1"/>
  <c r="X70" i="83" s="1"/>
  <c r="Y70" i="83" s="1"/>
  <c r="T52" i="83"/>
  <c r="X53" i="83" s="1"/>
  <c r="T61" i="83"/>
  <c r="X62" i="83" s="1"/>
  <c r="X67" i="83" s="1"/>
  <c r="Y67" i="83" s="1"/>
  <c r="J41" i="83"/>
  <c r="J50" i="83" s="1"/>
  <c r="E50" i="83"/>
  <c r="P34" i="54" s="1"/>
  <c r="B91" i="82"/>
  <c r="I91" i="82" s="1"/>
  <c r="J16" i="82"/>
  <c r="B92" i="82"/>
  <c r="I92" i="82" s="1"/>
  <c r="X69" i="82"/>
  <c r="X87" i="82"/>
  <c r="Y87" i="82" s="1"/>
  <c r="Y28" i="82"/>
  <c r="S90" i="82"/>
  <c r="J41" i="82"/>
  <c r="J50" i="82" s="1"/>
  <c r="E50" i="82"/>
  <c r="P33" i="54" s="1"/>
  <c r="X28" i="82"/>
  <c r="V33" i="82" s="1"/>
  <c r="I12" i="82"/>
  <c r="E28" i="82"/>
  <c r="O33" i="54" s="1"/>
  <c r="Q33" i="54" s="1"/>
  <c r="I12" i="81"/>
  <c r="E28" i="81"/>
  <c r="O32" i="54" s="1"/>
  <c r="Q32" i="54" s="1"/>
  <c r="X28" i="81"/>
  <c r="V33" i="81" s="1"/>
  <c r="X56" i="81" s="1"/>
  <c r="X87" i="81"/>
  <c r="Y87" i="81" s="1"/>
  <c r="X69" i="81"/>
  <c r="J16" i="81"/>
  <c r="B92" i="81"/>
  <c r="I92" i="81" s="1"/>
  <c r="J41" i="81"/>
  <c r="J50" i="81" s="1"/>
  <c r="E50" i="81"/>
  <c r="P32" i="54" s="1"/>
  <c r="B91" i="81"/>
  <c r="I91" i="81" s="1"/>
  <c r="S90" i="81"/>
  <c r="Y28" i="81"/>
  <c r="I12" i="80"/>
  <c r="E28" i="80"/>
  <c r="O31" i="54" s="1"/>
  <c r="Q31" i="54" s="1"/>
  <c r="Y102" i="80"/>
  <c r="Y105" i="80" s="1"/>
  <c r="Y28" i="80"/>
  <c r="X87" i="80"/>
  <c r="Y87" i="80" s="1"/>
  <c r="X69" i="80"/>
  <c r="J41" i="80"/>
  <c r="J50" i="80" s="1"/>
  <c r="E50" i="80"/>
  <c r="P31" i="54" s="1"/>
  <c r="J16" i="80"/>
  <c r="B92" i="80"/>
  <c r="I92" i="80" s="1"/>
  <c r="T52" i="79"/>
  <c r="X53" i="79" s="1"/>
  <c r="X87" i="79" s="1"/>
  <c r="Y87" i="79" s="1"/>
  <c r="T58" i="79"/>
  <c r="X59" i="79" s="1"/>
  <c r="X71" i="79" s="1"/>
  <c r="Y71" i="79" s="1"/>
  <c r="T64" i="79"/>
  <c r="X65" i="79" s="1"/>
  <c r="X70" i="79" s="1"/>
  <c r="Y70" i="79" s="1"/>
  <c r="J16" i="79"/>
  <c r="B92" i="79"/>
  <c r="I92" i="79" s="1"/>
  <c r="Y28" i="79"/>
  <c r="X28" i="79"/>
  <c r="B91" i="79"/>
  <c r="I91" i="79" s="1"/>
  <c r="S90" i="79"/>
  <c r="J41" i="79"/>
  <c r="J50" i="79" s="1"/>
  <c r="E50" i="79"/>
  <c r="P30" i="54" s="1"/>
  <c r="I12" i="79"/>
  <c r="E28" i="79"/>
  <c r="O30" i="54" s="1"/>
  <c r="Q30" i="54" s="1"/>
  <c r="T52" i="78"/>
  <c r="X53" i="78" s="1"/>
  <c r="T58" i="78"/>
  <c r="X59" i="78" s="1"/>
  <c r="X71" i="78" s="1"/>
  <c r="Y71" i="78" s="1"/>
  <c r="T64" i="78"/>
  <c r="X65" i="78" s="1"/>
  <c r="X70" i="78" s="1"/>
  <c r="Y70" i="78" s="1"/>
  <c r="T61" i="78"/>
  <c r="X62" i="78" s="1"/>
  <c r="X67" i="78" s="1"/>
  <c r="Y67" i="78" s="1"/>
  <c r="I12" i="78"/>
  <c r="E28" i="78"/>
  <c r="O29" i="54" s="1"/>
  <c r="Q29" i="54" s="1"/>
  <c r="X90" i="78"/>
  <c r="Y93" i="78" s="1"/>
  <c r="S93" i="78"/>
  <c r="Y28" i="78"/>
  <c r="B91" i="78"/>
  <c r="I91" i="78" s="1"/>
  <c r="J16" i="78"/>
  <c r="B92" i="78"/>
  <c r="I92" i="78" s="1"/>
  <c r="J41" i="78"/>
  <c r="J50" i="78" s="1"/>
  <c r="E50" i="78"/>
  <c r="P29" i="54" s="1"/>
  <c r="J41" i="77"/>
  <c r="J50" i="77" s="1"/>
  <c r="E50" i="77"/>
  <c r="P28" i="54" s="1"/>
  <c r="T15" i="77"/>
  <c r="X15" i="77" s="1"/>
  <c r="I15" i="77"/>
  <c r="J15" i="77" s="1"/>
  <c r="I22" i="77"/>
  <c r="J22" i="77" s="1"/>
  <c r="T22" i="77"/>
  <c r="X22" i="77" s="1"/>
  <c r="Y22" i="77" s="1"/>
  <c r="I12" i="77"/>
  <c r="E28" i="77"/>
  <c r="O28" i="54" s="1"/>
  <c r="Q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Y104" i="76"/>
  <c r="Y102" i="76"/>
  <c r="I12" i="76"/>
  <c r="E28" i="76"/>
  <c r="O27" i="54" s="1"/>
  <c r="Q27" i="54" s="1"/>
  <c r="J41" i="76"/>
  <c r="J50" i="76" s="1"/>
  <c r="E50" i="76"/>
  <c r="P27" i="54" s="1"/>
  <c r="T61" i="75"/>
  <c r="X62" i="75" s="1"/>
  <c r="X67" i="75" s="1"/>
  <c r="Y67" i="75" s="1"/>
  <c r="T64" i="75"/>
  <c r="X65" i="75" s="1"/>
  <c r="X70" i="75" s="1"/>
  <c r="Y70" i="75" s="1"/>
  <c r="T58" i="75"/>
  <c r="X59" i="75" s="1"/>
  <c r="X71" i="75" s="1"/>
  <c r="Y71" i="75" s="1"/>
  <c r="S90" i="75"/>
  <c r="X90" i="75" s="1"/>
  <c r="Y93" i="75" s="1"/>
  <c r="X28" i="75"/>
  <c r="Y28" i="75"/>
  <c r="I12" i="75"/>
  <c r="E28" i="75"/>
  <c r="O26" i="54" s="1"/>
  <c r="Q26" i="54" s="1"/>
  <c r="Y104" i="75"/>
  <c r="Y102" i="75"/>
  <c r="Y83" i="75"/>
  <c r="X87" i="75"/>
  <c r="Y87" i="75" s="1"/>
  <c r="X69" i="75"/>
  <c r="B91" i="75"/>
  <c r="I91" i="75" s="1"/>
  <c r="J16" i="75"/>
  <c r="B92" i="75"/>
  <c r="I92" i="75" s="1"/>
  <c r="J41" i="75"/>
  <c r="J50" i="75" s="1"/>
  <c r="E50" i="75"/>
  <c r="P26" i="54" s="1"/>
  <c r="J16" i="74"/>
  <c r="B92" i="74"/>
  <c r="I92" i="74" s="1"/>
  <c r="B91" i="74"/>
  <c r="I91" i="74" s="1"/>
  <c r="S90" i="74"/>
  <c r="X28" i="74"/>
  <c r="J41" i="74"/>
  <c r="J50" i="74" s="1"/>
  <c r="E50" i="74"/>
  <c r="P25" i="54" s="1"/>
  <c r="I12" i="74"/>
  <c r="E28" i="74"/>
  <c r="O25" i="54" s="1"/>
  <c r="Q25" i="54" s="1"/>
  <c r="Y102" i="74"/>
  <c r="Y105" i="74" s="1"/>
  <c r="X69" i="74"/>
  <c r="X87" i="74"/>
  <c r="Y87" i="74" s="1"/>
  <c r="Y28" i="74"/>
  <c r="Y28" i="73"/>
  <c r="S91" i="73"/>
  <c r="X91" i="73" s="1"/>
  <c r="X28" i="73"/>
  <c r="J16" i="73"/>
  <c r="B92" i="73"/>
  <c r="I92" i="73" s="1"/>
  <c r="J41" i="73"/>
  <c r="J50" i="73" s="1"/>
  <c r="E50" i="73"/>
  <c r="P24" i="54" s="1"/>
  <c r="X87" i="73"/>
  <c r="Y87" i="73" s="1"/>
  <c r="X69" i="73"/>
  <c r="B91" i="73"/>
  <c r="I91" i="73" s="1"/>
  <c r="I12" i="73"/>
  <c r="E28" i="73"/>
  <c r="O24" i="54" s="1"/>
  <c r="Q24" i="54" s="1"/>
  <c r="X90" i="73"/>
  <c r="Y104" i="73"/>
  <c r="Y102" i="73"/>
  <c r="J105" i="73"/>
  <c r="B91" i="72"/>
  <c r="I91" i="72" s="1"/>
  <c r="Y28" i="72"/>
  <c r="I12" i="72"/>
  <c r="E28" i="72"/>
  <c r="O23" i="54" s="1"/>
  <c r="Q23" i="54" s="1"/>
  <c r="J41" i="72"/>
  <c r="J50" i="72" s="1"/>
  <c r="E50" i="72"/>
  <c r="P23" i="54" s="1"/>
  <c r="J16" i="72"/>
  <c r="B92" i="72"/>
  <c r="I92" i="72" s="1"/>
  <c r="Y102" i="72"/>
  <c r="Y104" i="72"/>
  <c r="Y28" i="71"/>
  <c r="J16" i="71"/>
  <c r="B92" i="71"/>
  <c r="I92" i="71" s="1"/>
  <c r="Y102" i="71"/>
  <c r="Y104" i="7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J41" i="70"/>
  <c r="J50" i="70" s="1"/>
  <c r="E50" i="70"/>
  <c r="P21" i="54" s="1"/>
  <c r="Y28" i="70"/>
  <c r="B91" i="70"/>
  <c r="I91" i="70" s="1"/>
  <c r="I12" i="70"/>
  <c r="E28" i="70"/>
  <c r="O21" i="54" s="1"/>
  <c r="Q21" i="54" s="1"/>
  <c r="T12" i="69"/>
  <c r="E28" i="69"/>
  <c r="O20" i="54" s="1"/>
  <c r="Q20" i="54" s="1"/>
  <c r="I12" i="69"/>
  <c r="T13" i="69"/>
  <c r="X13" i="69" s="1"/>
  <c r="Y13" i="69" s="1"/>
  <c r="I13" i="69"/>
  <c r="J13" i="69" s="1"/>
  <c r="T19" i="69"/>
  <c r="X19" i="69" s="1"/>
  <c r="Y19" i="69" s="1"/>
  <c r="I19" i="69"/>
  <c r="J19" i="69" s="1"/>
  <c r="T22" i="69"/>
  <c r="X22" i="69" s="1"/>
  <c r="Y22" i="69" s="1"/>
  <c r="I22" i="69"/>
  <c r="J22" i="69" s="1"/>
  <c r="J41" i="69"/>
  <c r="J50" i="69" s="1"/>
  <c r="E50" i="69"/>
  <c r="P20" i="54" s="1"/>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P18" i="54" s="1"/>
  <c r="T15" i="68"/>
  <c r="X15" i="68" s="1"/>
  <c r="Y15" i="68" s="1"/>
  <c r="I15" i="68"/>
  <c r="I16" i="68"/>
  <c r="T16" i="68"/>
  <c r="X16" i="68" s="1"/>
  <c r="I22" i="68"/>
  <c r="J22" i="68" s="1"/>
  <c r="T22" i="68"/>
  <c r="X22" i="68" s="1"/>
  <c r="Y22" i="68" s="1"/>
  <c r="I12" i="68"/>
  <c r="T12" i="68"/>
  <c r="E28" i="68"/>
  <c r="O18" i="54" s="1"/>
  <c r="Q18" i="54" s="1"/>
  <c r="T25" i="68"/>
  <c r="X25" i="68" s="1"/>
  <c r="Y25" i="68" s="1"/>
  <c r="I25" i="68"/>
  <c r="J25" i="68" s="1"/>
  <c r="T19" i="67"/>
  <c r="X19" i="67" s="1"/>
  <c r="Y19" i="67" s="1"/>
  <c r="I19" i="67"/>
  <c r="J19" i="67" s="1"/>
  <c r="I25" i="67"/>
  <c r="J25" i="67" s="1"/>
  <c r="T25" i="67"/>
  <c r="X25" i="67" s="1"/>
  <c r="Y25" i="67" s="1"/>
  <c r="I26" i="67"/>
  <c r="J26" i="67" s="1"/>
  <c r="T26" i="67"/>
  <c r="X26" i="67" s="1"/>
  <c r="Y26" i="67" s="1"/>
  <c r="I16" i="67"/>
  <c r="T16" i="67"/>
  <c r="X16" i="67" s="1"/>
  <c r="T22" i="67"/>
  <c r="X22" i="67" s="1"/>
  <c r="Y22" i="67" s="1"/>
  <c r="I22" i="67"/>
  <c r="J22" i="67" s="1"/>
  <c r="T13" i="67"/>
  <c r="X13" i="67" s="1"/>
  <c r="Y13" i="67" s="1"/>
  <c r="I13" i="67"/>
  <c r="J13" i="67" s="1"/>
  <c r="J41" i="67"/>
  <c r="J50" i="67" s="1"/>
  <c r="E50" i="67"/>
  <c r="P17" i="54" s="1"/>
  <c r="I15" i="67"/>
  <c r="T15" i="67"/>
  <c r="X15" i="67" s="1"/>
  <c r="Y15" i="67" s="1"/>
  <c r="T12" i="67"/>
  <c r="E28" i="67"/>
  <c r="O17" i="54" s="1"/>
  <c r="Q17" i="54" s="1"/>
  <c r="I12" i="67"/>
  <c r="Y102" i="66"/>
  <c r="Y105" i="66" s="1"/>
  <c r="E28" i="66"/>
  <c r="O16" i="54" s="1"/>
  <c r="Q16" i="54" s="1"/>
  <c r="J41" i="66"/>
  <c r="J50" i="66" s="1"/>
  <c r="E50" i="66"/>
  <c r="P16" i="54" s="1"/>
  <c r="E28" i="65"/>
  <c r="O15" i="54" s="1"/>
  <c r="Q15" i="54" s="1"/>
  <c r="I12" i="65"/>
  <c r="J16" i="65"/>
  <c r="B92" i="65"/>
  <c r="I92" i="65" s="1"/>
  <c r="X87" i="65"/>
  <c r="Y87" i="65" s="1"/>
  <c r="X69" i="65"/>
  <c r="J41" i="65"/>
  <c r="J50" i="65" s="1"/>
  <c r="E50" i="65"/>
  <c r="P15" i="54" s="1"/>
  <c r="B91" i="65"/>
  <c r="I91" i="65" s="1"/>
  <c r="Y104" i="64"/>
  <c r="Y105" i="64" s="1"/>
  <c r="I13" i="64"/>
  <c r="J13" i="64" s="1"/>
  <c r="T13" i="64"/>
  <c r="X13" i="64" s="1"/>
  <c r="Y13" i="64" s="1"/>
  <c r="I12" i="64"/>
  <c r="E28" i="64"/>
  <c r="O14" i="54" s="1"/>
  <c r="Q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P14" i="54" s="1"/>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P13" i="54" s="1"/>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c r="Q13" i="54" s="1"/>
  <c r="T19" i="63"/>
  <c r="X19" i="63" s="1"/>
  <c r="Y19" i="63" s="1"/>
  <c r="I19" i="63"/>
  <c r="J19" i="63" s="1"/>
  <c r="T15" i="63"/>
  <c r="X15" i="63" s="1"/>
  <c r="Y15" i="63" s="1"/>
  <c r="I15" i="63"/>
  <c r="J15" i="63" s="1"/>
  <c r="I16" i="62"/>
  <c r="T16" i="62"/>
  <c r="X16" i="62" s="1"/>
  <c r="T22" i="62"/>
  <c r="X22" i="62" s="1"/>
  <c r="Y22" i="62" s="1"/>
  <c r="I22" i="62"/>
  <c r="J22" i="62" s="1"/>
  <c r="J41" i="62"/>
  <c r="J50" i="62" s="1"/>
  <c r="E50" i="62"/>
  <c r="P12" i="54" s="1"/>
  <c r="T13" i="62"/>
  <c r="X13" i="62" s="1"/>
  <c r="Y13" i="62" s="1"/>
  <c r="I13" i="62"/>
  <c r="J13" i="62" s="1"/>
  <c r="T19" i="62"/>
  <c r="X19" i="62" s="1"/>
  <c r="Y19" i="62" s="1"/>
  <c r="I19" i="62"/>
  <c r="J19" i="62" s="1"/>
  <c r="T12" i="62"/>
  <c r="E28" i="62"/>
  <c r="O12" i="54" s="1"/>
  <c r="Q12" i="54" s="1"/>
  <c r="I12" i="62"/>
  <c r="I15" i="62"/>
  <c r="T15" i="62"/>
  <c r="X15" i="62" s="1"/>
  <c r="Y15" i="62" s="1"/>
  <c r="I25" i="62"/>
  <c r="J25" i="62" s="1"/>
  <c r="T25" i="62"/>
  <c r="X25" i="62" s="1"/>
  <c r="Y25" i="62" s="1"/>
  <c r="I26" i="62"/>
  <c r="J26" i="62" s="1"/>
  <c r="T26" i="62"/>
  <c r="X26" i="62" s="1"/>
  <c r="Y26" i="62" s="1"/>
  <c r="J41" i="61"/>
  <c r="J50" i="61" s="1"/>
  <c r="E50" i="61"/>
  <c r="P11" i="54" s="1"/>
  <c r="E28" i="61"/>
  <c r="O11" i="54" s="1"/>
  <c r="Q11" i="54" s="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P10" i="54" s="1"/>
  <c r="Y28" i="60"/>
  <c r="I12" i="60"/>
  <c r="E28" i="60"/>
  <c r="O10" i="54" s="1"/>
  <c r="Q10" i="54" s="1"/>
  <c r="T22" i="59"/>
  <c r="X22" i="59" s="1"/>
  <c r="Y22" i="59" s="1"/>
  <c r="I27" i="59"/>
  <c r="J27" i="59" s="1"/>
  <c r="I18" i="59"/>
  <c r="J18" i="59" s="1"/>
  <c r="T18" i="59"/>
  <c r="X18" i="59" s="1"/>
  <c r="Y18" i="59" s="1"/>
  <c r="I19" i="59"/>
  <c r="J19" i="59" s="1"/>
  <c r="I25" i="59"/>
  <c r="J25" i="59" s="1"/>
  <c r="I15" i="59"/>
  <c r="J15" i="59" s="1"/>
  <c r="X12" i="59"/>
  <c r="Y14" i="59"/>
  <c r="J41" i="59"/>
  <c r="J50" i="59" s="1"/>
  <c r="E50" i="59"/>
  <c r="P9" i="54" s="1"/>
  <c r="E28" i="59"/>
  <c r="I13" i="59"/>
  <c r="T13" i="59"/>
  <c r="X13" i="59" s="1"/>
  <c r="Y13" i="59" s="1"/>
  <c r="I26" i="59"/>
  <c r="J26" i="59" s="1"/>
  <c r="T26" i="59"/>
  <c r="X26" i="59" s="1"/>
  <c r="Y26" i="59" s="1"/>
  <c r="I16" i="59"/>
  <c r="T16" i="59"/>
  <c r="X16" i="59" s="1"/>
  <c r="J41" i="58"/>
  <c r="J50" i="58" s="1"/>
  <c r="E50" i="58"/>
  <c r="P8" i="54" s="1"/>
  <c r="O9" i="54" l="1"/>
  <c r="Q9" i="54" s="1"/>
  <c r="E59" i="59"/>
  <c r="I60" i="59" s="1"/>
  <c r="E65" i="59"/>
  <c r="I66" i="59" s="1"/>
  <c r="E53" i="59"/>
  <c r="I54" i="59" s="1"/>
  <c r="E62" i="59"/>
  <c r="I63" i="59" s="1"/>
  <c r="J37" i="83"/>
  <c r="J36" i="83"/>
  <c r="J38" i="83" s="1"/>
  <c r="Y33" i="71"/>
  <c r="V37" i="71"/>
  <c r="Y37" i="71" s="1"/>
  <c r="V36" i="71"/>
  <c r="Y36" i="71" s="1"/>
  <c r="Y33" i="78"/>
  <c r="V36" i="78"/>
  <c r="Y36" i="78" s="1"/>
  <c r="V37" i="78"/>
  <c r="Y37" i="78" s="1"/>
  <c r="Y33" i="95"/>
  <c r="V37" i="95"/>
  <c r="Y37" i="95" s="1"/>
  <c r="V36" i="95"/>
  <c r="Y36" i="95" s="1"/>
  <c r="Y33" i="100"/>
  <c r="V36" i="100"/>
  <c r="Y36" i="100" s="1"/>
  <c r="V37" i="100"/>
  <c r="Y37" i="100" s="1"/>
  <c r="Y33" i="65"/>
  <c r="V37" i="65"/>
  <c r="Y37" i="65" s="1"/>
  <c r="V36" i="65"/>
  <c r="Y36" i="65" s="1"/>
  <c r="Y33" i="82"/>
  <c r="V37" i="82"/>
  <c r="Y37" i="82" s="1"/>
  <c r="V36" i="82"/>
  <c r="Y36" i="82" s="1"/>
  <c r="Y33" i="70"/>
  <c r="V37" i="70"/>
  <c r="Y37" i="70" s="1"/>
  <c r="V36" i="70"/>
  <c r="Y36" i="70" s="1"/>
  <c r="Y33" i="74"/>
  <c r="V37" i="74"/>
  <c r="Y37" i="74" s="1"/>
  <c r="V36" i="74"/>
  <c r="Y36" i="74" s="1"/>
  <c r="Y33" i="104"/>
  <c r="V37" i="104"/>
  <c r="Y37" i="104" s="1"/>
  <c r="V36" i="104"/>
  <c r="Y36" i="104" s="1"/>
  <c r="Y33" i="75"/>
  <c r="V36" i="75"/>
  <c r="Y36" i="75" s="1"/>
  <c r="V37" i="75"/>
  <c r="Y37" i="75" s="1"/>
  <c r="V37" i="80"/>
  <c r="Y37" i="80" s="1"/>
  <c r="V36" i="80"/>
  <c r="Y36" i="80" s="1"/>
  <c r="Y33" i="105"/>
  <c r="V37" i="105"/>
  <c r="Y37" i="105" s="1"/>
  <c r="V36" i="105"/>
  <c r="Y36" i="105" s="1"/>
  <c r="Y33" i="87"/>
  <c r="V36" i="87"/>
  <c r="Y36" i="87" s="1"/>
  <c r="V37" i="87"/>
  <c r="Y37" i="87" s="1"/>
  <c r="Y33" i="73"/>
  <c r="V37" i="73"/>
  <c r="Y37" i="73" s="1"/>
  <c r="V36" i="73"/>
  <c r="Y36" i="73" s="1"/>
  <c r="Y33" i="81"/>
  <c r="V37" i="81"/>
  <c r="Y37" i="81" s="1"/>
  <c r="V36" i="81"/>
  <c r="Y36" i="81" s="1"/>
  <c r="Y33" i="90"/>
  <c r="V37" i="90"/>
  <c r="Y37" i="90" s="1"/>
  <c r="V36" i="90"/>
  <c r="Y36" i="90" s="1"/>
  <c r="V37" i="96"/>
  <c r="Y37" i="96" s="1"/>
  <c r="V36" i="96"/>
  <c r="Y36" i="96" s="1"/>
  <c r="Y33" i="93"/>
  <c r="V37" i="93"/>
  <c r="Y37" i="93" s="1"/>
  <c r="V36" i="93"/>
  <c r="Y36" i="93" s="1"/>
  <c r="V36" i="85"/>
  <c r="Y36" i="85" s="1"/>
  <c r="V37" i="85"/>
  <c r="Y37" i="85" s="1"/>
  <c r="Y33" i="88"/>
  <c r="V37" i="88"/>
  <c r="Y37" i="88" s="1"/>
  <c r="V36" i="88"/>
  <c r="Y36" i="88" s="1"/>
  <c r="Y33" i="89"/>
  <c r="V37" i="89"/>
  <c r="Y37" i="89" s="1"/>
  <c r="V36" i="89"/>
  <c r="Y36" i="89" s="1"/>
  <c r="Y33" i="103"/>
  <c r="V37" i="103"/>
  <c r="Y37" i="103" s="1"/>
  <c r="V36" i="103"/>
  <c r="Y36" i="103" s="1"/>
  <c r="Y33" i="92"/>
  <c r="V37" i="92"/>
  <c r="Y37" i="92" s="1"/>
  <c r="V36" i="92"/>
  <c r="Y36" i="92" s="1"/>
  <c r="Y33" i="84"/>
  <c r="V37" i="84"/>
  <c r="Y37" i="84" s="1"/>
  <c r="V36" i="84"/>
  <c r="Y36" i="84" s="1"/>
  <c r="Y33" i="72"/>
  <c r="V36" i="72"/>
  <c r="Y36" i="72" s="1"/>
  <c r="V37" i="72"/>
  <c r="Y37" i="72" s="1"/>
  <c r="Y33" i="98"/>
  <c r="V37" i="98"/>
  <c r="Y37" i="98" s="1"/>
  <c r="V36" i="98"/>
  <c r="Y36" i="98" s="1"/>
  <c r="Y33" i="83"/>
  <c r="V37" i="83"/>
  <c r="Y37" i="83" s="1"/>
  <c r="V36" i="83"/>
  <c r="Y36" i="83" s="1"/>
  <c r="Y33" i="99"/>
  <c r="V36" i="99"/>
  <c r="Y36" i="99" s="1"/>
  <c r="V37" i="99"/>
  <c r="Y37" i="99" s="1"/>
  <c r="Y33" i="60"/>
  <c r="V37" i="60"/>
  <c r="Y37" i="60" s="1"/>
  <c r="V36" i="60"/>
  <c r="Y36" i="60" s="1"/>
  <c r="Y33" i="91"/>
  <c r="V37" i="91"/>
  <c r="Y37" i="91" s="1"/>
  <c r="V36" i="91"/>
  <c r="Y36" i="91" s="1"/>
  <c r="V37" i="94"/>
  <c r="Y37" i="94" s="1"/>
  <c r="V36" i="94"/>
  <c r="Y36" i="94" s="1"/>
  <c r="Y33" i="86"/>
  <c r="V37" i="86"/>
  <c r="Y37" i="86" s="1"/>
  <c r="V36" i="86"/>
  <c r="Y36" i="86" s="1"/>
  <c r="V37" i="97"/>
  <c r="Y37" i="97" s="1"/>
  <c r="V36" i="97"/>
  <c r="Y36" i="97" s="1"/>
  <c r="Y33" i="79"/>
  <c r="V37" i="79"/>
  <c r="Y37" i="79" s="1"/>
  <c r="V36" i="79"/>
  <c r="Y36" i="79" s="1"/>
  <c r="Q55" i="54"/>
  <c r="Q56" i="54"/>
  <c r="Q54" i="54"/>
  <c r="S93" i="84"/>
  <c r="B90" i="101"/>
  <c r="X90" i="96"/>
  <c r="Y93" i="96" s="1"/>
  <c r="J50" i="101"/>
  <c r="S93" i="71"/>
  <c r="V33" i="89"/>
  <c r="T55" i="89"/>
  <c r="V33" i="65"/>
  <c r="T55" i="65"/>
  <c r="V33" i="92"/>
  <c r="T55" i="92"/>
  <c r="V33" i="70"/>
  <c r="T55" i="70"/>
  <c r="V33" i="95"/>
  <c r="T55" i="95"/>
  <c r="S93" i="65"/>
  <c r="V33" i="74"/>
  <c r="T55" i="74"/>
  <c r="S93" i="88"/>
  <c r="V33" i="85"/>
  <c r="T55" i="85"/>
  <c r="V33" i="75"/>
  <c r="T55" i="75"/>
  <c r="V33" i="96"/>
  <c r="T55" i="96"/>
  <c r="V33" i="72"/>
  <c r="T55" i="72"/>
  <c r="V33" i="79"/>
  <c r="T55" i="79"/>
  <c r="V33" i="87"/>
  <c r="T55" i="87"/>
  <c r="V33" i="103"/>
  <c r="T55" i="103"/>
  <c r="V33" i="83"/>
  <c r="T55" i="83"/>
  <c r="X56" i="83" s="1"/>
  <c r="V33" i="86"/>
  <c r="T55" i="86"/>
  <c r="V33" i="105"/>
  <c r="T55" i="105"/>
  <c r="V33" i="94"/>
  <c r="R55" i="94"/>
  <c r="V33" i="88"/>
  <c r="T55" i="88"/>
  <c r="V33" i="73"/>
  <c r="T55" i="73"/>
  <c r="Y33" i="96"/>
  <c r="V33" i="80"/>
  <c r="T55" i="80"/>
  <c r="Y33" i="94"/>
  <c r="X69" i="103"/>
  <c r="X69" i="85"/>
  <c r="X69" i="94"/>
  <c r="I57" i="83"/>
  <c r="I85" i="83" s="1"/>
  <c r="J85" i="83" s="1"/>
  <c r="X90" i="83"/>
  <c r="Y93" i="83" s="1"/>
  <c r="X87" i="72"/>
  <c r="Y87" i="72" s="1"/>
  <c r="S93" i="80"/>
  <c r="Y33" i="85"/>
  <c r="Y33" i="97"/>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B92" i="66"/>
  <c r="I92" i="66"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T28" i="66"/>
  <c r="J15" i="66"/>
  <c r="J28" i="66" s="1"/>
  <c r="B91" i="66"/>
  <c r="I91" i="66" s="1"/>
  <c r="S90" i="66"/>
  <c r="I28" i="66"/>
  <c r="G33" i="66" s="1"/>
  <c r="X28" i="66"/>
  <c r="S91" i="66"/>
  <c r="X91" i="66" s="1"/>
  <c r="Y105" i="65"/>
  <c r="X13" i="61"/>
  <c r="T28" i="61"/>
  <c r="S91" i="61"/>
  <c r="X91" i="61" s="1"/>
  <c r="B92" i="61"/>
  <c r="I92" i="61" s="1"/>
  <c r="B91" i="61"/>
  <c r="I91" i="61" s="1"/>
  <c r="Y16" i="61"/>
  <c r="S92" i="61"/>
  <c r="X92" i="61" s="1"/>
  <c r="Y105" i="60"/>
  <c r="B91" i="59"/>
  <c r="I91" i="59" s="1"/>
  <c r="J13" i="105"/>
  <c r="J28"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I28" i="104"/>
  <c r="G33" i="104" s="1"/>
  <c r="E56" i="104" s="1"/>
  <c r="B90" i="104"/>
  <c r="X87" i="104"/>
  <c r="Y87" i="104" s="1"/>
  <c r="X69" i="104"/>
  <c r="X90" i="103"/>
  <c r="Y93" i="103" s="1"/>
  <c r="S93" i="103"/>
  <c r="J13" i="103"/>
  <c r="J28"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I28" i="101"/>
  <c r="G33" i="101" s="1"/>
  <c r="J12" i="101"/>
  <c r="J12" i="100"/>
  <c r="J28"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I28" i="99"/>
  <c r="G33" i="99" s="1"/>
  <c r="E56" i="99" s="1"/>
  <c r="J12" i="98"/>
  <c r="J28" i="98" s="1"/>
  <c r="I28" i="98"/>
  <c r="G33" i="98" s="1"/>
  <c r="E56" i="98" s="1"/>
  <c r="B90" i="98"/>
  <c r="X87" i="98"/>
  <c r="Y87" i="98" s="1"/>
  <c r="X69" i="98"/>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I28" i="97"/>
  <c r="G33" i="97" s="1"/>
  <c r="E56" i="97" s="1"/>
  <c r="B90" i="97"/>
  <c r="J12" i="96"/>
  <c r="J28"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I28" i="95"/>
  <c r="G33" i="95" s="1"/>
  <c r="E56" i="95" s="1"/>
  <c r="B90" i="95"/>
  <c r="I28" i="94"/>
  <c r="G33" i="94" s="1"/>
  <c r="E56" i="94" s="1"/>
  <c r="B90" i="94"/>
  <c r="J12" i="94"/>
  <c r="J28" i="94" s="1"/>
  <c r="S93" i="94"/>
  <c r="X90" i="94"/>
  <c r="Y93" i="94" s="1"/>
  <c r="E59" i="94"/>
  <c r="I60" i="94" s="1"/>
  <c r="I72" i="94" s="1"/>
  <c r="J72" i="94" s="1"/>
  <c r="E65" i="94"/>
  <c r="I66" i="94" s="1"/>
  <c r="I71" i="94" s="1"/>
  <c r="J71" i="94" s="1"/>
  <c r="E53" i="94"/>
  <c r="I54" i="94" s="1"/>
  <c r="E62" i="94"/>
  <c r="I63" i="94" s="1"/>
  <c r="I68" i="94" s="1"/>
  <c r="J68" i="94" s="1"/>
  <c r="J12" i="93"/>
  <c r="J28"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I28" i="91"/>
  <c r="G33" i="91" s="1"/>
  <c r="E56" i="91" s="1"/>
  <c r="B90" i="91"/>
  <c r="X90" i="91"/>
  <c r="Y93" i="91" s="1"/>
  <c r="S93" i="91"/>
  <c r="J12" i="90"/>
  <c r="J28"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B90" i="89"/>
  <c r="I28" i="89"/>
  <c r="G33" i="89" s="1"/>
  <c r="E56" i="89" s="1"/>
  <c r="E59" i="89"/>
  <c r="I60" i="89" s="1"/>
  <c r="I72" i="89" s="1"/>
  <c r="J72" i="89" s="1"/>
  <c r="E62" i="89"/>
  <c r="I63" i="89" s="1"/>
  <c r="I68" i="89" s="1"/>
  <c r="J68" i="89" s="1"/>
  <c r="E53" i="89"/>
  <c r="I54" i="89" s="1"/>
  <c r="E65" i="89"/>
  <c r="I66" i="89" s="1"/>
  <c r="I71" i="89" s="1"/>
  <c r="J71" i="89" s="1"/>
  <c r="J12" i="88"/>
  <c r="J28"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J12" i="86"/>
  <c r="J28" i="86" s="1"/>
  <c r="I28" i="86"/>
  <c r="G33" i="86" s="1"/>
  <c r="E56" i="86" s="1"/>
  <c r="I57" i="86" s="1"/>
  <c r="B90" i="86"/>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B90" i="85"/>
  <c r="S93" i="85"/>
  <c r="X90" i="85"/>
  <c r="Y93" i="85" s="1"/>
  <c r="X69" i="84"/>
  <c r="I28" i="84"/>
  <c r="G33" i="84" s="1"/>
  <c r="E56" i="84" s="1"/>
  <c r="J12" i="84"/>
  <c r="J28"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E59" i="82"/>
  <c r="I60" i="82" s="1"/>
  <c r="I72" i="82" s="1"/>
  <c r="J72" i="82" s="1"/>
  <c r="E65" i="82"/>
  <c r="I66" i="82" s="1"/>
  <c r="I71" i="82" s="1"/>
  <c r="J71" i="82" s="1"/>
  <c r="E62" i="82"/>
  <c r="I63" i="82" s="1"/>
  <c r="I68" i="82" s="1"/>
  <c r="J68" i="82" s="1"/>
  <c r="E53" i="82"/>
  <c r="I54" i="82" s="1"/>
  <c r="J12" i="82"/>
  <c r="J28"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I28" i="81"/>
  <c r="G33" i="81" s="1"/>
  <c r="E56" i="81" s="1"/>
  <c r="I57" i="81" s="1"/>
  <c r="X90" i="81"/>
  <c r="Y93" i="81" s="1"/>
  <c r="S93" i="81"/>
  <c r="J12" i="80"/>
  <c r="J28"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I28" i="75"/>
  <c r="G33" i="75" s="1"/>
  <c r="E56" i="75" s="1"/>
  <c r="B90" i="75"/>
  <c r="E59" i="74"/>
  <c r="I60" i="74" s="1"/>
  <c r="I72" i="74" s="1"/>
  <c r="J72" i="74" s="1"/>
  <c r="E62" i="74"/>
  <c r="I63" i="74" s="1"/>
  <c r="I68" i="74" s="1"/>
  <c r="J68" i="74" s="1"/>
  <c r="E65" i="74"/>
  <c r="I66" i="74" s="1"/>
  <c r="I71" i="74" s="1"/>
  <c r="J71" i="74" s="1"/>
  <c r="E53" i="74"/>
  <c r="I54" i="74" s="1"/>
  <c r="J12" i="74"/>
  <c r="J28"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B90" i="73"/>
  <c r="E59" i="72"/>
  <c r="I60" i="72" s="1"/>
  <c r="I72" i="72" s="1"/>
  <c r="J72" i="72" s="1"/>
  <c r="E53" i="72"/>
  <c r="I54" i="72" s="1"/>
  <c r="E62" i="72"/>
  <c r="I63" i="72" s="1"/>
  <c r="I68" i="72" s="1"/>
  <c r="J68" i="72" s="1"/>
  <c r="E65" i="72"/>
  <c r="I66" i="72" s="1"/>
  <c r="I71" i="72" s="1"/>
  <c r="J71" i="72" s="1"/>
  <c r="Y105" i="72"/>
  <c r="J12" i="72"/>
  <c r="J28"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B90" i="71"/>
  <c r="J12" i="71"/>
  <c r="J28" i="71" s="1"/>
  <c r="Y105" i="71"/>
  <c r="J12" i="70"/>
  <c r="J28"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B90" i="61"/>
  <c r="E59" i="61"/>
  <c r="I60" i="61" s="1"/>
  <c r="I72" i="61" s="1"/>
  <c r="J72" i="61" s="1"/>
  <c r="E65" i="61"/>
  <c r="I66" i="61" s="1"/>
  <c r="I71" i="61" s="1"/>
  <c r="J71" i="61" s="1"/>
  <c r="E53" i="61"/>
  <c r="I54" i="61" s="1"/>
  <c r="E62" i="61"/>
  <c r="I63" i="61" s="1"/>
  <c r="I68" i="61" s="1"/>
  <c r="J68" i="61" s="1"/>
  <c r="X87" i="60"/>
  <c r="Y87" i="60" s="1"/>
  <c r="E59" i="60"/>
  <c r="E53" i="60"/>
  <c r="E62" i="60"/>
  <c r="E65" i="60"/>
  <c r="B90" i="60"/>
  <c r="J12" i="60"/>
  <c r="J28" i="60" s="1"/>
  <c r="I28" i="60"/>
  <c r="G33" i="60" s="1"/>
  <c r="E56" i="60" s="1"/>
  <c r="X90" i="60"/>
  <c r="Y93" i="60" s="1"/>
  <c r="S93" i="60"/>
  <c r="S91" i="59"/>
  <c r="X91" i="59" s="1"/>
  <c r="S92" i="59"/>
  <c r="X92" i="59" s="1"/>
  <c r="Y16" i="59"/>
  <c r="J16" i="59"/>
  <c r="B92" i="59"/>
  <c r="I92" i="59" s="1"/>
  <c r="J13" i="59"/>
  <c r="I28" i="59"/>
  <c r="B90" i="59"/>
  <c r="I72" i="59"/>
  <c r="J72" i="59" s="1"/>
  <c r="I71" i="59"/>
  <c r="J71" i="59" s="1"/>
  <c r="I68" i="59"/>
  <c r="J68" i="59" s="1"/>
  <c r="T28" i="59"/>
  <c r="Y12" i="59"/>
  <c r="X28" i="59"/>
  <c r="S90" i="59"/>
  <c r="Y38" i="94" l="1"/>
  <c r="Y38" i="73"/>
  <c r="Y38" i="97"/>
  <c r="G33" i="59"/>
  <c r="E56" i="59"/>
  <c r="I57" i="59" s="1"/>
  <c r="I86" i="59" s="1"/>
  <c r="J86" i="59" s="1"/>
  <c r="Y38" i="74"/>
  <c r="Y38" i="86"/>
  <c r="Y109" i="86" s="1"/>
  <c r="J111" i="86" s="1"/>
  <c r="Y38" i="81"/>
  <c r="J33" i="72"/>
  <c r="J37" i="72"/>
  <c r="J36" i="72"/>
  <c r="J33" i="75"/>
  <c r="J36" i="75"/>
  <c r="J37" i="75"/>
  <c r="J33" i="96"/>
  <c r="J37" i="96"/>
  <c r="J36" i="96"/>
  <c r="Y38" i="84"/>
  <c r="Y38" i="70"/>
  <c r="J33" i="92"/>
  <c r="J37" i="92"/>
  <c r="J36" i="92"/>
  <c r="J38" i="92" s="1"/>
  <c r="J33" i="71"/>
  <c r="G37" i="71"/>
  <c r="J37" i="71" s="1"/>
  <c r="G36" i="71"/>
  <c r="J36" i="71" s="1"/>
  <c r="J33" i="93"/>
  <c r="J37" i="93"/>
  <c r="J36" i="93"/>
  <c r="J38" i="93" s="1"/>
  <c r="J33" i="95"/>
  <c r="J37" i="95"/>
  <c r="J36" i="95"/>
  <c r="J33" i="91"/>
  <c r="G37" i="91"/>
  <c r="J37" i="91" s="1"/>
  <c r="G36" i="91"/>
  <c r="J36" i="91" s="1"/>
  <c r="J33" i="105"/>
  <c r="J37" i="105"/>
  <c r="J36" i="105"/>
  <c r="J33" i="88"/>
  <c r="G36" i="88"/>
  <c r="J36" i="88" s="1"/>
  <c r="G37" i="88"/>
  <c r="J37" i="88" s="1"/>
  <c r="J33" i="97"/>
  <c r="G36" i="97"/>
  <c r="J36" i="97" s="1"/>
  <c r="G37" i="97"/>
  <c r="J37" i="97" s="1"/>
  <c r="J33" i="104"/>
  <c r="J37" i="104"/>
  <c r="J36" i="104"/>
  <c r="J38" i="104" s="1"/>
  <c r="J33" i="84"/>
  <c r="G37" i="84"/>
  <c r="J37" i="84" s="1"/>
  <c r="G36" i="84"/>
  <c r="J36" i="84" s="1"/>
  <c r="J33" i="103"/>
  <c r="J37" i="103"/>
  <c r="J36" i="103"/>
  <c r="J33" i="74"/>
  <c r="J36" i="74"/>
  <c r="J37" i="74"/>
  <c r="Y38" i="93"/>
  <c r="J33" i="61"/>
  <c r="J37" i="61"/>
  <c r="Y37" i="61" s="1"/>
  <c r="J36" i="61"/>
  <c r="J33" i="80"/>
  <c r="J37" i="80"/>
  <c r="J36" i="80"/>
  <c r="J38" i="80" s="1"/>
  <c r="J33" i="98"/>
  <c r="J36" i="98"/>
  <c r="J37" i="98"/>
  <c r="J33" i="66"/>
  <c r="J36" i="66"/>
  <c r="J37" i="66"/>
  <c r="Y37" i="66" s="1"/>
  <c r="Y38" i="98"/>
  <c r="Y38" i="104"/>
  <c r="Y38" i="71"/>
  <c r="J33" i="100"/>
  <c r="J36" i="100"/>
  <c r="J37" i="100"/>
  <c r="J33" i="60"/>
  <c r="J37" i="60"/>
  <c r="J36" i="60"/>
  <c r="J33" i="65"/>
  <c r="J36" i="65"/>
  <c r="J37" i="65"/>
  <c r="J33" i="73"/>
  <c r="J37" i="73"/>
  <c r="J36" i="73"/>
  <c r="J33" i="78"/>
  <c r="J37" i="78"/>
  <c r="J36" i="78"/>
  <c r="J38" i="78" s="1"/>
  <c r="J33" i="87"/>
  <c r="J36" i="87"/>
  <c r="J37" i="87"/>
  <c r="J33" i="94"/>
  <c r="J37" i="94"/>
  <c r="J36" i="94"/>
  <c r="J38" i="94" s="1"/>
  <c r="J33" i="99"/>
  <c r="J36" i="99"/>
  <c r="J37" i="99"/>
  <c r="J33" i="76"/>
  <c r="J36" i="76"/>
  <c r="J37" i="76"/>
  <c r="Y37" i="76" s="1"/>
  <c r="J33" i="90"/>
  <c r="J37" i="90"/>
  <c r="J36" i="90"/>
  <c r="J33" i="70"/>
  <c r="J37" i="70"/>
  <c r="J36" i="70"/>
  <c r="J33" i="79"/>
  <c r="J37" i="79"/>
  <c r="J36" i="79"/>
  <c r="J33" i="81"/>
  <c r="J37" i="81"/>
  <c r="J36" i="81"/>
  <c r="J38" i="81" s="1"/>
  <c r="J33" i="82"/>
  <c r="J37" i="82"/>
  <c r="J36" i="82"/>
  <c r="J33" i="85"/>
  <c r="J36" i="85"/>
  <c r="J37" i="85"/>
  <c r="J33" i="86"/>
  <c r="J36" i="86"/>
  <c r="J37" i="86"/>
  <c r="J33" i="89"/>
  <c r="J37" i="89"/>
  <c r="J36" i="89"/>
  <c r="J38" i="89" s="1"/>
  <c r="Y38" i="90"/>
  <c r="Y38" i="91"/>
  <c r="Y38" i="103"/>
  <c r="Y38" i="65"/>
  <c r="Y38" i="87"/>
  <c r="Y38" i="60"/>
  <c r="Y38" i="89"/>
  <c r="Y38" i="105"/>
  <c r="Y38" i="99"/>
  <c r="Y38" i="80"/>
  <c r="Y38" i="83"/>
  <c r="Y38" i="92"/>
  <c r="Y38" i="82"/>
  <c r="Y38" i="88"/>
  <c r="Y38" i="95"/>
  <c r="Y38" i="72"/>
  <c r="Y33" i="66"/>
  <c r="V37" i="66"/>
  <c r="V36" i="66"/>
  <c r="Y38" i="100"/>
  <c r="Y38" i="85"/>
  <c r="Y38" i="75"/>
  <c r="Y38" i="78"/>
  <c r="Y38" i="79"/>
  <c r="Y109" i="79" s="1"/>
  <c r="J111" i="79" s="1"/>
  <c r="Y38" i="96"/>
  <c r="I63" i="60"/>
  <c r="I68" i="60" s="1"/>
  <c r="J68" i="60" s="1"/>
  <c r="I66" i="60"/>
  <c r="I71" i="60" s="1"/>
  <c r="J71" i="60" s="1"/>
  <c r="I54" i="60"/>
  <c r="I70" i="60" s="1"/>
  <c r="I60" i="60"/>
  <c r="I72" i="60" s="1"/>
  <c r="J72" i="60" s="1"/>
  <c r="V33" i="66"/>
  <c r="T55" i="66"/>
  <c r="X56" i="86"/>
  <c r="I86" i="83"/>
  <c r="J86" i="83" s="1"/>
  <c r="I57" i="71"/>
  <c r="I85" i="71" s="1"/>
  <c r="J85" i="71" s="1"/>
  <c r="T55" i="71"/>
  <c r="X56" i="71" s="1"/>
  <c r="I57" i="84"/>
  <c r="I86" i="84" s="1"/>
  <c r="J86" i="84" s="1"/>
  <c r="T55" i="84"/>
  <c r="X56" i="84" s="1"/>
  <c r="V33" i="59"/>
  <c r="T55" i="59"/>
  <c r="X56" i="59" s="1"/>
  <c r="I57" i="105"/>
  <c r="I86" i="105" s="1"/>
  <c r="J86" i="105" s="1"/>
  <c r="X56" i="105"/>
  <c r="I57" i="104"/>
  <c r="I86" i="104" s="1"/>
  <c r="J86" i="104" s="1"/>
  <c r="X56" i="104"/>
  <c r="I57" i="103"/>
  <c r="I85" i="103" s="1"/>
  <c r="J85" i="103" s="1"/>
  <c r="X56" i="103"/>
  <c r="I57" i="102"/>
  <c r="I86" i="102" s="1"/>
  <c r="J86" i="102" s="1"/>
  <c r="I57" i="99"/>
  <c r="I86" i="99" s="1"/>
  <c r="J86" i="99" s="1"/>
  <c r="X56" i="99"/>
  <c r="I57" i="98"/>
  <c r="I86" i="98" s="1"/>
  <c r="J86" i="98" s="1"/>
  <c r="X56" i="98"/>
  <c r="I57" i="96"/>
  <c r="I86" i="96" s="1"/>
  <c r="J86" i="96" s="1"/>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I86" i="79" s="1"/>
  <c r="J86" i="79" s="1"/>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I57" i="60"/>
  <c r="I86" i="60" s="1"/>
  <c r="J86" i="60" s="1"/>
  <c r="T55" i="60"/>
  <c r="X56" i="60" s="1"/>
  <c r="I57" i="97"/>
  <c r="I86" i="97" s="1"/>
  <c r="J86" i="97" s="1"/>
  <c r="T55" i="97"/>
  <c r="X56" i="97" s="1"/>
  <c r="J28" i="101"/>
  <c r="J28" i="59"/>
  <c r="S93" i="66"/>
  <c r="B93" i="66"/>
  <c r="T61" i="101"/>
  <c r="X62" i="101" s="1"/>
  <c r="X67" i="101" s="1"/>
  <c r="Y67" i="101" s="1"/>
  <c r="T58" i="101"/>
  <c r="X59" i="101" s="1"/>
  <c r="X71" i="101" s="1"/>
  <c r="Y71" i="101" s="1"/>
  <c r="T64" i="101"/>
  <c r="X65" i="101" s="1"/>
  <c r="X70" i="101" s="1"/>
  <c r="Y70" i="101" s="1"/>
  <c r="Y13" i="101"/>
  <c r="Y28" i="101" s="1"/>
  <c r="S90" i="101"/>
  <c r="X28" i="101"/>
  <c r="V33" i="101" s="1"/>
  <c r="Y13" i="76"/>
  <c r="Y28" i="76" s="1"/>
  <c r="S90" i="76"/>
  <c r="X28" i="76"/>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S90" i="61"/>
  <c r="X28" i="61"/>
  <c r="Y28" i="59"/>
  <c r="I87" i="105"/>
  <c r="J87" i="105" s="1"/>
  <c r="I70" i="105"/>
  <c r="B93" i="105"/>
  <c r="I90" i="105"/>
  <c r="J93" i="105" s="1"/>
  <c r="B93" i="104"/>
  <c r="I90" i="104"/>
  <c r="J93" i="104" s="1"/>
  <c r="I70" i="104"/>
  <c r="I87" i="104"/>
  <c r="J87" i="104" s="1"/>
  <c r="I70" i="103"/>
  <c r="I87" i="103"/>
  <c r="J87" i="103" s="1"/>
  <c r="B93" i="103"/>
  <c r="I90" i="103"/>
  <c r="J93" i="103" s="1"/>
  <c r="J28" i="102"/>
  <c r="I70" i="102"/>
  <c r="I87" i="102"/>
  <c r="J87" i="102" s="1"/>
  <c r="Y12" i="102"/>
  <c r="Y28" i="102" s="1"/>
  <c r="X28" i="102"/>
  <c r="S90" i="102"/>
  <c r="B93" i="102"/>
  <c r="I90" i="102"/>
  <c r="J93" i="102" s="1"/>
  <c r="T52" i="102"/>
  <c r="X53" i="102" s="1"/>
  <c r="T64" i="102"/>
  <c r="X65" i="102" s="1"/>
  <c r="X70" i="102" s="1"/>
  <c r="Y70" i="102" s="1"/>
  <c r="T58" i="102"/>
  <c r="X59" i="102" s="1"/>
  <c r="X71" i="102" s="1"/>
  <c r="Y71" i="102" s="1"/>
  <c r="T61" i="102"/>
  <c r="X62" i="102" s="1"/>
  <c r="X67" i="102" s="1"/>
  <c r="Y67"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I87" i="98"/>
  <c r="J87" i="98" s="1"/>
  <c r="B93" i="98"/>
  <c r="I90" i="98"/>
  <c r="J93" i="98" s="1"/>
  <c r="I70" i="97"/>
  <c r="I87" i="97"/>
  <c r="J87" i="97" s="1"/>
  <c r="B93" i="97"/>
  <c r="I90" i="97"/>
  <c r="J93" i="97" s="1"/>
  <c r="I70" i="96"/>
  <c r="I87" i="96"/>
  <c r="J87" i="96" s="1"/>
  <c r="B93" i="96"/>
  <c r="I90" i="96"/>
  <c r="J93" i="96"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I87" i="84"/>
  <c r="J87" i="84" s="1"/>
  <c r="I70" i="83"/>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B93" i="79"/>
  <c r="I90" i="79"/>
  <c r="J93" i="79" s="1"/>
  <c r="I70" i="79"/>
  <c r="I87" i="79"/>
  <c r="J87" i="79" s="1"/>
  <c r="B93" i="78"/>
  <c r="I90" i="78"/>
  <c r="J93" i="78" s="1"/>
  <c r="I70" i="78"/>
  <c r="I87" i="78"/>
  <c r="J87" i="78" s="1"/>
  <c r="I70" i="77"/>
  <c r="I87" i="77"/>
  <c r="J87" i="77" s="1"/>
  <c r="X28" i="77"/>
  <c r="Y12" i="77"/>
  <c r="Y28" i="77" s="1"/>
  <c r="S90" i="77"/>
  <c r="B93" i="77"/>
  <c r="I90" i="77"/>
  <c r="J93" i="77" s="1"/>
  <c r="T58" i="77"/>
  <c r="X59" i="77" s="1"/>
  <c r="X71" i="77" s="1"/>
  <c r="Y71" i="77" s="1"/>
  <c r="T64" i="77"/>
  <c r="X65" i="77" s="1"/>
  <c r="X70" i="77" s="1"/>
  <c r="Y70" i="77" s="1"/>
  <c r="X53" i="77"/>
  <c r="T61" i="77"/>
  <c r="X62" i="77" s="1"/>
  <c r="X67" i="77" s="1"/>
  <c r="Y67" i="77" s="1"/>
  <c r="J28" i="77"/>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X28" i="69"/>
  <c r="S90" i="69"/>
  <c r="J28" i="69"/>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X28" i="68"/>
  <c r="S90" i="68"/>
  <c r="J28" i="68"/>
  <c r="T64" i="67"/>
  <c r="X65" i="67" s="1"/>
  <c r="X70" i="67" s="1"/>
  <c r="Y70" i="67" s="1"/>
  <c r="T52" i="67"/>
  <c r="X53" i="67" s="1"/>
  <c r="T58" i="67"/>
  <c r="X59" i="67" s="1"/>
  <c r="X71" i="67" s="1"/>
  <c r="Y71" i="67" s="1"/>
  <c r="T61" i="67"/>
  <c r="X62" i="67" s="1"/>
  <c r="X67" i="67" s="1"/>
  <c r="Y67" i="67" s="1"/>
  <c r="S90" i="67"/>
  <c r="Y12" i="67"/>
  <c r="Y28" i="67" s="1"/>
  <c r="X28" i="67"/>
  <c r="I70" i="67"/>
  <c r="I87" i="67"/>
  <c r="J87" i="67" s="1"/>
  <c r="J28" i="67"/>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I70" i="64"/>
  <c r="I87" i="64"/>
  <c r="J87" i="64" s="1"/>
  <c r="B93" i="64"/>
  <c r="I90" i="64"/>
  <c r="J93" i="64" s="1"/>
  <c r="X28" i="64"/>
  <c r="S90" i="64"/>
  <c r="Y12" i="64"/>
  <c r="Y28" i="64" s="1"/>
  <c r="J28" i="63"/>
  <c r="I70" i="63"/>
  <c r="I87" i="63"/>
  <c r="J87" i="63" s="1"/>
  <c r="I86" i="63"/>
  <c r="J86" i="63" s="1"/>
  <c r="I85" i="63"/>
  <c r="J85" i="63" s="1"/>
  <c r="Y12" i="63"/>
  <c r="Y28" i="63" s="1"/>
  <c r="X28" i="63"/>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Y12" i="62"/>
  <c r="Y28" i="62" s="1"/>
  <c r="X28" i="62"/>
  <c r="S90" i="62"/>
  <c r="I86" i="62"/>
  <c r="J86" i="62" s="1"/>
  <c r="I85" i="62"/>
  <c r="J85" i="62" s="1"/>
  <c r="I70" i="62"/>
  <c r="I87" i="62"/>
  <c r="J87" i="62" s="1"/>
  <c r="I70" i="61"/>
  <c r="I87" i="61"/>
  <c r="J87" i="61" s="1"/>
  <c r="I86" i="61"/>
  <c r="J86" i="61" s="1"/>
  <c r="I85" i="61"/>
  <c r="J85" i="61" s="1"/>
  <c r="B93" i="61"/>
  <c r="I90" i="61"/>
  <c r="J93" i="61" s="1"/>
  <c r="B93" i="60"/>
  <c r="I90" i="60"/>
  <c r="J93"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J38" i="71" l="1"/>
  <c r="J38" i="91"/>
  <c r="J38" i="82"/>
  <c r="J38" i="90"/>
  <c r="J38" i="60"/>
  <c r="J38" i="96"/>
  <c r="J38" i="79"/>
  <c r="J38" i="73"/>
  <c r="J38" i="72"/>
  <c r="J38" i="70"/>
  <c r="J38" i="95"/>
  <c r="J33" i="59"/>
  <c r="J37" i="59"/>
  <c r="J36" i="59"/>
  <c r="J38" i="59" s="1"/>
  <c r="J38" i="74"/>
  <c r="J38" i="97"/>
  <c r="J33" i="69"/>
  <c r="J37" i="69"/>
  <c r="J36" i="69"/>
  <c r="J38" i="69" s="1"/>
  <c r="J38" i="85"/>
  <c r="J33" i="101"/>
  <c r="J36" i="101"/>
  <c r="J37" i="101"/>
  <c r="Y37" i="101" s="1"/>
  <c r="J38" i="66"/>
  <c r="Y36" i="66"/>
  <c r="Y38" i="66" s="1"/>
  <c r="J33" i="62"/>
  <c r="J37" i="62"/>
  <c r="Y37" i="62" s="1"/>
  <c r="J36" i="62"/>
  <c r="J38" i="87"/>
  <c r="J38" i="98"/>
  <c r="J38" i="103"/>
  <c r="J33" i="77"/>
  <c r="J36" i="77"/>
  <c r="J37" i="77"/>
  <c r="J38" i="88"/>
  <c r="J38" i="65"/>
  <c r="J38" i="76"/>
  <c r="Y36" i="76"/>
  <c r="Y38" i="76" s="1"/>
  <c r="J38" i="100"/>
  <c r="J38" i="84"/>
  <c r="J38" i="105"/>
  <c r="J38" i="75"/>
  <c r="J33" i="102"/>
  <c r="J37" i="102"/>
  <c r="J36" i="102"/>
  <c r="J38" i="102" s="1"/>
  <c r="J33" i="63"/>
  <c r="J36" i="63"/>
  <c r="J37" i="63"/>
  <c r="Y37" i="63" s="1"/>
  <c r="J33" i="64"/>
  <c r="J36" i="64"/>
  <c r="J37" i="64"/>
  <c r="J33" i="68"/>
  <c r="J37" i="68"/>
  <c r="Y37" i="68" s="1"/>
  <c r="J36" i="68"/>
  <c r="J38" i="61"/>
  <c r="Y36" i="61"/>
  <c r="Y38" i="61" s="1"/>
  <c r="J38" i="86"/>
  <c r="J38" i="99"/>
  <c r="J33" i="67"/>
  <c r="J37" i="67"/>
  <c r="Y37" i="67" s="1"/>
  <c r="J36" i="67"/>
  <c r="Y33" i="64"/>
  <c r="V36" i="64"/>
  <c r="Y36" i="64" s="1"/>
  <c r="V37" i="64"/>
  <c r="Y37" i="64" s="1"/>
  <c r="Y33" i="77"/>
  <c r="V36" i="77"/>
  <c r="Y36" i="77" s="1"/>
  <c r="V37" i="77"/>
  <c r="Y37" i="77" s="1"/>
  <c r="Y33" i="62"/>
  <c r="V37" i="62"/>
  <c r="V36" i="62"/>
  <c r="Y33" i="67"/>
  <c r="V37" i="67"/>
  <c r="V36" i="67"/>
  <c r="Y33" i="76"/>
  <c r="V36" i="76"/>
  <c r="V37" i="76"/>
  <c r="Y33" i="101"/>
  <c r="V36" i="101"/>
  <c r="V37" i="101"/>
  <c r="Y33" i="68"/>
  <c r="V37" i="68"/>
  <c r="V36" i="68"/>
  <c r="Y33" i="59"/>
  <c r="V37" i="59"/>
  <c r="Y37" i="59" s="1"/>
  <c r="V36" i="59"/>
  <c r="Y36" i="59" s="1"/>
  <c r="Y33" i="61"/>
  <c r="V36" i="61"/>
  <c r="V37" i="61"/>
  <c r="Y33" i="69"/>
  <c r="V36" i="69"/>
  <c r="Y36" i="69" s="1"/>
  <c r="V37" i="69"/>
  <c r="Y37" i="69" s="1"/>
  <c r="Y33" i="102"/>
  <c r="V36" i="102"/>
  <c r="Y36" i="102" s="1"/>
  <c r="V37" i="102"/>
  <c r="Y37" i="102" s="1"/>
  <c r="Y33" i="63"/>
  <c r="V37" i="63"/>
  <c r="V36" i="63"/>
  <c r="I86" i="71"/>
  <c r="J86" i="71" s="1"/>
  <c r="I87" i="60"/>
  <c r="J87" i="60" s="1"/>
  <c r="I85" i="96"/>
  <c r="J85" i="96" s="1"/>
  <c r="I85" i="105"/>
  <c r="J85" i="105" s="1"/>
  <c r="I85" i="102"/>
  <c r="J85" i="102" s="1"/>
  <c r="V33" i="62"/>
  <c r="T55" i="62"/>
  <c r="V33" i="67"/>
  <c r="T55" i="67"/>
  <c r="V33" i="68"/>
  <c r="T55" i="68"/>
  <c r="V33" i="69"/>
  <c r="T55" i="69"/>
  <c r="X56" i="69" s="1"/>
  <c r="X85" i="69" s="1"/>
  <c r="Y85" i="69" s="1"/>
  <c r="V33" i="61"/>
  <c r="T55" i="61"/>
  <c r="V33" i="64"/>
  <c r="T55" i="64"/>
  <c r="X85" i="86"/>
  <c r="Y85" i="86" s="1"/>
  <c r="X86" i="86"/>
  <c r="Y86" i="86" s="1"/>
  <c r="V33" i="102"/>
  <c r="T55" i="102"/>
  <c r="V33" i="77"/>
  <c r="T55" i="77"/>
  <c r="X56" i="77" s="1"/>
  <c r="X86" i="77" s="1"/>
  <c r="Y86" i="77" s="1"/>
  <c r="I85" i="84"/>
  <c r="J85" i="84" s="1"/>
  <c r="V33" i="76"/>
  <c r="T55" i="76"/>
  <c r="V33" i="63"/>
  <c r="T55" i="63"/>
  <c r="X56" i="66"/>
  <c r="I86" i="103"/>
  <c r="J86" i="103" s="1"/>
  <c r="I85" i="95"/>
  <c r="J85" i="95" s="1"/>
  <c r="I85" i="104"/>
  <c r="J85" i="104" s="1"/>
  <c r="I85" i="79"/>
  <c r="J85" i="79" s="1"/>
  <c r="X85" i="84"/>
  <c r="Y85" i="84" s="1"/>
  <c r="X86" i="84"/>
  <c r="Y86" i="84" s="1"/>
  <c r="X85" i="71"/>
  <c r="Y85" i="71" s="1"/>
  <c r="X86" i="71"/>
  <c r="Y86" i="71"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X87" i="101"/>
  <c r="Y87" i="101" s="1"/>
  <c r="X69" i="101"/>
  <c r="S93" i="101"/>
  <c r="X90" i="101"/>
  <c r="Y93" i="101" s="1"/>
  <c r="X87" i="76"/>
  <c r="Y87" i="76" s="1"/>
  <c r="X69" i="76"/>
  <c r="X90" i="76"/>
  <c r="Y93" i="76" s="1"/>
  <c r="S93" i="76"/>
  <c r="I86" i="66"/>
  <c r="J86" i="66" s="1"/>
  <c r="I85" i="66"/>
  <c r="J85" i="66" s="1"/>
  <c r="X69" i="66"/>
  <c r="X87" i="66"/>
  <c r="Y87" i="66" s="1"/>
  <c r="X87" i="61"/>
  <c r="Y87" i="61" s="1"/>
  <c r="X69" i="61"/>
  <c r="X90" i="61"/>
  <c r="Y93" i="61" s="1"/>
  <c r="S93" i="61"/>
  <c r="X90" i="102"/>
  <c r="Y93" i="102" s="1"/>
  <c r="S93" i="102"/>
  <c r="X87" i="102"/>
  <c r="Y87" i="102" s="1"/>
  <c r="X69" i="102"/>
  <c r="S93" i="77"/>
  <c r="X90" i="77"/>
  <c r="Y93" i="77" s="1"/>
  <c r="X87" i="77"/>
  <c r="Y87" i="77" s="1"/>
  <c r="X69" i="77"/>
  <c r="X90" i="69"/>
  <c r="Y93" i="69" s="1"/>
  <c r="S93" i="69"/>
  <c r="X87" i="69"/>
  <c r="Y87" i="69" s="1"/>
  <c r="X69" i="69"/>
  <c r="X90" i="68"/>
  <c r="Y93" i="68" s="1"/>
  <c r="S93" i="68"/>
  <c r="X69" i="68"/>
  <c r="X87" i="68"/>
  <c r="Y87" i="68" s="1"/>
  <c r="X90" i="67"/>
  <c r="Y93" i="67" s="1"/>
  <c r="S93" i="67"/>
  <c r="X87" i="67"/>
  <c r="Y87" i="67" s="1"/>
  <c r="X69" i="67"/>
  <c r="X90" i="64"/>
  <c r="Y93" i="64" s="1"/>
  <c r="S93" i="64"/>
  <c r="X87" i="64"/>
  <c r="Y87" i="64" s="1"/>
  <c r="X69" i="64"/>
  <c r="X69" i="63"/>
  <c r="X87" i="63"/>
  <c r="Y87" i="63" s="1"/>
  <c r="S93" i="63"/>
  <c r="X90" i="63"/>
  <c r="Y93" i="63" s="1"/>
  <c r="X90" i="62"/>
  <c r="Y93" i="62" s="1"/>
  <c r="S93" i="62"/>
  <c r="X87" i="62"/>
  <c r="Y87" i="62" s="1"/>
  <c r="X69" i="62"/>
  <c r="X87" i="59"/>
  <c r="Y87" i="59" s="1"/>
  <c r="X69" i="59"/>
  <c r="Y38" i="59" l="1"/>
  <c r="Y36" i="63"/>
  <c r="Y38" i="63" s="1"/>
  <c r="J38" i="63"/>
  <c r="Y38" i="102"/>
  <c r="J38" i="77"/>
  <c r="J38" i="68"/>
  <c r="Y36" i="68"/>
  <c r="Y38" i="68" s="1"/>
  <c r="Y36" i="62"/>
  <c r="Y38" i="62" s="1"/>
  <c r="J38" i="62"/>
  <c r="Y36" i="101"/>
  <c r="Y38" i="101" s="1"/>
  <c r="J38" i="101"/>
  <c r="J38" i="64"/>
  <c r="J38" i="67"/>
  <c r="Y36" i="67"/>
  <c r="Y38" i="67" s="1"/>
  <c r="Y38" i="69"/>
  <c r="Y38" i="77"/>
  <c r="Y38" i="64"/>
  <c r="X56" i="62"/>
  <c r="X56" i="63"/>
  <c r="X56" i="102"/>
  <c r="X56" i="76"/>
  <c r="X56" i="64"/>
  <c r="X56" i="68"/>
  <c r="X56" i="61"/>
  <c r="X56" i="67"/>
  <c r="X86" i="66"/>
  <c r="Y86" i="66" s="1"/>
  <c r="X85" i="66"/>
  <c r="Y85" i="66" s="1"/>
  <c r="X85" i="77"/>
  <c r="Y85" i="77" s="1"/>
  <c r="X86" i="101"/>
  <c r="Y86" i="101" s="1"/>
  <c r="X86" i="69"/>
  <c r="Y86" i="69" s="1"/>
  <c r="J114" i="97"/>
  <c r="X86" i="62" l="1"/>
  <c r="Y86" i="62" s="1"/>
  <c r="X85" i="62"/>
  <c r="Y85" i="62" s="1"/>
  <c r="X85" i="61"/>
  <c r="Y85" i="61" s="1"/>
  <c r="X86" i="61"/>
  <c r="Y86" i="61" s="1"/>
  <c r="X85" i="102"/>
  <c r="Y85" i="102" s="1"/>
  <c r="X86" i="102"/>
  <c r="Y86" i="102" s="1"/>
  <c r="X86" i="67"/>
  <c r="Y86" i="67" s="1"/>
  <c r="X85" i="67"/>
  <c r="Y85" i="67" s="1"/>
  <c r="X86" i="68"/>
  <c r="Y86" i="68" s="1"/>
  <c r="X85" i="68"/>
  <c r="Y85" i="68" s="1"/>
  <c r="X85" i="64"/>
  <c r="Y85" i="64" s="1"/>
  <c r="X86" i="64"/>
  <c r="Y86" i="64" s="1"/>
  <c r="X85" i="76"/>
  <c r="Y85" i="76" s="1"/>
  <c r="X86" i="76"/>
  <c r="Y86" i="76" s="1"/>
  <c r="X86" i="63"/>
  <c r="Y86" i="63" s="1"/>
  <c r="X85" i="63"/>
  <c r="Y85" i="63" s="1"/>
  <c r="J114" i="84"/>
  <c r="J114" i="71"/>
  <c r="I45" i="56" l="1"/>
  <c r="I47" i="56" s="1"/>
  <c r="E45" i="56"/>
  <c r="T6" i="2" l="1"/>
  <c r="R2" i="2"/>
  <c r="T91" i="2"/>
  <c r="T90" i="2"/>
  <c r="Y80" i="2"/>
  <c r="T92" i="2"/>
  <c r="V90" i="2" l="1"/>
  <c r="V67" i="2"/>
  <c r="Y104" i="2"/>
  <c r="V103" i="2"/>
  <c r="Y103" i="2" s="1"/>
  <c r="X83" i="2"/>
  <c r="Y102" i="2" l="1"/>
  <c r="Y105" i="2" s="1"/>
  <c r="E98" i="2" l="1"/>
  <c r="E128" i="56" s="1"/>
  <c r="D50" i="2"/>
  <c r="E46" i="2" s="1"/>
  <c r="E64" i="56" s="1"/>
  <c r="C50" i="2"/>
  <c r="E49" i="2" l="1"/>
  <c r="E67" i="56" s="1"/>
  <c r="E48" i="2"/>
  <c r="E66" i="56" s="1"/>
  <c r="E47" i="2"/>
  <c r="E65" i="56" s="1"/>
  <c r="E41" i="2"/>
  <c r="E59" i="56" s="1"/>
  <c r="E42" i="2"/>
  <c r="E60" i="56" s="1"/>
  <c r="E43" i="2"/>
  <c r="E61" i="56" s="1"/>
  <c r="E44" i="2"/>
  <c r="E62" i="56" s="1"/>
  <c r="E45" i="2"/>
  <c r="E63" i="56" s="1"/>
  <c r="T24" i="2" l="1"/>
  <c r="X24" i="2" s="1"/>
  <c r="T23" i="2"/>
  <c r="X23" i="2" s="1"/>
  <c r="T21" i="2"/>
  <c r="X21" i="2" s="1"/>
  <c r="T16" i="2"/>
  <c r="X16" i="2" s="1"/>
  <c r="T15" i="2"/>
  <c r="X15" i="2" s="1"/>
  <c r="E68" i="56"/>
  <c r="T22" i="2"/>
  <c r="X22" i="2" s="1"/>
  <c r="T20" i="2"/>
  <c r="X20" i="2" s="1"/>
  <c r="T19" i="2"/>
  <c r="X19" i="2" s="1"/>
  <c r="T18" i="2"/>
  <c r="X18" i="2" s="1"/>
  <c r="T17" i="2"/>
  <c r="X17" i="2" s="1"/>
  <c r="T13" i="2"/>
  <c r="X13" i="2" s="1"/>
  <c r="T12" i="2"/>
  <c r="X12" i="2" s="1"/>
  <c r="T26" i="2"/>
  <c r="X26" i="2" s="1"/>
  <c r="T14" i="2"/>
  <c r="X14" i="2" s="1"/>
  <c r="T25" i="2"/>
  <c r="X25" i="2" s="1"/>
  <c r="T27" i="2"/>
  <c r="X27" i="2" s="1"/>
  <c r="S92" i="2" l="1"/>
  <c r="S91" i="2"/>
  <c r="S90" i="2"/>
  <c r="X90" i="2" s="1"/>
  <c r="T28" i="2"/>
  <c r="T64" i="2" s="1"/>
  <c r="X28" i="2"/>
  <c r="V33" i="2" s="1"/>
  <c r="J104" i="2"/>
  <c r="G103" i="2"/>
  <c r="J81" i="2"/>
  <c r="I84" i="2" s="1"/>
  <c r="E50" i="2"/>
  <c r="P6" i="54" s="1"/>
  <c r="P59" i="54" s="1"/>
  <c r="T61" i="2" l="1"/>
  <c r="T52" i="2"/>
  <c r="T58" i="2"/>
  <c r="V85" i="2"/>
  <c r="V92" i="2"/>
  <c r="X92" i="2" s="1"/>
  <c r="X52" i="2"/>
  <c r="X58" i="2"/>
  <c r="V91" i="2"/>
  <c r="X91" i="2" s="1"/>
  <c r="X61" i="2"/>
  <c r="V71" i="2"/>
  <c r="X64" i="2"/>
  <c r="X65" i="2" s="1"/>
  <c r="X70" i="2" s="1"/>
  <c r="X55" i="2"/>
  <c r="J106" i="56"/>
  <c r="V70" i="2"/>
  <c r="Y24" i="2"/>
  <c r="Y21" i="2"/>
  <c r="Y23" i="2"/>
  <c r="Y15" i="2"/>
  <c r="Y26" i="2"/>
  <c r="Y17" i="2"/>
  <c r="Y14" i="2"/>
  <c r="Y22" i="2"/>
  <c r="Y12" i="2"/>
  <c r="Y27" i="2"/>
  <c r="Y20" i="2"/>
  <c r="Y25" i="2"/>
  <c r="Y19" i="2"/>
  <c r="Y18" i="2"/>
  <c r="Y16" i="2"/>
  <c r="Y13" i="2"/>
  <c r="S93" i="2"/>
  <c r="J84" i="2"/>
  <c r="V83" i="2"/>
  <c r="Y83" i="2" s="1"/>
  <c r="J42" i="2"/>
  <c r="I60" i="56" s="1"/>
  <c r="X42" i="2"/>
  <c r="Y42" i="2" s="1"/>
  <c r="J44" i="2"/>
  <c r="I62" i="56" s="1"/>
  <c r="X44" i="2"/>
  <c r="Y44" i="2" s="1"/>
  <c r="J48" i="2"/>
  <c r="I66" i="56" s="1"/>
  <c r="X48" i="2"/>
  <c r="Y48" i="2" s="1"/>
  <c r="D92" i="2"/>
  <c r="J45" i="2"/>
  <c r="I63" i="56" s="1"/>
  <c r="X45" i="2"/>
  <c r="Y45" i="2" s="1"/>
  <c r="J46" i="2"/>
  <c r="I64" i="56" s="1"/>
  <c r="X46" i="2"/>
  <c r="Y46" i="2" s="1"/>
  <c r="J98" i="2"/>
  <c r="I128" i="56" s="1"/>
  <c r="X97" i="2"/>
  <c r="Y97" i="2" s="1"/>
  <c r="J41" i="2"/>
  <c r="I59" i="56" s="1"/>
  <c r="X41" i="2"/>
  <c r="Y41" i="2" s="1"/>
  <c r="X43" i="2"/>
  <c r="Y43" i="2" s="1"/>
  <c r="J43" i="2"/>
  <c r="I61" i="56" s="1"/>
  <c r="J97" i="2"/>
  <c r="I127" i="56" s="1"/>
  <c r="X96" i="2"/>
  <c r="Y96" i="2" s="1"/>
  <c r="J47" i="2"/>
  <c r="I65" i="56" s="1"/>
  <c r="X47" i="2"/>
  <c r="Y47" i="2" s="1"/>
  <c r="J49" i="2"/>
  <c r="I67" i="56" s="1"/>
  <c r="X49" i="2"/>
  <c r="Y49" i="2" s="1"/>
  <c r="J103" i="2"/>
  <c r="J31" i="2"/>
  <c r="J102" i="2"/>
  <c r="D90" i="2"/>
  <c r="D91" i="2"/>
  <c r="X59" i="2" l="1"/>
  <c r="X71" i="2" s="1"/>
  <c r="Y71" i="2" s="1"/>
  <c r="X53" i="2"/>
  <c r="X69" i="2" s="1"/>
  <c r="X62" i="2"/>
  <c r="X67" i="2" s="1"/>
  <c r="Y67" i="2" s="1"/>
  <c r="Y93" i="2"/>
  <c r="Y70" i="2"/>
  <c r="I68" i="56"/>
  <c r="J50" i="2"/>
  <c r="Y28" i="2"/>
  <c r="Y50" i="2"/>
  <c r="J32" i="2"/>
  <c r="Y31" i="2"/>
  <c r="Y32" i="2" s="1"/>
  <c r="J105" i="2"/>
  <c r="V37" i="2" l="1"/>
  <c r="V36" i="2"/>
  <c r="X87" i="2"/>
  <c r="Y87" i="2" s="1"/>
  <c r="Y33" i="2"/>
  <c r="T55" i="2" s="1"/>
  <c r="X56" i="2" s="1"/>
  <c r="Y37" i="2"/>
  <c r="Y36" i="2"/>
  <c r="X85" i="2" l="1"/>
  <c r="Y85" i="2" s="1"/>
  <c r="X86" i="2"/>
  <c r="Y86" i="2" s="1"/>
  <c r="Y38" i="2"/>
  <c r="J70" i="67" l="1"/>
  <c r="J107" i="67" s="1"/>
  <c r="J109" i="67" s="1"/>
  <c r="J17" i="54" s="1"/>
  <c r="J70" i="69"/>
  <c r="J107" i="69" s="1"/>
  <c r="J109" i="69" s="1"/>
  <c r="J70" i="99"/>
  <c r="J107" i="99" s="1"/>
  <c r="I50" i="54" s="1"/>
  <c r="T50" i="54" s="1"/>
  <c r="V69" i="76"/>
  <c r="Y69" i="76" s="1"/>
  <c r="Y107" i="76" s="1"/>
  <c r="Y109" i="76" s="1"/>
  <c r="J111" i="76" s="1"/>
  <c r="I114" i="76" s="1"/>
  <c r="J70" i="90"/>
  <c r="J107" i="90" s="1"/>
  <c r="I41" i="54" s="1"/>
  <c r="T41" i="54" s="1"/>
  <c r="J70" i="71"/>
  <c r="J107" i="71" s="1"/>
  <c r="V69" i="67"/>
  <c r="Y69" i="67" s="1"/>
  <c r="Y107" i="67" s="1"/>
  <c r="Y109" i="67" s="1"/>
  <c r="J111" i="67" s="1"/>
  <c r="I114" i="67" s="1"/>
  <c r="V69" i="61"/>
  <c r="Y69" i="61" s="1"/>
  <c r="Y107" i="61" s="1"/>
  <c r="Y109" i="61" s="1"/>
  <c r="J111" i="61" s="1"/>
  <c r="I114" i="61" s="1"/>
  <c r="V69" i="58"/>
  <c r="J70" i="60"/>
  <c r="J107" i="60" s="1"/>
  <c r="J70" i="76"/>
  <c r="J107" i="76" s="1"/>
  <c r="V69" i="63"/>
  <c r="Y69" i="63" s="1"/>
  <c r="Y107" i="63" s="1"/>
  <c r="Y109" i="63" s="1"/>
  <c r="J111" i="63" s="1"/>
  <c r="I114" i="63" s="1"/>
  <c r="J70" i="68"/>
  <c r="J107" i="68" s="1"/>
  <c r="V69" i="66"/>
  <c r="Y69" i="66" s="1"/>
  <c r="Y107" i="66" s="1"/>
  <c r="Y109" i="66" s="1"/>
  <c r="J111" i="66" s="1"/>
  <c r="I114" i="66" s="1"/>
  <c r="V69" i="101"/>
  <c r="Y69" i="101" s="1"/>
  <c r="Y107" i="101" s="1"/>
  <c r="Y109" i="101" s="1"/>
  <c r="J111" i="101" s="1"/>
  <c r="I114" i="101" s="1"/>
  <c r="J70" i="65"/>
  <c r="J107" i="65" s="1"/>
  <c r="J70" i="63"/>
  <c r="J107" i="63" s="1"/>
  <c r="J70" i="59"/>
  <c r="J107" i="59" s="1"/>
  <c r="V69" i="69"/>
  <c r="Y69" i="69" s="1"/>
  <c r="Y107" i="69" s="1"/>
  <c r="Y109" i="69" s="1"/>
  <c r="J111" i="69" s="1"/>
  <c r="J70" i="80"/>
  <c r="J107" i="80" s="1"/>
  <c r="J70" i="72"/>
  <c r="J107" i="72" s="1"/>
  <c r="I23" i="54" s="1"/>
  <c r="T23" i="54" s="1"/>
  <c r="V69" i="72"/>
  <c r="Y69" i="72" s="1"/>
  <c r="Y107" i="72" s="1"/>
  <c r="Y109" i="72" s="1"/>
  <c r="J111" i="72" s="1"/>
  <c r="J70" i="70"/>
  <c r="J107" i="70" s="1"/>
  <c r="J70" i="87"/>
  <c r="J107" i="87" s="1"/>
  <c r="I38" i="54" s="1"/>
  <c r="T38" i="54" s="1"/>
  <c r="V69" i="87"/>
  <c r="Y69" i="87" s="1"/>
  <c r="Y107" i="87" s="1"/>
  <c r="Y109" i="87" s="1"/>
  <c r="J111" i="87" s="1"/>
  <c r="J70" i="104"/>
  <c r="J107" i="104" s="1"/>
  <c r="I55" i="54" s="1"/>
  <c r="J70" i="81"/>
  <c r="J107" i="81" s="1"/>
  <c r="V69" i="81"/>
  <c r="Y69" i="81" s="1"/>
  <c r="Y107" i="81" s="1"/>
  <c r="Y109" i="81" s="1"/>
  <c r="J111" i="81" s="1"/>
  <c r="J70" i="95"/>
  <c r="J107" i="95" s="1"/>
  <c r="I46" i="54" s="1"/>
  <c r="T46" i="54" s="1"/>
  <c r="J70" i="89"/>
  <c r="J107" i="89" s="1"/>
  <c r="I40" i="54" s="1"/>
  <c r="T40" i="54" s="1"/>
  <c r="V69" i="89"/>
  <c r="Y69" i="89" s="1"/>
  <c r="Y107" i="89" s="1"/>
  <c r="Y109" i="89" s="1"/>
  <c r="J111" i="89" s="1"/>
  <c r="J70" i="85"/>
  <c r="J107" i="85" s="1"/>
  <c r="I36" i="54" s="1"/>
  <c r="T36" i="54" s="1"/>
  <c r="J70" i="108"/>
  <c r="J107" i="108" s="1"/>
  <c r="J70" i="77"/>
  <c r="J107" i="77" s="1"/>
  <c r="J70" i="91"/>
  <c r="J107" i="91" s="1"/>
  <c r="V69" i="91"/>
  <c r="Y69" i="91" s="1"/>
  <c r="Y107" i="91" s="1"/>
  <c r="Y109" i="91" s="1"/>
  <c r="J111" i="91" s="1"/>
  <c r="J70" i="100"/>
  <c r="J107" i="100" s="1"/>
  <c r="I51" i="54" s="1"/>
  <c r="T51" i="54" s="1"/>
  <c r="J70" i="88"/>
  <c r="J107" i="88" s="1"/>
  <c r="V69" i="88"/>
  <c r="Y69" i="88" s="1"/>
  <c r="Y107" i="88" s="1"/>
  <c r="Y109" i="88" s="1"/>
  <c r="J111" i="88" s="1"/>
  <c r="J70" i="93"/>
  <c r="J107" i="93" s="1"/>
  <c r="I44" i="54" s="1"/>
  <c r="T44" i="54" s="1"/>
  <c r="V69" i="99"/>
  <c r="Y69" i="99"/>
  <c r="Y107" i="99" s="1"/>
  <c r="Y109" i="99" s="1"/>
  <c r="J111" i="99" s="1"/>
  <c r="J70" i="103"/>
  <c r="J107" i="103" s="1"/>
  <c r="I54" i="54" s="1"/>
  <c r="V69" i="71"/>
  <c r="Y69" i="71"/>
  <c r="Y107" i="71" s="1"/>
  <c r="Y109" i="71" s="1"/>
  <c r="J111" i="71" s="1"/>
  <c r="J70" i="96"/>
  <c r="J107" i="96" s="1"/>
  <c r="I47" i="54" s="1"/>
  <c r="T47" i="54" s="1"/>
  <c r="J70" i="73"/>
  <c r="J107" i="73" s="1"/>
  <c r="I24" i="54" s="1"/>
  <c r="T24" i="54" s="1"/>
  <c r="V69" i="73"/>
  <c r="Y69" i="73" s="1"/>
  <c r="Y107" i="73" s="1"/>
  <c r="Y109" i="73" s="1"/>
  <c r="J111" i="73" s="1"/>
  <c r="V69" i="86"/>
  <c r="Y69" i="86" s="1"/>
  <c r="J70" i="64"/>
  <c r="J107" i="64" s="1"/>
  <c r="V69" i="64"/>
  <c r="Y69" i="64" s="1"/>
  <c r="Y107" i="64" s="1"/>
  <c r="Y109" i="64" s="1"/>
  <c r="J111" i="64" s="1"/>
  <c r="J70" i="75"/>
  <c r="J107" i="75" s="1"/>
  <c r="V69" i="75"/>
  <c r="Y69" i="75" s="1"/>
  <c r="Y107" i="75" s="1"/>
  <c r="Y109" i="75" s="1"/>
  <c r="J111" i="75" s="1"/>
  <c r="V69" i="65"/>
  <c r="Y69" i="65" s="1"/>
  <c r="Y107" i="65" s="1"/>
  <c r="Y109" i="65" s="1"/>
  <c r="J111" i="65" s="1"/>
  <c r="J70" i="107"/>
  <c r="J107" i="107" s="1"/>
  <c r="V69" i="107"/>
  <c r="Y69" i="107" s="1"/>
  <c r="Y107" i="107" s="1"/>
  <c r="Y109" i="107" s="1"/>
  <c r="J111" i="107" s="1"/>
  <c r="J70" i="97"/>
  <c r="J107" i="97" s="1"/>
  <c r="V69" i="97"/>
  <c r="Y69" i="97" s="1"/>
  <c r="Y107" i="97" s="1"/>
  <c r="Y109" i="97" s="1"/>
  <c r="J111" i="97" s="1"/>
  <c r="J70" i="78"/>
  <c r="J107" i="78" s="1"/>
  <c r="V69" i="78"/>
  <c r="Y69" i="78" s="1"/>
  <c r="Y107" i="78" s="1"/>
  <c r="Y109" i="78" s="1"/>
  <c r="J111" i="78" s="1"/>
  <c r="J70" i="74"/>
  <c r="J107" i="74" s="1"/>
  <c r="V69" i="74"/>
  <c r="Y69" i="74" s="1"/>
  <c r="Y107" i="74" s="1"/>
  <c r="Y109" i="74" s="1"/>
  <c r="J111" i="74" s="1"/>
  <c r="V69" i="90"/>
  <c r="Y69" i="90" s="1"/>
  <c r="Y107" i="90" s="1"/>
  <c r="Y109" i="90" s="1"/>
  <c r="J111" i="90" s="1"/>
  <c r="J70" i="102"/>
  <c r="J107" i="102" s="1"/>
  <c r="I53" i="54" s="1"/>
  <c r="V69" i="102"/>
  <c r="Y69" i="102" s="1"/>
  <c r="Y107" i="102" s="1"/>
  <c r="Y109" i="102" s="1"/>
  <c r="J111" i="102" s="1"/>
  <c r="J70" i="94"/>
  <c r="J107" i="94" s="1"/>
  <c r="I45" i="54" s="1"/>
  <c r="T45" i="54" s="1"/>
  <c r="V69" i="94"/>
  <c r="Y69" i="94" s="1"/>
  <c r="Y107" i="94" s="1"/>
  <c r="Y109" i="94" s="1"/>
  <c r="J111" i="94" s="1"/>
  <c r="V69" i="60"/>
  <c r="Y69" i="60" s="1"/>
  <c r="Y107" i="60" s="1"/>
  <c r="Y109" i="60" s="1"/>
  <c r="J111" i="60" s="1"/>
  <c r="J70" i="79"/>
  <c r="J107" i="79" s="1"/>
  <c r="J70" i="92"/>
  <c r="J107" i="92" s="1"/>
  <c r="I43" i="54" s="1"/>
  <c r="T43" i="54" s="1"/>
  <c r="J70" i="82"/>
  <c r="J107" i="82" s="1"/>
  <c r="J70" i="105"/>
  <c r="J107" i="105" s="1"/>
  <c r="I56" i="54" s="1"/>
  <c r="J70" i="98"/>
  <c r="J107" i="98" s="1"/>
  <c r="I49" i="54" s="1"/>
  <c r="T49" i="54" s="1"/>
  <c r="V69" i="98"/>
  <c r="Y69" i="98" s="1"/>
  <c r="Y107" i="98" s="1"/>
  <c r="Y109" i="98" s="1"/>
  <c r="J111" i="98" s="1"/>
  <c r="J70" i="83"/>
  <c r="J107" i="83" s="1"/>
  <c r="J70" i="84"/>
  <c r="J107" i="84" s="1"/>
  <c r="V69" i="84"/>
  <c r="Y69" i="84" s="1"/>
  <c r="Y107" i="84" s="1"/>
  <c r="Y109" i="84" s="1"/>
  <c r="J111" i="84" s="1"/>
  <c r="V69" i="83"/>
  <c r="Y69" i="83" s="1"/>
  <c r="Y107" i="83" s="1"/>
  <c r="Y109" i="83" s="1"/>
  <c r="J111" i="83" s="1"/>
  <c r="V69" i="2"/>
  <c r="Y69" i="2" s="1"/>
  <c r="Y107" i="2" s="1"/>
  <c r="Y109" i="2" s="1"/>
  <c r="J111" i="2" s="1"/>
  <c r="T54" i="54" l="1"/>
  <c r="T56" i="54"/>
  <c r="T55" i="54"/>
  <c r="J109" i="92"/>
  <c r="J43" i="54" s="1"/>
  <c r="J109" i="82"/>
  <c r="I33" i="54"/>
  <c r="T33" i="54" s="1"/>
  <c r="J109" i="74"/>
  <c r="I25" i="54"/>
  <c r="T25" i="54" s="1"/>
  <c r="J109" i="64"/>
  <c r="I14" i="54"/>
  <c r="T14" i="54" s="1"/>
  <c r="J109" i="95"/>
  <c r="J46" i="54" s="1"/>
  <c r="J109" i="59"/>
  <c r="I9" i="54"/>
  <c r="T9" i="54" s="1"/>
  <c r="J109" i="81"/>
  <c r="I32" i="54"/>
  <c r="T32" i="54" s="1"/>
  <c r="J109" i="88"/>
  <c r="I39" i="54"/>
  <c r="J109" i="104"/>
  <c r="J55" i="54" s="1"/>
  <c r="J109" i="65"/>
  <c r="I15" i="54"/>
  <c r="T15" i="54" s="1"/>
  <c r="J109" i="93"/>
  <c r="J44" i="54" s="1"/>
  <c r="J109" i="73"/>
  <c r="J24" i="54" s="1"/>
  <c r="J109" i="100"/>
  <c r="J51" i="54" s="1"/>
  <c r="J114" i="101"/>
  <c r="K52" i="54" s="1"/>
  <c r="J114" i="61"/>
  <c r="K11" i="54" s="1"/>
  <c r="J109" i="96"/>
  <c r="J47" i="54" s="1"/>
  <c r="J109" i="87"/>
  <c r="J38" i="54" s="1"/>
  <c r="J114" i="66"/>
  <c r="K16" i="54" s="1"/>
  <c r="J114" i="67"/>
  <c r="K17" i="54" s="1"/>
  <c r="J109" i="94"/>
  <c r="J45" i="54" s="1"/>
  <c r="J109" i="91"/>
  <c r="I42" i="54"/>
  <c r="T42" i="54" s="1"/>
  <c r="J109" i="70"/>
  <c r="I21" i="54"/>
  <c r="T21" i="54" s="1"/>
  <c r="I18" i="54"/>
  <c r="T18" i="54" s="1"/>
  <c r="J109" i="68"/>
  <c r="J18" i="54" s="1"/>
  <c r="J109" i="79"/>
  <c r="I30" i="54"/>
  <c r="T30" i="54" s="1"/>
  <c r="J114" i="63"/>
  <c r="K13" i="54" s="1"/>
  <c r="J109" i="71"/>
  <c r="I114" i="71" s="1"/>
  <c r="J126" i="71" s="1"/>
  <c r="J116" i="71"/>
  <c r="J120" i="71" s="1"/>
  <c r="J124" i="71" s="1"/>
  <c r="E138" i="106" s="1"/>
  <c r="J116" i="97"/>
  <c r="J109" i="97"/>
  <c r="I114" i="97" s="1"/>
  <c r="J126" i="97" s="1"/>
  <c r="J109" i="84"/>
  <c r="I114" i="84" s="1"/>
  <c r="J126" i="84" s="1"/>
  <c r="J116" i="84"/>
  <c r="J120" i="84" s="1"/>
  <c r="J124" i="84" s="1"/>
  <c r="E257" i="106" s="1"/>
  <c r="J109" i="102"/>
  <c r="J53" i="54" s="1"/>
  <c r="J109" i="108"/>
  <c r="I19" i="54"/>
  <c r="T19" i="54" s="1"/>
  <c r="J109" i="72"/>
  <c r="J23" i="54" s="1"/>
  <c r="J109" i="76"/>
  <c r="J27" i="54" s="1"/>
  <c r="I27" i="54"/>
  <c r="T27" i="54" s="1"/>
  <c r="J109" i="90"/>
  <c r="J41" i="54" s="1"/>
  <c r="I13" i="54"/>
  <c r="T13" i="54" s="1"/>
  <c r="J109" i="63"/>
  <c r="J13" i="54" s="1"/>
  <c r="I7" i="54"/>
  <c r="T7" i="54" s="1"/>
  <c r="J109" i="107"/>
  <c r="J109" i="103"/>
  <c r="J54" i="54" s="1"/>
  <c r="J109" i="85"/>
  <c r="J36" i="54" s="1"/>
  <c r="I31" i="54"/>
  <c r="T31" i="54" s="1"/>
  <c r="J109" i="80"/>
  <c r="J114" i="76"/>
  <c r="K27" i="54" s="1"/>
  <c r="I29" i="54"/>
  <c r="T29" i="54" s="1"/>
  <c r="J109" i="78"/>
  <c r="J109" i="83"/>
  <c r="I34" i="54"/>
  <c r="T34" i="54" s="1"/>
  <c r="J109" i="77"/>
  <c r="I28" i="54"/>
  <c r="T28" i="54" s="1"/>
  <c r="J109" i="98"/>
  <c r="J49" i="54" s="1"/>
  <c r="J109" i="60"/>
  <c r="I10" i="54"/>
  <c r="T10" i="54" s="1"/>
  <c r="J109" i="99"/>
  <c r="J50" i="54" s="1"/>
  <c r="J109" i="75"/>
  <c r="I26" i="54"/>
  <c r="T26" i="54" s="1"/>
  <c r="J109" i="105"/>
  <c r="J56" i="54" s="1"/>
  <c r="J109" i="89"/>
  <c r="J40" i="54" s="1"/>
  <c r="I114" i="69"/>
  <c r="J20" i="54"/>
  <c r="V69" i="105"/>
  <c r="Y69" i="105" s="1"/>
  <c r="Y107" i="105" s="1"/>
  <c r="Y109" i="105" s="1"/>
  <c r="J111" i="105" s="1"/>
  <c r="V69" i="92"/>
  <c r="Y69" i="92" s="1"/>
  <c r="Y107" i="92" s="1"/>
  <c r="Y109" i="92" s="1"/>
  <c r="J111" i="92" s="1"/>
  <c r="V69" i="96"/>
  <c r="Y69" i="96" s="1"/>
  <c r="Y107" i="96" s="1"/>
  <c r="Y109" i="96" s="1"/>
  <c r="J111" i="96" s="1"/>
  <c r="V69" i="103"/>
  <c r="Y69" i="103" s="1"/>
  <c r="Y107" i="103" s="1"/>
  <c r="Y109" i="103" s="1"/>
  <c r="J111" i="103" s="1"/>
  <c r="V69" i="93"/>
  <c r="Y69" i="93" s="1"/>
  <c r="Y107" i="93" s="1"/>
  <c r="Y109" i="93" s="1"/>
  <c r="J111" i="93" s="1"/>
  <c r="V69" i="100"/>
  <c r="Y69" i="100" s="1"/>
  <c r="Y107" i="100" s="1"/>
  <c r="Y109" i="100" s="1"/>
  <c r="J111" i="100" s="1"/>
  <c r="V69" i="77"/>
  <c r="Y69" i="77" s="1"/>
  <c r="Y107" i="77" s="1"/>
  <c r="Y109" i="77" s="1"/>
  <c r="J111" i="77" s="1"/>
  <c r="V69" i="85"/>
  <c r="Y69" i="85" s="1"/>
  <c r="Y107" i="85" s="1"/>
  <c r="Y109" i="85" s="1"/>
  <c r="J111" i="85" s="1"/>
  <c r="V69" i="95"/>
  <c r="Y69" i="95" s="1"/>
  <c r="Y107" i="95" s="1"/>
  <c r="Y109" i="95" s="1"/>
  <c r="J111" i="95" s="1"/>
  <c r="V69" i="104"/>
  <c r="Y69" i="104" s="1"/>
  <c r="Y107" i="104" s="1"/>
  <c r="Y109" i="104" s="1"/>
  <c r="J111" i="104" s="1"/>
  <c r="V69" i="70"/>
  <c r="Y69" i="70" s="1"/>
  <c r="Y107" i="70" s="1"/>
  <c r="Y109" i="70" s="1"/>
  <c r="J111" i="70" s="1"/>
  <c r="V69" i="80"/>
  <c r="Y69" i="80" s="1"/>
  <c r="Y107" i="80" s="1"/>
  <c r="Y109" i="80" s="1"/>
  <c r="J111" i="80" s="1"/>
  <c r="V69" i="59"/>
  <c r="Y69" i="59" s="1"/>
  <c r="Y107" i="59" s="1"/>
  <c r="Y109" i="59" s="1"/>
  <c r="J111" i="59" s="1"/>
  <c r="I20" i="54"/>
  <c r="T20" i="54" s="1"/>
  <c r="V69" i="79"/>
  <c r="Y69" i="79" s="1"/>
  <c r="J70" i="66"/>
  <c r="J107" i="66" s="1"/>
  <c r="V69" i="68"/>
  <c r="Y69" i="68" s="1"/>
  <c r="Y107" i="68" s="1"/>
  <c r="Y109" i="68" s="1"/>
  <c r="J111" i="68" s="1"/>
  <c r="I114" i="68" s="1"/>
  <c r="J70" i="61"/>
  <c r="J107" i="61" s="1"/>
  <c r="V69" i="82"/>
  <c r="Y69" i="82" s="1"/>
  <c r="Y107" i="82" s="1"/>
  <c r="Y109" i="82" s="1"/>
  <c r="J111" i="82" s="1"/>
  <c r="V69" i="108"/>
  <c r="Y69" i="108" s="1"/>
  <c r="Y107" i="108" s="1"/>
  <c r="Y109" i="108" s="1"/>
  <c r="J111" i="108" s="1"/>
  <c r="J70" i="101"/>
  <c r="J107" i="101" s="1"/>
  <c r="I52" i="54" s="1"/>
  <c r="T52" i="54" s="1"/>
  <c r="I17" i="54"/>
  <c r="T17" i="54" s="1"/>
  <c r="J70" i="86"/>
  <c r="J107" i="86" s="1"/>
  <c r="I37" i="54" s="1"/>
  <c r="T37" i="54" s="1"/>
  <c r="V69" i="62"/>
  <c r="Y69" i="62" s="1"/>
  <c r="Y107" i="62" s="1"/>
  <c r="Y109" i="62" s="1"/>
  <c r="J111" i="62" s="1"/>
  <c r="I114" i="62" s="1"/>
  <c r="J70" i="62"/>
  <c r="J107" i="62" s="1"/>
  <c r="F52" i="54" l="1"/>
  <c r="U52" i="54"/>
  <c r="G138" i="106"/>
  <c r="K138" i="106"/>
  <c r="G257" i="106"/>
  <c r="K257" i="106"/>
  <c r="J126" i="66"/>
  <c r="J116" i="76"/>
  <c r="J120" i="76" s="1"/>
  <c r="J124" i="76" s="1"/>
  <c r="J109" i="66"/>
  <c r="J16" i="54" s="1"/>
  <c r="G16" i="54" s="1"/>
  <c r="J116" i="66"/>
  <c r="I16" i="54"/>
  <c r="T16" i="54" s="1"/>
  <c r="I114" i="105"/>
  <c r="I114" i="98"/>
  <c r="I114" i="80"/>
  <c r="J31" i="54"/>
  <c r="J126" i="63"/>
  <c r="J42" i="54"/>
  <c r="I114" i="91"/>
  <c r="I114" i="93"/>
  <c r="I114" i="77"/>
  <c r="J28" i="54"/>
  <c r="J116" i="63"/>
  <c r="I114" i="96"/>
  <c r="I114" i="64"/>
  <c r="J14" i="54"/>
  <c r="I114" i="75"/>
  <c r="J26" i="54"/>
  <c r="I114" i="90"/>
  <c r="I114" i="94"/>
  <c r="J126" i="61"/>
  <c r="I114" i="85"/>
  <c r="J30" i="54"/>
  <c r="I114" i="79"/>
  <c r="U11" i="54"/>
  <c r="J32" i="54"/>
  <c r="I114" i="81"/>
  <c r="J25" i="54"/>
  <c r="I114" i="74"/>
  <c r="I114" i="102"/>
  <c r="J126" i="67"/>
  <c r="J126" i="101"/>
  <c r="I114" i="83"/>
  <c r="J34" i="54"/>
  <c r="G17" i="54"/>
  <c r="F17" i="54"/>
  <c r="U17" i="54"/>
  <c r="J15" i="54"/>
  <c r="I114" i="65"/>
  <c r="I114" i="108"/>
  <c r="J19" i="54"/>
  <c r="J116" i="101"/>
  <c r="L52" i="54" s="1"/>
  <c r="V52" i="54" s="1"/>
  <c r="Y52" i="54" s="1"/>
  <c r="Z52" i="54" s="1"/>
  <c r="J109" i="101"/>
  <c r="J52" i="54" s="1"/>
  <c r="G52" i="54" s="1"/>
  <c r="J116" i="61"/>
  <c r="I11" i="54"/>
  <c r="T11" i="54" s="1"/>
  <c r="J109" i="61"/>
  <c r="J11" i="54" s="1"/>
  <c r="G11" i="54" s="1"/>
  <c r="I114" i="104"/>
  <c r="J109" i="62"/>
  <c r="J12" i="54" s="1"/>
  <c r="I12" i="54"/>
  <c r="T12" i="54" s="1"/>
  <c r="I114" i="78"/>
  <c r="J29" i="54"/>
  <c r="J114" i="68"/>
  <c r="J126" i="68" s="1"/>
  <c r="I114" i="60"/>
  <c r="J10" i="54"/>
  <c r="U16" i="54"/>
  <c r="J9" i="54"/>
  <c r="I114" i="59"/>
  <c r="I114" i="82"/>
  <c r="J33" i="54"/>
  <c r="I114" i="99"/>
  <c r="I114" i="89"/>
  <c r="I114" i="107"/>
  <c r="J7" i="54"/>
  <c r="I114" i="100"/>
  <c r="I114" i="92"/>
  <c r="J114" i="69"/>
  <c r="J126" i="69" s="1"/>
  <c r="J114" i="62"/>
  <c r="K12" i="54" s="1"/>
  <c r="F27" i="54"/>
  <c r="U27" i="54"/>
  <c r="G27" i="54"/>
  <c r="I114" i="72"/>
  <c r="I114" i="70"/>
  <c r="J21" i="54"/>
  <c r="I114" i="73"/>
  <c r="I114" i="95"/>
  <c r="G13" i="54"/>
  <c r="F13" i="54"/>
  <c r="U13" i="54"/>
  <c r="I114" i="103"/>
  <c r="J109" i="86"/>
  <c r="J37" i="54" s="1"/>
  <c r="J116" i="67"/>
  <c r="J126" i="76"/>
  <c r="I114" i="87"/>
  <c r="I114" i="88"/>
  <c r="J39" i="54"/>
  <c r="L27" i="54" l="1"/>
  <c r="F16" i="54"/>
  <c r="J114" i="73"/>
  <c r="K24" i="54" s="1"/>
  <c r="I114" i="86"/>
  <c r="J114" i="100"/>
  <c r="K51" i="54" s="1"/>
  <c r="J114" i="79"/>
  <c r="J126" i="79" s="1"/>
  <c r="J114" i="64"/>
  <c r="J126" i="64" s="1"/>
  <c r="J114" i="80"/>
  <c r="J126" i="80" s="1"/>
  <c r="U12" i="54"/>
  <c r="F12" i="54"/>
  <c r="G12" i="54"/>
  <c r="J114" i="70"/>
  <c r="J126" i="62"/>
  <c r="J114" i="107"/>
  <c r="J114" i="65"/>
  <c r="J126" i="65" s="1"/>
  <c r="J114" i="85"/>
  <c r="J114" i="98"/>
  <c r="K49" i="54" s="1"/>
  <c r="J114" i="102"/>
  <c r="J114" i="96"/>
  <c r="J120" i="63"/>
  <c r="J124" i="63" s="1"/>
  <c r="L13" i="54"/>
  <c r="J114" i="72"/>
  <c r="J114" i="99"/>
  <c r="K50" i="54" s="1"/>
  <c r="J114" i="60"/>
  <c r="J126" i="60" s="1"/>
  <c r="J114" i="104"/>
  <c r="J114" i="74"/>
  <c r="J114" i="105"/>
  <c r="J114" i="83"/>
  <c r="J126" i="83" s="1"/>
  <c r="J114" i="108"/>
  <c r="J126" i="108" s="1"/>
  <c r="K20" i="54"/>
  <c r="J116" i="69"/>
  <c r="J114" i="94"/>
  <c r="J114" i="77"/>
  <c r="J120" i="101"/>
  <c r="J114" i="87"/>
  <c r="K18" i="54"/>
  <c r="J116" i="68"/>
  <c r="J114" i="81"/>
  <c r="J126" i="81" s="1"/>
  <c r="J114" i="90"/>
  <c r="J120" i="66"/>
  <c r="J124" i="66" s="1"/>
  <c r="L16" i="54"/>
  <c r="E180" i="106"/>
  <c r="M27" i="54"/>
  <c r="J114" i="89"/>
  <c r="K40" i="54" s="1"/>
  <c r="J114" i="88"/>
  <c r="J114" i="92"/>
  <c r="J114" i="82"/>
  <c r="L11" i="54"/>
  <c r="J120" i="61"/>
  <c r="J124" i="61" s="1"/>
  <c r="J114" i="93"/>
  <c r="K44" i="54" s="1"/>
  <c r="J116" i="62"/>
  <c r="J120" i="67"/>
  <c r="J124" i="67" s="1"/>
  <c r="L17" i="54"/>
  <c r="J114" i="95"/>
  <c r="K46" i="54" s="1"/>
  <c r="J114" i="59"/>
  <c r="J114" i="78"/>
  <c r="F11" i="54"/>
  <c r="J114" i="91"/>
  <c r="J126" i="91" s="1"/>
  <c r="J114" i="103"/>
  <c r="J114" i="75"/>
  <c r="J126" i="75" s="1"/>
  <c r="G26" i="57" l="1"/>
  <c r="Q26" i="57" s="1"/>
  <c r="U40" i="54"/>
  <c r="F40" i="54"/>
  <c r="G40" i="54"/>
  <c r="J126" i="87"/>
  <c r="K38" i="54"/>
  <c r="J126" i="72"/>
  <c r="K23" i="54"/>
  <c r="J126" i="102"/>
  <c r="K53" i="54"/>
  <c r="J126" i="94"/>
  <c r="K45" i="54"/>
  <c r="U51" i="54"/>
  <c r="G51" i="54"/>
  <c r="F51" i="54"/>
  <c r="J126" i="96"/>
  <c r="K47" i="54"/>
  <c r="J126" i="90"/>
  <c r="K41" i="54"/>
  <c r="U50" i="54"/>
  <c r="F50" i="54"/>
  <c r="G50" i="54"/>
  <c r="F49" i="54"/>
  <c r="G49" i="54"/>
  <c r="U49" i="54"/>
  <c r="G24" i="54"/>
  <c r="U24" i="54"/>
  <c r="F24" i="54"/>
  <c r="J126" i="103"/>
  <c r="K54" i="54"/>
  <c r="U46" i="54"/>
  <c r="F46" i="54"/>
  <c r="G46" i="54"/>
  <c r="U44" i="54"/>
  <c r="F44" i="54"/>
  <c r="G44" i="54"/>
  <c r="J126" i="92"/>
  <c r="K43" i="54"/>
  <c r="J126" i="85"/>
  <c r="K36" i="54"/>
  <c r="J126" i="105"/>
  <c r="K56" i="54"/>
  <c r="J126" i="104"/>
  <c r="K55" i="54"/>
  <c r="V13" i="54"/>
  <c r="Y13" i="54" s="1"/>
  <c r="Z13" i="54" s="1"/>
  <c r="D12" i="57"/>
  <c r="D80" i="57" s="1"/>
  <c r="D51" i="57"/>
  <c r="D119" i="57" s="1"/>
  <c r="V17" i="54"/>
  <c r="Y17" i="54" s="1"/>
  <c r="Z17" i="54" s="1"/>
  <c r="D16" i="57"/>
  <c r="D84" i="57" s="1"/>
  <c r="V16" i="54"/>
  <c r="Y16" i="54" s="1"/>
  <c r="Z16" i="54" s="1"/>
  <c r="D15" i="57"/>
  <c r="D83" i="57" s="1"/>
  <c r="V11" i="54"/>
  <c r="Y11" i="54" s="1"/>
  <c r="Z11" i="54" s="1"/>
  <c r="D10" i="57"/>
  <c r="D78" i="57" s="1"/>
  <c r="V27" i="54"/>
  <c r="Y27" i="54" s="1"/>
  <c r="Z27" i="54" s="1"/>
  <c r="D26" i="57"/>
  <c r="D94" i="57" s="1"/>
  <c r="J124" i="101"/>
  <c r="M52" i="54" s="1"/>
  <c r="G180" i="106"/>
  <c r="K180" i="106"/>
  <c r="J116" i="105"/>
  <c r="L56" i="54" s="1"/>
  <c r="V56" i="54" s="1"/>
  <c r="Z56" i="54" s="1"/>
  <c r="K31" i="54"/>
  <c r="J116" i="80"/>
  <c r="K9" i="54"/>
  <c r="J116" i="59"/>
  <c r="K28" i="54"/>
  <c r="J116" i="77"/>
  <c r="K25" i="54"/>
  <c r="J116" i="74"/>
  <c r="K15" i="54"/>
  <c r="J116" i="65"/>
  <c r="K14" i="54"/>
  <c r="J116" i="64"/>
  <c r="K29" i="54"/>
  <c r="J116" i="78"/>
  <c r="K33" i="54"/>
  <c r="J116" i="82"/>
  <c r="K7" i="54"/>
  <c r="J116" i="107"/>
  <c r="J116" i="94"/>
  <c r="L45" i="54" s="1"/>
  <c r="V45" i="54" s="1"/>
  <c r="Z45" i="54" s="1"/>
  <c r="J116" i="102"/>
  <c r="L53" i="54" s="1"/>
  <c r="J126" i="107"/>
  <c r="K30" i="54"/>
  <c r="J116" i="79"/>
  <c r="J126" i="78"/>
  <c r="J116" i="85"/>
  <c r="L36" i="54" s="1"/>
  <c r="V36" i="54" s="1"/>
  <c r="Z36" i="54" s="1"/>
  <c r="J126" i="77"/>
  <c r="J116" i="95"/>
  <c r="L46" i="54" s="1"/>
  <c r="V46" i="54" s="1"/>
  <c r="Z46" i="54" s="1"/>
  <c r="J116" i="100"/>
  <c r="L51" i="54" s="1"/>
  <c r="V51" i="54" s="1"/>
  <c r="Z51" i="54" s="1"/>
  <c r="J126" i="74"/>
  <c r="K26" i="54"/>
  <c r="J116" i="75"/>
  <c r="J116" i="92"/>
  <c r="L43" i="54" s="1"/>
  <c r="V43" i="54" s="1"/>
  <c r="Z43" i="54" s="1"/>
  <c r="K21" i="54"/>
  <c r="J116" i="70"/>
  <c r="J126" i="100"/>
  <c r="E47" i="106"/>
  <c r="M11" i="54"/>
  <c r="M13" i="54"/>
  <c r="E66" i="106"/>
  <c r="J126" i="59"/>
  <c r="J126" i="82"/>
  <c r="K39" i="54"/>
  <c r="J116" i="88"/>
  <c r="J116" i="89"/>
  <c r="L40" i="54" s="1"/>
  <c r="V40" i="54" s="1"/>
  <c r="X40" i="54" s="1"/>
  <c r="Z40" i="54" s="1"/>
  <c r="J116" i="99"/>
  <c r="L50" i="54" s="1"/>
  <c r="V50" i="54" s="1"/>
  <c r="Z50" i="54" s="1"/>
  <c r="J126" i="70"/>
  <c r="E95" i="106"/>
  <c r="M16" i="54"/>
  <c r="J116" i="104"/>
  <c r="L55" i="54" s="1"/>
  <c r="V55" i="54" s="1"/>
  <c r="Z55" i="54" s="1"/>
  <c r="K10" i="54"/>
  <c r="J116" i="60"/>
  <c r="K42" i="54"/>
  <c r="J116" i="91"/>
  <c r="J120" i="62"/>
  <c r="J124" i="62" s="1"/>
  <c r="L12" i="54"/>
  <c r="J126" i="89"/>
  <c r="J116" i="87"/>
  <c r="L38" i="54" s="1"/>
  <c r="V38" i="54" s="1"/>
  <c r="Z38" i="54" s="1"/>
  <c r="J126" i="99"/>
  <c r="J114" i="86"/>
  <c r="J116" i="90"/>
  <c r="L41" i="54" s="1"/>
  <c r="V41" i="54" s="1"/>
  <c r="Z41" i="54" s="1"/>
  <c r="J120" i="68"/>
  <c r="J124" i="68" s="1"/>
  <c r="L18" i="54"/>
  <c r="J126" i="88"/>
  <c r="U18" i="54"/>
  <c r="G18" i="54"/>
  <c r="F18" i="54"/>
  <c r="U20" i="54"/>
  <c r="G20" i="54"/>
  <c r="F20" i="54"/>
  <c r="E104" i="106"/>
  <c r="M17" i="54"/>
  <c r="J116" i="98"/>
  <c r="L49" i="54" s="1"/>
  <c r="V49" i="54" s="1"/>
  <c r="Z49" i="54" s="1"/>
  <c r="J116" i="73"/>
  <c r="L24" i="54" s="1"/>
  <c r="V24" i="54" s="1"/>
  <c r="Z24" i="54" s="1"/>
  <c r="J116" i="96"/>
  <c r="L47" i="54" s="1"/>
  <c r="V47" i="54" s="1"/>
  <c r="Z47" i="54" s="1"/>
  <c r="K32" i="54"/>
  <c r="J116" i="81"/>
  <c r="J126" i="95"/>
  <c r="L20" i="54"/>
  <c r="J120" i="69"/>
  <c r="J124" i="69" s="1"/>
  <c r="J116" i="103"/>
  <c r="L54" i="54" s="1"/>
  <c r="V54" i="54" s="1"/>
  <c r="Z54" i="54" s="1"/>
  <c r="K19" i="54"/>
  <c r="J116" i="108"/>
  <c r="J116" i="93"/>
  <c r="L44" i="54" s="1"/>
  <c r="V44" i="54" s="1"/>
  <c r="X44" i="54" s="1"/>
  <c r="Z44" i="54" s="1"/>
  <c r="J126" i="93"/>
  <c r="K34" i="54"/>
  <c r="J116" i="83"/>
  <c r="J116" i="72"/>
  <c r="L23" i="54" s="1"/>
  <c r="V23" i="54" s="1"/>
  <c r="Z23" i="54" s="1"/>
  <c r="J126" i="98"/>
  <c r="J126" i="73"/>
  <c r="G15" i="57" l="1"/>
  <c r="Q15" i="57" s="1"/>
  <c r="G16" i="57"/>
  <c r="Q16" i="57" s="1"/>
  <c r="G51" i="57"/>
  <c r="Q51" i="57" s="1"/>
  <c r="G12" i="57"/>
  <c r="Q12" i="57" s="1"/>
  <c r="G10" i="57"/>
  <c r="Q10" i="57" s="1"/>
  <c r="G55" i="54"/>
  <c r="U55" i="54"/>
  <c r="F55" i="54"/>
  <c r="F41" i="54"/>
  <c r="G41" i="54"/>
  <c r="U41" i="54"/>
  <c r="G45" i="54"/>
  <c r="F45" i="54"/>
  <c r="U45" i="54"/>
  <c r="G56" i="54"/>
  <c r="U56" i="54"/>
  <c r="F56" i="54"/>
  <c r="F53" i="54"/>
  <c r="G53" i="54"/>
  <c r="J126" i="86"/>
  <c r="K37" i="54"/>
  <c r="G23" i="54"/>
  <c r="F23" i="54"/>
  <c r="U23" i="54"/>
  <c r="U43" i="54"/>
  <c r="G43" i="54"/>
  <c r="F43" i="54"/>
  <c r="U47" i="54"/>
  <c r="F47" i="54"/>
  <c r="G47" i="54"/>
  <c r="G54" i="54"/>
  <c r="U54" i="54"/>
  <c r="F54" i="54"/>
  <c r="U38" i="54"/>
  <c r="F38" i="54"/>
  <c r="G38" i="54"/>
  <c r="U36" i="54"/>
  <c r="F36" i="54"/>
  <c r="G36" i="54"/>
  <c r="U42" i="54"/>
  <c r="F42" i="54"/>
  <c r="G42" i="54"/>
  <c r="E410" i="106"/>
  <c r="G410" i="106" s="1"/>
  <c r="V18" i="54"/>
  <c r="Y18" i="54" s="1"/>
  <c r="Z18" i="54" s="1"/>
  <c r="D17" i="57"/>
  <c r="D85" i="57" s="1"/>
  <c r="V12" i="54"/>
  <c r="Y12" i="54" s="1"/>
  <c r="Z12" i="54" s="1"/>
  <c r="D11" i="57"/>
  <c r="D79" i="57" s="1"/>
  <c r="V20" i="54"/>
  <c r="X20" i="54" s="1"/>
  <c r="Z20" i="54" s="1"/>
  <c r="D19" i="57"/>
  <c r="D87" i="57" s="1"/>
  <c r="G104" i="106"/>
  <c r="K104" i="106"/>
  <c r="G66" i="106"/>
  <c r="K66" i="106"/>
  <c r="G95" i="106"/>
  <c r="K95" i="106"/>
  <c r="G47" i="106"/>
  <c r="K47" i="106"/>
  <c r="J120" i="85"/>
  <c r="J124" i="85" s="1"/>
  <c r="M36" i="54" s="1"/>
  <c r="J120" i="74"/>
  <c r="J124" i="74" s="1"/>
  <c r="L25" i="54"/>
  <c r="J120" i="92"/>
  <c r="J124" i="92" s="1"/>
  <c r="M43" i="54" s="1"/>
  <c r="J120" i="107"/>
  <c r="J124" i="107" s="1"/>
  <c r="L7" i="54"/>
  <c r="L28" i="54"/>
  <c r="J120" i="77"/>
  <c r="J124" i="77" s="1"/>
  <c r="J120" i="104"/>
  <c r="J124" i="104" s="1"/>
  <c r="M55" i="54" s="1"/>
  <c r="J120" i="79"/>
  <c r="J124" i="79" s="1"/>
  <c r="L30" i="54"/>
  <c r="U7" i="54"/>
  <c r="G7" i="54"/>
  <c r="F7" i="54"/>
  <c r="F28" i="54"/>
  <c r="U28" i="54"/>
  <c r="G28" i="54"/>
  <c r="J120" i="88"/>
  <c r="J124" i="88" s="1"/>
  <c r="L39" i="54"/>
  <c r="U30" i="54"/>
  <c r="G30" i="54"/>
  <c r="F30" i="54"/>
  <c r="J120" i="82"/>
  <c r="J124" i="82" s="1"/>
  <c r="L33" i="54"/>
  <c r="L9" i="54"/>
  <c r="J120" i="59"/>
  <c r="J124" i="59" s="1"/>
  <c r="J120" i="103"/>
  <c r="J124" i="103" s="1"/>
  <c r="M54" i="54" s="1"/>
  <c r="G26" i="54"/>
  <c r="F26" i="54"/>
  <c r="U26" i="54"/>
  <c r="F33" i="54"/>
  <c r="U33" i="54"/>
  <c r="G33" i="54"/>
  <c r="F9" i="54"/>
  <c r="U9" i="54"/>
  <c r="G9" i="54"/>
  <c r="J120" i="60"/>
  <c r="J124" i="60" s="1"/>
  <c r="L10" i="54"/>
  <c r="F25" i="54"/>
  <c r="U25" i="54"/>
  <c r="G25" i="54"/>
  <c r="J120" i="72"/>
  <c r="J124" i="72" s="1"/>
  <c r="M23" i="54" s="1"/>
  <c r="J120" i="102"/>
  <c r="J124" i="102" s="1"/>
  <c r="M53" i="54" s="1"/>
  <c r="D52" i="57"/>
  <c r="D120" i="57" s="1"/>
  <c r="J120" i="78"/>
  <c r="J124" i="78" s="1"/>
  <c r="L29" i="54"/>
  <c r="J120" i="80"/>
  <c r="J124" i="80" s="1"/>
  <c r="L31" i="54"/>
  <c r="E120" i="106"/>
  <c r="M20" i="54"/>
  <c r="J116" i="86"/>
  <c r="L37" i="54" s="1"/>
  <c r="V37" i="54" s="1"/>
  <c r="Z37" i="54" s="1"/>
  <c r="J120" i="83"/>
  <c r="J124" i="83" s="1"/>
  <c r="L34" i="54"/>
  <c r="J120" i="100"/>
  <c r="J124" i="100" s="1"/>
  <c r="M51" i="54" s="1"/>
  <c r="J120" i="93"/>
  <c r="J124" i="93" s="1"/>
  <c r="M44" i="54" s="1"/>
  <c r="J120" i="99"/>
  <c r="J124" i="99" s="1"/>
  <c r="M50" i="54" s="1"/>
  <c r="J120" i="94"/>
  <c r="J124" i="94" s="1"/>
  <c r="M45" i="54" s="1"/>
  <c r="J120" i="64"/>
  <c r="J124" i="64" s="1"/>
  <c r="L14" i="54"/>
  <c r="J120" i="105"/>
  <c r="J124" i="105" s="1"/>
  <c r="M56" i="54" s="1"/>
  <c r="J120" i="90"/>
  <c r="J124" i="90" s="1"/>
  <c r="M41" i="54" s="1"/>
  <c r="G10" i="54"/>
  <c r="U10" i="54"/>
  <c r="F10" i="54"/>
  <c r="J120" i="96"/>
  <c r="J124" i="96" s="1"/>
  <c r="M47" i="54" s="1"/>
  <c r="G29" i="54"/>
  <c r="F29" i="54"/>
  <c r="U29" i="54"/>
  <c r="F31" i="54"/>
  <c r="U31" i="54"/>
  <c r="G31" i="54"/>
  <c r="J120" i="73"/>
  <c r="J124" i="73" s="1"/>
  <c r="M24" i="54" s="1"/>
  <c r="J120" i="70"/>
  <c r="J124" i="70" s="1"/>
  <c r="L21" i="54"/>
  <c r="J120" i="95"/>
  <c r="J124" i="95" s="1"/>
  <c r="M46" i="54" s="1"/>
  <c r="G14" i="54"/>
  <c r="U14" i="54"/>
  <c r="F14" i="54"/>
  <c r="J120" i="81"/>
  <c r="J124" i="81" s="1"/>
  <c r="L32" i="54"/>
  <c r="U34" i="54"/>
  <c r="F34" i="54"/>
  <c r="G34" i="54"/>
  <c r="G32" i="54"/>
  <c r="F32" i="54"/>
  <c r="U32" i="54"/>
  <c r="J120" i="89"/>
  <c r="L15" i="54"/>
  <c r="J120" i="65"/>
  <c r="J124" i="65" s="1"/>
  <c r="J120" i="75"/>
  <c r="J124" i="75" s="1"/>
  <c r="L26" i="54"/>
  <c r="J120" i="87"/>
  <c r="J124" i="87" s="1"/>
  <c r="M38" i="54" s="1"/>
  <c r="L19" i="54"/>
  <c r="J120" i="108"/>
  <c r="J124" i="108" s="1"/>
  <c r="M12" i="54"/>
  <c r="E54" i="106"/>
  <c r="G21" i="54"/>
  <c r="U21" i="54"/>
  <c r="F21" i="54"/>
  <c r="F19" i="54"/>
  <c r="G19" i="54"/>
  <c r="U19" i="54"/>
  <c r="J120" i="98"/>
  <c r="J124" i="98" s="1"/>
  <c r="M49" i="54" s="1"/>
  <c r="M18" i="54"/>
  <c r="E112" i="106"/>
  <c r="J120" i="91"/>
  <c r="J124" i="91" s="1"/>
  <c r="L42" i="54"/>
  <c r="V42" i="54" s="1"/>
  <c r="U15" i="54"/>
  <c r="F15" i="54"/>
  <c r="G15" i="54"/>
  <c r="M40" i="54" l="1"/>
  <c r="G39" i="57" s="1"/>
  <c r="Q39" i="57" s="1"/>
  <c r="G45" i="57"/>
  <c r="Q45" i="57" s="1"/>
  <c r="G17" i="57"/>
  <c r="Q17" i="57" s="1"/>
  <c r="G35" i="57"/>
  <c r="Q35" i="57" s="1"/>
  <c r="G54" i="57"/>
  <c r="Q54" i="57" s="1"/>
  <c r="G11" i="57"/>
  <c r="Q11" i="57" s="1"/>
  <c r="G43" i="57"/>
  <c r="Q43" i="57" s="1"/>
  <c r="G48" i="57"/>
  <c r="Q48" i="57" s="1"/>
  <c r="G53" i="57"/>
  <c r="Q53" i="57" s="1"/>
  <c r="G19" i="57"/>
  <c r="Q19" i="57" s="1"/>
  <c r="G37" i="57"/>
  <c r="Q37" i="57" s="1"/>
  <c r="G50" i="57"/>
  <c r="Q50" i="57" s="1"/>
  <c r="G22" i="57"/>
  <c r="Q22" i="57" s="1"/>
  <c r="G52" i="57"/>
  <c r="Q52" i="57" s="1"/>
  <c r="G42" i="57"/>
  <c r="Q42" i="57" s="1"/>
  <c r="G46" i="57"/>
  <c r="Q46" i="57" s="1"/>
  <c r="G44" i="57"/>
  <c r="Q44" i="57" s="1"/>
  <c r="G40" i="57"/>
  <c r="Q40" i="57" s="1"/>
  <c r="G49" i="57"/>
  <c r="Q49" i="57" s="1"/>
  <c r="G23" i="57"/>
  <c r="Q23" i="57" s="1"/>
  <c r="G55" i="57"/>
  <c r="Q55" i="57" s="1"/>
  <c r="Y59" i="54"/>
  <c r="F37" i="54"/>
  <c r="G37" i="54"/>
  <c r="U37" i="54"/>
  <c r="K410" i="106"/>
  <c r="V32" i="54"/>
  <c r="X32" i="54" s="1"/>
  <c r="Z32" i="54" s="1"/>
  <c r="D31" i="57"/>
  <c r="D99" i="57" s="1"/>
  <c r="D35" i="57"/>
  <c r="D37" i="57"/>
  <c r="D105" i="57" s="1"/>
  <c r="V29" i="54"/>
  <c r="X29" i="54" s="1"/>
  <c r="Z29" i="54" s="1"/>
  <c r="D28" i="57"/>
  <c r="D96" i="57" s="1"/>
  <c r="D44" i="57"/>
  <c r="D112" i="57" s="1"/>
  <c r="V25" i="54"/>
  <c r="X25" i="54" s="1"/>
  <c r="Z25" i="54" s="1"/>
  <c r="D24" i="57"/>
  <c r="D92" i="57" s="1"/>
  <c r="V30" i="54"/>
  <c r="Z30" i="54" s="1"/>
  <c r="D29" i="57"/>
  <c r="D97" i="57" s="1"/>
  <c r="V19" i="54"/>
  <c r="Z19" i="54" s="1"/>
  <c r="D18" i="57"/>
  <c r="D86" i="57" s="1"/>
  <c r="D55" i="57"/>
  <c r="D123" i="57" s="1"/>
  <c r="D23" i="57"/>
  <c r="D91" i="57" s="1"/>
  <c r="D53" i="57"/>
  <c r="D121" i="57" s="1"/>
  <c r="D54" i="57"/>
  <c r="D122" i="57" s="1"/>
  <c r="D46" i="57"/>
  <c r="D114" i="57" s="1"/>
  <c r="D43" i="57"/>
  <c r="D111" i="57" s="1"/>
  <c r="D22" i="57"/>
  <c r="D90" i="57" s="1"/>
  <c r="D50" i="57"/>
  <c r="D118" i="57" s="1"/>
  <c r="V33" i="54"/>
  <c r="Z33" i="54" s="1"/>
  <c r="D32" i="57"/>
  <c r="D100" i="57" s="1"/>
  <c r="V21" i="54"/>
  <c r="Z21" i="54" s="1"/>
  <c r="D20" i="57"/>
  <c r="D88" i="57" s="1"/>
  <c r="V28" i="54"/>
  <c r="Z28" i="54" s="1"/>
  <c r="D27" i="57"/>
  <c r="D95" i="57" s="1"/>
  <c r="X39" i="54"/>
  <c r="Z39" i="54" s="1"/>
  <c r="D38" i="57"/>
  <c r="D106" i="57" s="1"/>
  <c r="V14" i="54"/>
  <c r="Z14" i="54" s="1"/>
  <c r="D13" i="57"/>
  <c r="D81" i="57" s="1"/>
  <c r="D49" i="57"/>
  <c r="D117" i="57" s="1"/>
  <c r="V9" i="54"/>
  <c r="X9" i="54" s="1"/>
  <c r="D8" i="57"/>
  <c r="D76" i="57" s="1"/>
  <c r="V34" i="54"/>
  <c r="X34" i="54" s="1"/>
  <c r="Z34" i="54" s="1"/>
  <c r="D33" i="57"/>
  <c r="D101" i="57" s="1"/>
  <c r="D39" i="57"/>
  <c r="D107" i="57" s="1"/>
  <c r="V7" i="54"/>
  <c r="Z7" i="54" s="1"/>
  <c r="D6" i="57"/>
  <c r="D74" i="57" s="1"/>
  <c r="Z42" i="54"/>
  <c r="D41" i="57"/>
  <c r="D109" i="57" s="1"/>
  <c r="D45" i="57"/>
  <c r="D113" i="57" s="1"/>
  <c r="V15" i="54"/>
  <c r="X15" i="54" s="1"/>
  <c r="Z15" i="54" s="1"/>
  <c r="D14" i="57"/>
  <c r="D82" i="57" s="1"/>
  <c r="D48" i="57"/>
  <c r="D116" i="57" s="1"/>
  <c r="D40" i="57"/>
  <c r="D108" i="57" s="1"/>
  <c r="V10" i="54"/>
  <c r="X10" i="54" s="1"/>
  <c r="Z10" i="54" s="1"/>
  <c r="D9" i="57"/>
  <c r="D77" i="57" s="1"/>
  <c r="D42" i="57"/>
  <c r="D110" i="57" s="1"/>
  <c r="V31" i="54"/>
  <c r="X31" i="54" s="1"/>
  <c r="Z31" i="54" s="1"/>
  <c r="D30" i="57"/>
  <c r="D98" i="57" s="1"/>
  <c r="V26" i="54"/>
  <c r="Z26" i="54" s="1"/>
  <c r="D25" i="57"/>
  <c r="D93" i="57" s="1"/>
  <c r="G120" i="106"/>
  <c r="K120" i="106"/>
  <c r="G54" i="106"/>
  <c r="K54" i="106"/>
  <c r="G112" i="106"/>
  <c r="K112" i="106"/>
  <c r="E309" i="106"/>
  <c r="M31" i="54"/>
  <c r="E218" i="106"/>
  <c r="M30" i="54"/>
  <c r="E207" i="106"/>
  <c r="E8" i="106"/>
  <c r="M7" i="54"/>
  <c r="E199" i="106"/>
  <c r="M29" i="54"/>
  <c r="M10" i="54"/>
  <c r="E29" i="106"/>
  <c r="E328" i="106"/>
  <c r="E365" i="106"/>
  <c r="E338" i="106"/>
  <c r="J120" i="86"/>
  <c r="J124" i="86" s="1"/>
  <c r="M37" i="54" s="1"/>
  <c r="E419" i="106"/>
  <c r="E427" i="106"/>
  <c r="E292" i="106"/>
  <c r="M39" i="54"/>
  <c r="E356" i="106"/>
  <c r="E14" i="106"/>
  <c r="M9" i="54"/>
  <c r="E437" i="106"/>
  <c r="M42" i="54"/>
  <c r="E318" i="106"/>
  <c r="E147" i="106"/>
  <c r="E129" i="106"/>
  <c r="M21" i="54"/>
  <c r="M25" i="54"/>
  <c r="E165" i="106"/>
  <c r="M26" i="54"/>
  <c r="E173" i="106"/>
  <c r="M19" i="54"/>
  <c r="E119" i="106"/>
  <c r="M33" i="54"/>
  <c r="E237" i="106"/>
  <c r="E265" i="106"/>
  <c r="E247" i="106"/>
  <c r="M34" i="54"/>
  <c r="M28" i="54"/>
  <c r="E188" i="106"/>
  <c r="E446" i="106"/>
  <c r="E74" i="106"/>
  <c r="M14" i="54"/>
  <c r="M32" i="54"/>
  <c r="E228" i="106"/>
  <c r="E349" i="106"/>
  <c r="E381" i="106"/>
  <c r="E282" i="106"/>
  <c r="M15" i="54"/>
  <c r="E84" i="106"/>
  <c r="E300" i="106"/>
  <c r="E400" i="106"/>
  <c r="E157" i="106"/>
  <c r="E390" i="106"/>
  <c r="G9" i="57" l="1"/>
  <c r="Q9" i="57" s="1"/>
  <c r="G25" i="57"/>
  <c r="Q25" i="57" s="1"/>
  <c r="G20" i="57"/>
  <c r="Q20" i="57" s="1"/>
  <c r="G18" i="57"/>
  <c r="Q18" i="57" s="1"/>
  <c r="G41" i="57"/>
  <c r="Q41" i="57" s="1"/>
  <c r="G32" i="57"/>
  <c r="Q32" i="57" s="1"/>
  <c r="G29" i="57"/>
  <c r="Q29" i="57" s="1"/>
  <c r="G8" i="57"/>
  <c r="Q8" i="57" s="1"/>
  <c r="G24" i="57"/>
  <c r="Q24" i="57" s="1"/>
  <c r="G14" i="57"/>
  <c r="Q14" i="57" s="1"/>
  <c r="G30" i="57"/>
  <c r="Q30" i="57" s="1"/>
  <c r="G13" i="57"/>
  <c r="Q13" i="57" s="1"/>
  <c r="G27" i="57"/>
  <c r="Q27" i="57" s="1"/>
  <c r="G28" i="57"/>
  <c r="Q28" i="57" s="1"/>
  <c r="G6" i="57"/>
  <c r="Q6" i="57" s="1"/>
  <c r="G31" i="57"/>
  <c r="Q31" i="57" s="1"/>
  <c r="G38" i="57"/>
  <c r="Q38" i="57" s="1"/>
  <c r="G33" i="57"/>
  <c r="Q33" i="57" s="1"/>
  <c r="G36" i="57"/>
  <c r="Q36" i="57" s="1"/>
  <c r="X59" i="54"/>
  <c r="Z9" i="54"/>
  <c r="D36" i="57"/>
  <c r="D104" i="57" s="1"/>
  <c r="G349" i="106"/>
  <c r="K349" i="106"/>
  <c r="G228" i="106"/>
  <c r="K228" i="106"/>
  <c r="G365" i="106"/>
  <c r="K365" i="106"/>
  <c r="G318" i="106"/>
  <c r="K318" i="106"/>
  <c r="G207" i="106"/>
  <c r="K207" i="106"/>
  <c r="G400" i="106"/>
  <c r="K400" i="106"/>
  <c r="G328" i="106"/>
  <c r="K328" i="106"/>
  <c r="G199" i="106"/>
  <c r="K199" i="106"/>
  <c r="G157" i="106"/>
  <c r="K157" i="106"/>
  <c r="G292" i="106"/>
  <c r="K292" i="106"/>
  <c r="G129" i="106"/>
  <c r="K129" i="106"/>
  <c r="G446" i="106"/>
  <c r="K446" i="106"/>
  <c r="G390" i="106"/>
  <c r="K390" i="106"/>
  <c r="G14" i="106"/>
  <c r="K14" i="106"/>
  <c r="G309" i="106"/>
  <c r="K309" i="106"/>
  <c r="G119" i="106"/>
  <c r="K119" i="106"/>
  <c r="G338" i="106"/>
  <c r="K338" i="106"/>
  <c r="G74" i="106"/>
  <c r="K74" i="106"/>
  <c r="G188" i="106"/>
  <c r="K188" i="106"/>
  <c r="G247" i="106"/>
  <c r="K247" i="106"/>
  <c r="G265" i="106"/>
  <c r="K265" i="106"/>
  <c r="G427" i="106"/>
  <c r="K427" i="106"/>
  <c r="G29" i="106"/>
  <c r="K29" i="106"/>
  <c r="G8" i="106"/>
  <c r="K8" i="106"/>
  <c r="G218" i="106"/>
  <c r="K218" i="106"/>
  <c r="G237" i="106"/>
  <c r="K237" i="106"/>
  <c r="G282" i="106"/>
  <c r="K282" i="106"/>
  <c r="G173" i="106"/>
  <c r="K173" i="106"/>
  <c r="G165" i="106"/>
  <c r="K165" i="106"/>
  <c r="G147" i="106"/>
  <c r="K147" i="106"/>
  <c r="G437" i="106"/>
  <c r="K437" i="106"/>
  <c r="G356" i="106"/>
  <c r="K356" i="106"/>
  <c r="G300" i="106"/>
  <c r="K300" i="106"/>
  <c r="G84" i="106"/>
  <c r="K84" i="106"/>
  <c r="G419" i="106"/>
  <c r="K419" i="106"/>
  <c r="G381" i="106"/>
  <c r="K381" i="106"/>
  <c r="E273" i="106"/>
  <c r="G273" i="106" l="1"/>
  <c r="K273" i="106"/>
  <c r="D25" i="56" l="1"/>
  <c r="C25" i="56"/>
  <c r="D26" i="56"/>
  <c r="C26" i="56"/>
  <c r="D20" i="56"/>
  <c r="C20" i="56"/>
  <c r="D23" i="56"/>
  <c r="C23" i="56"/>
  <c r="D22" i="56"/>
  <c r="C22" i="56"/>
  <c r="D24" i="56"/>
  <c r="C24" i="56"/>
  <c r="D28" i="56"/>
  <c r="C28" i="56"/>
  <c r="D27" i="56"/>
  <c r="C27" i="56"/>
  <c r="D21" i="56"/>
  <c r="C21" i="56"/>
  <c r="D28" i="58" l="1"/>
  <c r="C28" i="58"/>
  <c r="D30" i="56"/>
  <c r="D28" i="2"/>
  <c r="C28" i="2"/>
  <c r="C30" i="56"/>
  <c r="C32" i="56" s="1"/>
  <c r="E20" i="58" l="1"/>
  <c r="E13" i="58"/>
  <c r="E18" i="58"/>
  <c r="E21" i="58"/>
  <c r="E26" i="58"/>
  <c r="E23" i="58"/>
  <c r="E17" i="58"/>
  <c r="E24" i="58"/>
  <c r="E25" i="58"/>
  <c r="E12" i="58"/>
  <c r="E16" i="58"/>
  <c r="E27" i="58"/>
  <c r="E14" i="58"/>
  <c r="E22" i="58"/>
  <c r="E19" i="58"/>
  <c r="E15" i="58"/>
  <c r="E13" i="2"/>
  <c r="E15" i="56" s="1"/>
  <c r="E16" i="2"/>
  <c r="E27" i="2"/>
  <c r="E12" i="2"/>
  <c r="E17" i="2"/>
  <c r="E19" i="56" s="1"/>
  <c r="E15" i="2"/>
  <c r="E17" i="56" s="1"/>
  <c r="E14" i="2"/>
  <c r="E16" i="56" s="1"/>
  <c r="E23" i="2"/>
  <c r="E25" i="56" s="1"/>
  <c r="E26" i="2"/>
  <c r="E20" i="2"/>
  <c r="E21" i="2"/>
  <c r="E22" i="2"/>
  <c r="E19" i="2"/>
  <c r="E25" i="2"/>
  <c r="E18" i="2"/>
  <c r="E24" i="2"/>
  <c r="E31" i="56"/>
  <c r="H31" i="56" s="1"/>
  <c r="D32" i="56"/>
  <c r="E136" i="56" s="1"/>
  <c r="I136" i="56" s="1"/>
  <c r="I138" i="56" s="1"/>
  <c r="E22" i="56" l="1"/>
  <c r="E20" i="56"/>
  <c r="E26" i="56"/>
  <c r="E21" i="56"/>
  <c r="E24" i="56"/>
  <c r="E18" i="56"/>
  <c r="E14" i="56"/>
  <c r="E29" i="56"/>
  <c r="E27" i="56"/>
  <c r="E23" i="56"/>
  <c r="E28" i="56"/>
  <c r="T14" i="58"/>
  <c r="X14" i="58" s="1"/>
  <c r="I14" i="58"/>
  <c r="I19" i="58"/>
  <c r="J19" i="58" s="1"/>
  <c r="T19" i="58"/>
  <c r="X19" i="58" s="1"/>
  <c r="Y19" i="58" s="1"/>
  <c r="I22" i="58"/>
  <c r="J22" i="58" s="1"/>
  <c r="T22" i="58"/>
  <c r="X22" i="58" s="1"/>
  <c r="Y22" i="58" s="1"/>
  <c r="I27" i="58"/>
  <c r="J27" i="58" s="1"/>
  <c r="T27" i="58"/>
  <c r="X27" i="58" s="1"/>
  <c r="Y27" i="58" s="1"/>
  <c r="I16" i="58"/>
  <c r="T16" i="58"/>
  <c r="X16" i="58" s="1"/>
  <c r="I25" i="58"/>
  <c r="J25" i="58" s="1"/>
  <c r="T25" i="58"/>
  <c r="X25" i="58" s="1"/>
  <c r="Y25" i="58" s="1"/>
  <c r="I17" i="58"/>
  <c r="J17" i="58" s="1"/>
  <c r="T17" i="58"/>
  <c r="X17" i="58" s="1"/>
  <c r="Y17" i="58" s="1"/>
  <c r="I18" i="58"/>
  <c r="J18" i="58" s="1"/>
  <c r="T18" i="58"/>
  <c r="X18" i="58" s="1"/>
  <c r="Y18" i="58" s="1"/>
  <c r="I24" i="58"/>
  <c r="J24" i="58" s="1"/>
  <c r="T24" i="58"/>
  <c r="X24" i="58" s="1"/>
  <c r="Y24" i="58" s="1"/>
  <c r="I23" i="58"/>
  <c r="J23" i="58" s="1"/>
  <c r="T23" i="58"/>
  <c r="X23" i="58" s="1"/>
  <c r="Y23" i="58" s="1"/>
  <c r="I13" i="58"/>
  <c r="J13" i="58" s="1"/>
  <c r="T13" i="58"/>
  <c r="X13" i="58" s="1"/>
  <c r="Y13" i="58" s="1"/>
  <c r="T15" i="58"/>
  <c r="X15" i="58" s="1"/>
  <c r="Y15" i="58" s="1"/>
  <c r="I15" i="58"/>
  <c r="J15" i="58" s="1"/>
  <c r="T12" i="58"/>
  <c r="E28" i="58"/>
  <c r="I12" i="58"/>
  <c r="I26" i="58"/>
  <c r="J26" i="58" s="1"/>
  <c r="T26" i="58"/>
  <c r="X26" i="58" s="1"/>
  <c r="Y26" i="58" s="1"/>
  <c r="T21" i="58"/>
  <c r="X21" i="58" s="1"/>
  <c r="Y21" i="58" s="1"/>
  <c r="I21" i="58"/>
  <c r="J21" i="58" s="1"/>
  <c r="I20" i="58"/>
  <c r="J20" i="58" s="1"/>
  <c r="T20" i="58"/>
  <c r="X20" i="58" s="1"/>
  <c r="Y20" i="58" s="1"/>
  <c r="I24" i="2"/>
  <c r="I19" i="2"/>
  <c r="I21" i="2"/>
  <c r="I27" i="2"/>
  <c r="I25" i="2"/>
  <c r="I23" i="2"/>
  <c r="I14" i="2"/>
  <c r="I15" i="2"/>
  <c r="I16" i="2"/>
  <c r="I18" i="2"/>
  <c r="I22" i="2"/>
  <c r="I20" i="2"/>
  <c r="I26" i="2"/>
  <c r="I17" i="2"/>
  <c r="I12" i="2"/>
  <c r="E28" i="2"/>
  <c r="I13" i="2"/>
  <c r="O8" i="54" l="1"/>
  <c r="Q8" i="54" s="1"/>
  <c r="E59" i="58"/>
  <c r="I60" i="58" s="1"/>
  <c r="E65" i="58"/>
  <c r="I66" i="58" s="1"/>
  <c r="E53" i="58"/>
  <c r="I54" i="58" s="1"/>
  <c r="E62" i="58"/>
  <c r="I63" i="58" s="1"/>
  <c r="O6" i="54"/>
  <c r="Q6" i="54" s="1"/>
  <c r="E59" i="2"/>
  <c r="E65" i="2"/>
  <c r="E62" i="2"/>
  <c r="E53" i="2"/>
  <c r="H25" i="56"/>
  <c r="H29" i="56"/>
  <c r="H15" i="56"/>
  <c r="H23" i="56"/>
  <c r="H16" i="56"/>
  <c r="H27" i="56"/>
  <c r="H22" i="56"/>
  <c r="H18" i="56"/>
  <c r="H17" i="56"/>
  <c r="H19" i="56"/>
  <c r="H26" i="56"/>
  <c r="H14" i="56"/>
  <c r="H21" i="56"/>
  <c r="H28" i="56"/>
  <c r="H24" i="56"/>
  <c r="H20" i="56"/>
  <c r="Y16" i="58"/>
  <c r="S92" i="58"/>
  <c r="X92" i="58" s="1"/>
  <c r="I72" i="58"/>
  <c r="J72" i="58" s="1"/>
  <c r="I71" i="58"/>
  <c r="J71" i="58" s="1"/>
  <c r="I68" i="58"/>
  <c r="J68" i="58" s="1"/>
  <c r="J14" i="58"/>
  <c r="B91" i="58"/>
  <c r="I91" i="58" s="1"/>
  <c r="J16" i="58"/>
  <c r="B92" i="58"/>
  <c r="I92" i="58" s="1"/>
  <c r="J12" i="58"/>
  <c r="B90" i="58"/>
  <c r="I28" i="58"/>
  <c r="X12" i="58"/>
  <c r="T28" i="58"/>
  <c r="S91" i="58"/>
  <c r="X91" i="58" s="1"/>
  <c r="Y14" i="58"/>
  <c r="J18" i="2"/>
  <c r="I20" i="56" s="1"/>
  <c r="J16" i="2"/>
  <c r="B92" i="2"/>
  <c r="J15" i="2"/>
  <c r="I17" i="56" s="1"/>
  <c r="J17" i="2"/>
  <c r="I19" i="56" s="1"/>
  <c r="J19" i="2"/>
  <c r="I21" i="56" s="1"/>
  <c r="J23" i="2"/>
  <c r="I25" i="56" s="1"/>
  <c r="J25" i="2"/>
  <c r="I27" i="56" s="1"/>
  <c r="E30" i="56"/>
  <c r="E32" i="56" s="1"/>
  <c r="B218" i="109" s="1"/>
  <c r="J12" i="2"/>
  <c r="I28" i="2"/>
  <c r="B90" i="2"/>
  <c r="J26" i="2"/>
  <c r="I28" i="56" s="1"/>
  <c r="J20" i="2"/>
  <c r="I22" i="56" s="1"/>
  <c r="J22" i="2"/>
  <c r="I24" i="56" s="1"/>
  <c r="J14" i="2"/>
  <c r="B91" i="2"/>
  <c r="J13" i="2"/>
  <c r="I15" i="56" s="1"/>
  <c r="J27" i="2"/>
  <c r="I29" i="56" s="1"/>
  <c r="J21" i="2"/>
  <c r="I23" i="56" s="1"/>
  <c r="J24" i="2"/>
  <c r="I26" i="56" s="1"/>
  <c r="G33" i="58" l="1"/>
  <c r="E56" i="58"/>
  <c r="I57" i="58" s="1"/>
  <c r="H30" i="56"/>
  <c r="E56" i="2"/>
  <c r="I66" i="2"/>
  <c r="I71" i="2" s="1"/>
  <c r="C83" i="56"/>
  <c r="H84" i="56" s="1"/>
  <c r="H91" i="56" s="1"/>
  <c r="K91" i="56" s="1"/>
  <c r="I54" i="2"/>
  <c r="C71" i="56"/>
  <c r="H72" i="56" s="1"/>
  <c r="I63" i="2"/>
  <c r="I68" i="2" s="1"/>
  <c r="J68" i="2" s="1"/>
  <c r="I86" i="56" s="1"/>
  <c r="C80" i="56"/>
  <c r="H81" i="56" s="1"/>
  <c r="H86" i="56" s="1"/>
  <c r="K86" i="56" s="1"/>
  <c r="I60" i="2"/>
  <c r="I72" i="2" s="1"/>
  <c r="C77" i="56"/>
  <c r="H78" i="56" s="1"/>
  <c r="H93" i="56" s="1"/>
  <c r="K93" i="56" s="1"/>
  <c r="J86" i="56"/>
  <c r="C119" i="56"/>
  <c r="I16" i="56"/>
  <c r="I14" i="56"/>
  <c r="O59" i="54"/>
  <c r="C118" i="56"/>
  <c r="J28" i="58"/>
  <c r="C120" i="56"/>
  <c r="I18" i="56"/>
  <c r="I70" i="58"/>
  <c r="J70" i="58" s="1"/>
  <c r="I87" i="58"/>
  <c r="J87" i="58" s="1"/>
  <c r="T58" i="58"/>
  <c r="X59" i="58" s="1"/>
  <c r="X71" i="58" s="1"/>
  <c r="Y71" i="58" s="1"/>
  <c r="T52" i="58"/>
  <c r="X53" i="58" s="1"/>
  <c r="T61" i="58"/>
  <c r="X62" i="58" s="1"/>
  <c r="X67" i="58" s="1"/>
  <c r="Y67" i="58" s="1"/>
  <c r="T64" i="58"/>
  <c r="X65" i="58" s="1"/>
  <c r="X70" i="58" s="1"/>
  <c r="Y70" i="58" s="1"/>
  <c r="I86" i="58"/>
  <c r="J86" i="58" s="1"/>
  <c r="I85" i="58"/>
  <c r="J85" i="58" s="1"/>
  <c r="Y12" i="58"/>
  <c r="Y28" i="58" s="1"/>
  <c r="X28" i="58"/>
  <c r="S90" i="58"/>
  <c r="I90" i="58"/>
  <c r="J93" i="58" s="1"/>
  <c r="B93" i="58"/>
  <c r="I90" i="2"/>
  <c r="B93" i="2"/>
  <c r="G33" i="2"/>
  <c r="E47" i="56"/>
  <c r="I92" i="2"/>
  <c r="H120" i="56" s="1"/>
  <c r="J28" i="2"/>
  <c r="I70" i="2"/>
  <c r="J70" i="2" s="1"/>
  <c r="I87" i="2"/>
  <c r="J87" i="2" s="1"/>
  <c r="I91" i="2"/>
  <c r="H119" i="56" s="1"/>
  <c r="L86" i="56" l="1"/>
  <c r="J71" i="2"/>
  <c r="I91" i="56" s="1"/>
  <c r="L91" i="56" s="1"/>
  <c r="J91" i="56"/>
  <c r="I57" i="2"/>
  <c r="C74" i="56"/>
  <c r="H75" i="56" s="1"/>
  <c r="J72" i="2"/>
  <c r="I93" i="56" s="1"/>
  <c r="L93" i="56" s="1"/>
  <c r="J93" i="56"/>
  <c r="H89" i="56"/>
  <c r="H112" i="56"/>
  <c r="J33" i="58"/>
  <c r="J36" i="58"/>
  <c r="J37" i="58"/>
  <c r="Y37" i="58" s="1"/>
  <c r="Y33" i="58"/>
  <c r="V37" i="58"/>
  <c r="V36" i="58"/>
  <c r="H118" i="56"/>
  <c r="I30" i="56"/>
  <c r="C121" i="56"/>
  <c r="J107" i="58"/>
  <c r="I8" i="54" s="1"/>
  <c r="T8" i="54" s="1"/>
  <c r="I112" i="56"/>
  <c r="I89" i="56"/>
  <c r="S93" i="58"/>
  <c r="X90" i="58"/>
  <c r="Y93" i="58" s="1"/>
  <c r="V33" i="58"/>
  <c r="T55" i="58"/>
  <c r="X56" i="58" s="1"/>
  <c r="X69" i="58"/>
  <c r="Y69" i="58" s="1"/>
  <c r="X87" i="58"/>
  <c r="Y87" i="58" s="1"/>
  <c r="J33" i="2"/>
  <c r="J93" i="2"/>
  <c r="I121" i="56" s="1"/>
  <c r="I86" i="2"/>
  <c r="J86" i="2" s="1"/>
  <c r="I110" i="56" s="1"/>
  <c r="I85" i="2"/>
  <c r="J85" i="2" s="1"/>
  <c r="H110" i="56" l="1"/>
  <c r="H108" i="56"/>
  <c r="K108" i="56" s="1"/>
  <c r="Y36" i="58"/>
  <c r="Y38" i="58" s="1"/>
  <c r="J38" i="58"/>
  <c r="F53" i="56"/>
  <c r="K53" i="56" s="1"/>
  <c r="J36" i="2"/>
  <c r="F54" i="56"/>
  <c r="K54" i="56" s="1"/>
  <c r="J37" i="2"/>
  <c r="I54" i="56" s="1"/>
  <c r="J109" i="58"/>
  <c r="J8" i="54" s="1"/>
  <c r="I108" i="56"/>
  <c r="L108" i="56" s="1"/>
  <c r="X85" i="58"/>
  <c r="Y85" i="58" s="1"/>
  <c r="X86" i="58"/>
  <c r="Y86" i="58" s="1"/>
  <c r="J107" i="2"/>
  <c r="I142" i="56" s="1"/>
  <c r="I53" i="56" l="1"/>
  <c r="I55" i="56" s="1"/>
  <c r="J38" i="2"/>
  <c r="Y107" i="58"/>
  <c r="Y109" i="58" s="1"/>
  <c r="J111" i="58" s="1"/>
  <c r="I147" i="56" s="1"/>
  <c r="J109" i="2"/>
  <c r="I144" i="56" s="1"/>
  <c r="I61" i="54"/>
  <c r="I6" i="54"/>
  <c r="I114" i="58" l="1"/>
  <c r="J114" i="58"/>
  <c r="I59" i="54"/>
  <c r="I63" i="54" s="1"/>
  <c r="T6" i="54"/>
  <c r="T59" i="54" s="1"/>
  <c r="J6" i="54"/>
  <c r="J59" i="54" s="1"/>
  <c r="I114" i="2"/>
  <c r="K8" i="54" l="1"/>
  <c r="J116" i="58"/>
  <c r="J126" i="58"/>
  <c r="J114" i="2"/>
  <c r="I149" i="56" s="1"/>
  <c r="K61" i="54" s="1"/>
  <c r="J61" i="54"/>
  <c r="J63" i="54" s="1"/>
  <c r="H149" i="56"/>
  <c r="J120" i="58" l="1"/>
  <c r="J124" i="58" s="1"/>
  <c r="L8" i="54"/>
  <c r="G8" i="54"/>
  <c r="U8" i="54"/>
  <c r="F8" i="54"/>
  <c r="K6" i="54"/>
  <c r="J116" i="2"/>
  <c r="I151" i="56" s="1"/>
  <c r="J126" i="2"/>
  <c r="V8" i="54" l="1"/>
  <c r="Y8" i="54" s="1"/>
  <c r="Z8" i="54" s="1"/>
  <c r="D7" i="57"/>
  <c r="D75" i="57" s="1"/>
  <c r="E10" i="106"/>
  <c r="M8" i="54"/>
  <c r="L6" i="54"/>
  <c r="D5" i="57" s="1"/>
  <c r="J120" i="2"/>
  <c r="I155" i="56" s="1"/>
  <c r="U6" i="54"/>
  <c r="G6" i="54"/>
  <c r="F6" i="54"/>
  <c r="K59" i="54"/>
  <c r="G7" i="57" l="1"/>
  <c r="Q7" i="57" s="1"/>
  <c r="D58" i="57"/>
  <c r="D73" i="57"/>
  <c r="D127" i="57" s="1"/>
  <c r="J124" i="2"/>
  <c r="I159" i="56" s="1"/>
  <c r="L61" i="54"/>
  <c r="G10" i="106"/>
  <c r="K10" i="106"/>
  <c r="F59" i="54"/>
  <c r="G59" i="54"/>
  <c r="U59" i="54"/>
  <c r="V6" i="54"/>
  <c r="Z6" i="54" s="1"/>
  <c r="Z59" i="54" s="1"/>
  <c r="L59" i="54"/>
  <c r="D129" i="57" l="1"/>
  <c r="J61" i="57"/>
  <c r="J62" i="57" s="1"/>
  <c r="E5" i="106"/>
  <c r="K5" i="106" s="1"/>
  <c r="M6" i="54"/>
  <c r="G5" i="57" s="1"/>
  <c r="G58" i="57" s="1"/>
  <c r="K63" i="54"/>
  <c r="J60" i="57"/>
  <c r="V59" i="54"/>
  <c r="L63" i="54"/>
  <c r="M61" i="54"/>
  <c r="E464" i="106"/>
  <c r="G129" i="57" l="1"/>
  <c r="J63" i="57"/>
  <c r="M59" i="54"/>
  <c r="M63" i="54" s="1"/>
  <c r="G5" i="106"/>
  <c r="G457" i="106" s="1"/>
  <c r="E457" i="106"/>
  <c r="G464" i="106"/>
  <c r="G488" i="106" s="1"/>
  <c r="E488" i="106"/>
  <c r="Q5" i="57" l="1"/>
  <c r="Q58" i="57" s="1"/>
  <c r="Q129" i="57" s="1"/>
  <c r="Q130" i="57" s="1"/>
  <c r="F58" i="57"/>
  <c r="G458" i="106"/>
  <c r="G490" i="106"/>
  <c r="J64" i="57" l="1"/>
  <c r="R58" i="5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<sst xmlns="http://schemas.openxmlformats.org/spreadsheetml/2006/main" count="21298" uniqueCount="713">
  <si>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</si>
  <si>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</si>
  <si>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</si>
  <si>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</si>
  <si>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</si>
  <si>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</si>
  <si>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</si>
  <si>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</si>
  <si>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</si>
  <si>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</si>
  <si>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</si>
  <si>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</si>
  <si>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</si>
  <si>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</si>
  <si>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</si>
  <si>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</si>
  <si>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</si>
  <si>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</si>
  <si>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</si>
  <si>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</si>
  <si>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</si>
  <si>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</si>
  <si>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</si>
  <si>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</si>
  <si>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</si>
  <si>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</si>
  <si>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</si>
  <si>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</si>
  <si>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</si>
  <si>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</si>
  <si>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</si>
  <si>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</si>
  <si>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</si>
  <si>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</si>
  <si>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</si>
  <si>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</si>
  <si>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</si>
  <si>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</si>
  <si>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</si>
  <si>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</si>
  <si>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</si>
  <si>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</si>
  <si>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</si>
  <si>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</si>
  <si>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</si>
  <si>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</si>
  <si>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</si>
  <si>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(a)</t>
  </si>
  <si>
    <t>X</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</si>
  <si>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</si>
  <si>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</si>
  <si>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</si>
  <si>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</si>
  <si>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</si>
  <si>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</si>
  <si>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</si>
  <si>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</si>
  <si>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</si>
  <si>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</si>
  <si>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</si>
  <si>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</si>
  <si>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</si>
  <si>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</si>
  <si>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</si>
  <si>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</si>
  <si>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</si>
  <si>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</si>
  <si>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</si>
  <si>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</si>
  <si>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</si>
  <si>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</si>
  <si>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</si>
  <si>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</si>
  <si>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</si>
  <si>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</si>
  <si>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</si>
  <si>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</si>
  <si>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</si>
  <si>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</si>
  <si>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</si>
  <si>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</si>
  <si>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</si>
  <si>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</si>
  <si>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</si>
  <si>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</si>
  <si>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</si>
  <si>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</si>
  <si>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</si>
  <si>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</si>
  <si>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</si>
  <si>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</si>
  <si>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</si>
  <si>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</si>
  <si>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</si>
  <si>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</si>
  <si>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</si>
  <si>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</si>
  <si>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</si>
  <si>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</si>
  <si>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</si>
  <si>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</si>
  <si>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</si>
  <si>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</si>
  <si>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</si>
  <si>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</si>
  <si>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</si>
  <si>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</si>
  <si>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</si>
  <si>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</si>
  <si>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</si>
  <si>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</si>
  <si>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</si>
  <si>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</si>
  <si>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</si>
  <si>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</si>
  <si>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</si>
  <si>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</si>
  <si>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</si>
  <si>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</si>
  <si>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</si>
  <si>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</si>
  <si>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</si>
  <si>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</si>
  <si>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</si>
  <si>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</si>
  <si>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</si>
  <si>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</si>
  <si>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</si>
  <si>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</si>
  <si>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</si>
  <si>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</si>
  <si>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</si>
  <si>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</si>
  <si>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</si>
  <si>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</si>
  <si>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</si>
  <si>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</si>
  <si>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</si>
  <si>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</si>
  <si>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</si>
  <si>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</si>
  <si>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</si>
  <si>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</si>
  <si>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</si>
  <si>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</si>
  <si>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</si>
  <si>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</si>
  <si>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</si>
  <si>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</si>
  <si>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</si>
  <si>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</si>
  <si>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</si>
  <si>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</si>
  <si>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</si>
  <si>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</si>
  <si>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</si>
  <si>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</si>
  <si>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</si>
  <si>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</si>
  <si>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</si>
  <si>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</si>
  <si>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</si>
  <si>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</si>
  <si>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</si>
  <si>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</si>
  <si>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</si>
  <si>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</si>
  <si>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</si>
  <si>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</si>
  <si>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</si>
  <si>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</si>
  <si>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</si>
  <si>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</si>
  <si>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</si>
  <si>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</si>
  <si>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</si>
  <si>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</si>
  <si>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</si>
  <si>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</si>
  <si>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</si>
  <si>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</si>
  <si>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</si>
  <si>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</si>
  <si>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</si>
  <si>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</si>
  <si>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NA</t>
  </si>
  <si>
    <t>SR-0284903</t>
  </si>
  <si>
    <t>SR-0283904</t>
  </si>
  <si>
    <t>---</t>
  </si>
  <si>
    <t>Service Request #</t>
  </si>
  <si>
    <t>February</t>
  </si>
  <si>
    <t>December</t>
  </si>
  <si>
    <t>1st month used</t>
  </si>
  <si>
    <t>Received</t>
  </si>
  <si>
    <t>Thursday, 07/31/25</t>
  </si>
  <si>
    <t>Friday, 01/04/25</t>
  </si>
  <si>
    <t>Release/Requested date</t>
  </si>
  <si>
    <t>FY 2025</t>
  </si>
  <si>
    <t>SR-0251467</t>
  </si>
  <si>
    <t>SR-0251464</t>
  </si>
  <si>
    <t>SR-0243112</t>
  </si>
  <si>
    <t>SR-0243113</t>
  </si>
  <si>
    <t>June 2024</t>
  </si>
  <si>
    <t>Apr 2024</t>
  </si>
  <si>
    <t>Tue, 04/02/24</t>
  </si>
  <si>
    <t>Monday, 03/11/24</t>
  </si>
  <si>
    <t>FY 2024</t>
  </si>
  <si>
    <t>SR-0210987</t>
  </si>
  <si>
    <t>SR-0210986</t>
  </si>
  <si>
    <t>SR-0199714</t>
  </si>
  <si>
    <t>SR-0199712</t>
  </si>
  <si>
    <t>04/06/23,  07:27:58</t>
  </si>
  <si>
    <t>04/06/23,  07:25:38</t>
  </si>
  <si>
    <t>12/20/22,  09:37:14</t>
  </si>
  <si>
    <t>12/20/22,  09:31:04</t>
  </si>
  <si>
    <t>FY 2023</t>
  </si>
  <si>
    <t>Final</t>
  </si>
  <si>
    <t>Release date</t>
  </si>
  <si>
    <t>Preliminary</t>
  </si>
  <si>
    <t>SR-0171397</t>
  </si>
  <si>
    <t>SR-0171396</t>
  </si>
  <si>
    <t>SR-0125081</t>
  </si>
  <si>
    <t>SR-0156328</t>
  </si>
  <si>
    <t>05/03/2022, 12:16:24</t>
  </si>
  <si>
    <t>05/03/2022, 12:14:36</t>
  </si>
  <si>
    <t>01/07/2022, 09:18:46</t>
  </si>
  <si>
    <t>01/07/2022, 08:49:15</t>
  </si>
  <si>
    <t>FY 2022</t>
  </si>
  <si>
    <t>SR-0125055</t>
  </si>
  <si>
    <t>SR-0125054</t>
  </si>
  <si>
    <t>SR-0125077</t>
  </si>
  <si>
    <t>FY 2021</t>
  </si>
  <si>
    <t>SR-0089100</t>
  </si>
  <si>
    <t>SR-0089096</t>
  </si>
  <si>
    <t>SR0085639</t>
  </si>
  <si>
    <t>SR-0085635</t>
  </si>
  <si>
    <t>FY 2020</t>
  </si>
  <si>
    <t>SR-0067374</t>
  </si>
  <si>
    <t>SR-0067373</t>
  </si>
  <si>
    <t>FY 2019</t>
  </si>
  <si>
    <t>FY 2018</t>
  </si>
  <si>
    <t>FY 2017</t>
  </si>
  <si>
    <t>FY 2016</t>
  </si>
  <si>
    <t>Final Calculation</t>
  </si>
  <si>
    <t>Transp</t>
  </si>
  <si>
    <t>ESE Guar</t>
  </si>
  <si>
    <t>FLDOE Report</t>
  </si>
  <si>
    <t>Survey 3</t>
  </si>
  <si>
    <t>Survey 2</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</si>
  <si>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</si>
  <si>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</si>
  <si>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</si>
  <si>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</si>
  <si>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</si>
  <si>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</si>
  <si>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</si>
  <si>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</si>
  <si>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</si>
  <si>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</si>
  <si>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</si>
  <si>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</si>
  <si>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</si>
  <si>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</si>
  <si>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</si>
  <si>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</si>
  <si>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</si>
  <si>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</si>
  <si>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</si>
  <si>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</si>
  <si>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</si>
  <si>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</si>
  <si>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</si>
  <si>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</si>
  <si>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</si>
  <si>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</si>
  <si>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</si>
  <si>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</si>
  <si>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</si>
  <si>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</si>
  <si>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</si>
  <si>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</si>
  <si>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</si>
  <si>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</si>
  <si>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</si>
  <si>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</si>
  <si>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</si>
  <si>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</si>
  <si>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</si>
  <si>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</si>
  <si>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</si>
  <si>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</si>
  <si>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</si>
  <si>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</si>
  <si>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</si>
  <si>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</si>
  <si>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</si>
  <si>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</si>
  <si>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</si>
  <si>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</si>
  <si>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</si>
  <si>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</si>
  <si>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</si>
  <si>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</si>
  <si>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</si>
  <si>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</si>
  <si>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</si>
  <si>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</si>
  <si>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</si>
  <si>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</si>
  <si>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</si>
  <si>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</si>
  <si>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</si>
  <si>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</si>
  <si>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</si>
  <si>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</si>
  <si>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</si>
  <si>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</si>
  <si>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</si>
  <si>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</si>
  <si>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</si>
  <si>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</si>
  <si>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</si>
  <si>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</si>
  <si>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</si>
  <si>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</si>
  <si>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</si>
  <si>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</si>
  <si>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</si>
  <si>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</si>
  <si>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</si>
  <si>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</si>
  <si>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</si>
  <si>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</si>
  <si>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</si>
  <si>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</si>
  <si>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</si>
  <si>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</si>
  <si>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</si>
  <si>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</si>
  <si>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</si>
  <si>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</si>
  <si>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</si>
  <si>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</si>
  <si>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</si>
  <si>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</si>
  <si>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</si>
  <si>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</si>
  <si>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</si>
  <si>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</si>
  <si>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</si>
  <si>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</si>
  <si>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</si>
  <si>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</si>
  <si>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4102</t>
  </si>
  <si>
    <t>BridgePrep Academy of PB</t>
  </si>
  <si>
    <t>4100</t>
  </si>
  <si>
    <t>Connections Education Center of the Palm Beaches</t>
  </si>
  <si>
    <t>Bodwell Academy (formerly - Potentials Charter School)</t>
  </si>
  <si>
    <t>The Learning Center at The Els Center of Excellence</t>
  </si>
  <si>
    <t>4081</t>
  </si>
  <si>
    <t>4020</t>
  </si>
  <si>
    <t>4061</t>
  </si>
  <si>
    <t>The Learning Academy at The Els Center of Excellence</t>
  </si>
  <si>
    <t>G-Star School of the Arts for Motion Pictures and Television</t>
  </si>
  <si>
    <t>Somerset Avenir</t>
  </si>
  <si>
    <t>Somerset Academy JFK Charter School</t>
  </si>
  <si>
    <t>3924</t>
  </si>
  <si>
    <t>Potentials Charter School</t>
  </si>
  <si>
    <t>4051</t>
  </si>
  <si>
    <t>3441</t>
  </si>
  <si>
    <t>South Tech Preparatory Academy (Middle School)</t>
  </si>
  <si>
    <t>4050</t>
  </si>
  <si>
    <t>4002</t>
  </si>
  <si>
    <t>4013</t>
  </si>
  <si>
    <t>4041</t>
  </si>
  <si>
    <t>4131</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</si>
  <si>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</si>
  <si>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</si>
  <si>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</si>
  <si>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</si>
  <si>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</si>
  <si>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</si>
  <si>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</si>
  <si>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</si>
  <si>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</si>
  <si>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</si>
  <si>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</si>
  <si>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</si>
  <si>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</si>
  <si>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</si>
  <si>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</si>
  <si>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</si>
  <si>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</si>
  <si>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</si>
  <si>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</si>
  <si>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</si>
  <si>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</si>
  <si>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</si>
  <si>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</si>
  <si>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</si>
  <si>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</si>
  <si>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</si>
  <si>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</si>
  <si>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</si>
  <si>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</si>
  <si>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</si>
  <si>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</si>
  <si>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(g) (k)</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</si>
  <si>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</si>
  <si>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</si>
  <si>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</si>
  <si>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</si>
  <si>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</si>
  <si>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</si>
  <si>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</si>
  <si>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</si>
  <si>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</si>
  <si>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</si>
  <si>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</si>
  <si>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</si>
  <si>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</si>
  <si>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</si>
  <si>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</si>
  <si>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</si>
  <si>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</si>
  <si>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</si>
  <si>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</si>
  <si>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</si>
  <si>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</si>
  <si>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</si>
  <si>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</si>
  <si>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</si>
  <si>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</si>
  <si>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</si>
  <si>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</si>
  <si>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</si>
  <si>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</si>
  <si>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</si>
  <si>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</si>
  <si>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</si>
  <si>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</si>
  <si>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</si>
  <si>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</si>
  <si>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</si>
  <si>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</si>
  <si>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</si>
  <si>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</si>
  <si>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</si>
  <si>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</si>
  <si>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</si>
  <si>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</si>
  <si>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</si>
  <si>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</si>
  <si>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</si>
  <si>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</si>
  <si>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</si>
  <si>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</si>
  <si>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</si>
  <si>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</si>
  <si>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</si>
  <si>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</si>
  <si>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</si>
  <si>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</si>
  <si>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</si>
  <si>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</si>
  <si>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</si>
  <si>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</si>
  <si>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</si>
  <si>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</si>
  <si>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</si>
  <si>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</si>
  <si>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</si>
  <si>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</si>
  <si>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</si>
  <si>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Net Revenue - Previous Pmts</t>
  </si>
  <si>
    <t>Calculated Current Payment</t>
  </si>
  <si>
    <t>Actual Current Payment</t>
  </si>
  <si>
    <t>*Use this for each tab in worksheet, current month is excluded for  calc.</t>
  </si>
  <si>
    <t>H</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</si>
  <si>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</si>
  <si>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</si>
  <si>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</si>
  <si>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</si>
  <si>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</si>
  <si>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</si>
  <si>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</si>
  <si>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</si>
  <si>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</si>
  <si>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</si>
  <si>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</si>
  <si>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</si>
  <si>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</si>
  <si>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</si>
  <si>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</si>
  <si>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</si>
  <si>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</si>
  <si>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</si>
  <si>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</si>
  <si>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</si>
  <si>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</si>
  <si>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</si>
  <si>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</si>
  <si>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</si>
  <si>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</si>
  <si>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</si>
  <si>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</si>
  <si>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</si>
  <si>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</si>
  <si>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</si>
  <si>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</si>
  <si>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</si>
  <si>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</si>
  <si>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</si>
  <si>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</si>
  <si>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</si>
  <si>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</si>
  <si>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</si>
  <si>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</si>
  <si>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</si>
  <si>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</si>
  <si>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</si>
  <si>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</si>
  <si>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</si>
  <si>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</si>
  <si>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</si>
  <si>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</si>
  <si>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</si>
  <si>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</si>
  <si>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</si>
  <si>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</si>
  <si>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</si>
  <si>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</si>
  <si>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</si>
  <si>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</si>
  <si>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</si>
  <si>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</si>
  <si>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</si>
  <si>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</si>
  <si>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</si>
  <si>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</si>
  <si>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</si>
  <si>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</si>
  <si>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</si>
  <si>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</si>
  <si>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</si>
  <si>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</si>
  <si>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SWA Fees</t>
  </si>
  <si>
    <t>FY21 TSIA</t>
  </si>
  <si>
    <t>FY21 CSTAG Training</t>
  </si>
  <si>
    <t>FEFP Adj</t>
  </si>
  <si>
    <t>WPB-</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</si>
  <si>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</si>
  <si>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</si>
  <si>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</si>
  <si>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</si>
  <si>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</si>
  <si>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</si>
  <si>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</si>
  <si>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</si>
  <si>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</si>
  <si>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</si>
  <si>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</si>
  <si>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</si>
  <si>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</si>
  <si>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</si>
  <si>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</si>
  <si>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</si>
  <si>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</si>
  <si>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</si>
  <si>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</si>
  <si>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</si>
  <si>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</si>
  <si>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</si>
  <si>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Sports Leadership Arts Management (SLAM) - Boca</t>
  </si>
  <si>
    <t>Net payments</t>
  </si>
  <si>
    <t xml:space="preserve">Total current month's FTE payment amount per Consolidated tab  </t>
  </si>
  <si>
    <t>K-12 Initiative Grant</t>
  </si>
  <si>
    <t>WPB-XXX</t>
  </si>
  <si>
    <t xml:space="preserve">Totals per payment approval sheet  </t>
  </si>
  <si>
    <t>NOT PAYING FY 26</t>
  </si>
  <si>
    <t/>
  </si>
  <si>
    <t>Revenue Estimate Worksheet: Palmetto Park - 0571</t>
  </si>
  <si>
    <t>0571</t>
  </si>
  <si>
    <t>Palmetto Park</t>
  </si>
  <si>
    <t>Revenue Estimate Worksheet: Renaissance Charter School at Central Palm- 4051</t>
  </si>
  <si>
    <t>Revenue Estimate Worksheet: Somerset Academy Avenir 3362</t>
  </si>
  <si>
    <t>FY 2026</t>
  </si>
  <si>
    <t>Not Received</t>
  </si>
  <si>
    <t>Tues, 09/30/2025</t>
  </si>
  <si>
    <t>Oct 2025</t>
  </si>
  <si>
    <t>Feb 2026</t>
  </si>
  <si>
    <t>Oct 2025 FTE</t>
  </si>
  <si>
    <t>Feb 2026 FTE</t>
  </si>
  <si>
    <t xml:space="preserve"> Feb 2026</t>
  </si>
  <si>
    <t>Based on the 2025-26 Third Calculation Worksheet</t>
  </si>
  <si>
    <t>Revenue Estimate Worksheet: Glades Day - 3382</t>
  </si>
  <si>
    <t>WPB-313591</t>
  </si>
  <si>
    <t>CLOSED</t>
  </si>
  <si>
    <t>AP Template</t>
  </si>
  <si>
    <t>WPB-318000</t>
  </si>
  <si>
    <t>Updated</t>
  </si>
  <si>
    <t>School Closed Jun 2026.  Pay True-up in Nov/Dec.</t>
  </si>
  <si>
    <t xml:space="preserve">WPB- </t>
  </si>
  <si>
    <t>Payments including current month</t>
  </si>
  <si>
    <t>Next  Academy</t>
  </si>
  <si>
    <t>Revenue Estimate Worksheet: Next Academy - 4141</t>
  </si>
  <si>
    <t>Prog Total</t>
  </si>
  <si>
    <t>3362</t>
  </si>
  <si>
    <t>4031</t>
  </si>
  <si>
    <t>4090</t>
  </si>
  <si>
    <t>4091</t>
  </si>
  <si>
    <t>4111</t>
  </si>
  <si>
    <t>TOTAL</t>
  </si>
  <si>
    <t>Count 2</t>
  </si>
  <si>
    <t>Count 3</t>
  </si>
  <si>
    <t>Combined with HS MSID.</t>
  </si>
  <si>
    <t>Sec 2 FTE</t>
  </si>
  <si>
    <t>ESE  Guar</t>
  </si>
  <si>
    <t>Trans FTE</t>
  </si>
  <si>
    <t>Revenue Estimate Worksheet: The Learning Center High School 0100</t>
  </si>
  <si>
    <t>Palm Beach Preparatory Academy Middle School</t>
  </si>
  <si>
    <t>Active High Performing Schools</t>
  </si>
  <si>
    <t>SCHOOL CODE</t>
  </si>
  <si>
    <t>SCHOOL NAME</t>
  </si>
  <si>
    <t>GRADE LEVEL</t>
  </si>
  <si>
    <t>SCHOOL YEAR</t>
  </si>
  <si>
    <t>DATE EFFECTIVE</t>
  </si>
  <si>
    <t>INLET GROVE COMMUNITY HIGH SCHOOL</t>
  </si>
  <si>
    <t>6-12</t>
  </si>
  <si>
    <t>SOUTH TECH ACADEMY</t>
  </si>
  <si>
    <t>WESTERN ACADEMY CHARTER SCHOOL</t>
  </si>
  <si>
    <t>K-8</t>
  </si>
  <si>
    <t>SOMERSET ACADEMY BOCA EAST</t>
  </si>
  <si>
    <t>K-5</t>
  </si>
  <si>
    <t>RENAISSANCE CHARTER SCHOOL AT WEST PALM BEACH</t>
  </si>
  <si>
    <t>SOUTH TECH PREPARATORY ACADEMY</t>
  </si>
  <si>
    <t>6-8</t>
  </si>
  <si>
    <t>BEN GAMLA-PALM BEACH</t>
  </si>
  <si>
    <t>SOMERSET ACADEMY CANYONS HIGH SCHOOL</t>
  </si>
  <si>
    <t>SOMERSET ACADEMY BOCA MIDDLE SCHOOL</t>
  </si>
  <si>
    <t>https://web01.fldoe.org/CSA/PostToWeb/SponsoringEntitiesSearch</t>
  </si>
  <si>
    <t>ESE %</t>
  </si>
  <si>
    <t>h</t>
  </si>
  <si>
    <t>Rounding diff</t>
  </si>
  <si>
    <t>Maintenance Portion (7.14% of Conference Funding)</t>
  </si>
  <si>
    <t>Growth Portion (1.06% of Conference Funding)</t>
  </si>
  <si>
    <t>Based on the 2026-27 Second Calculation Worksheet</t>
  </si>
  <si>
    <t>WPB-322378</t>
  </si>
  <si>
    <t>WPB-322377</t>
  </si>
  <si>
    <t>Charter Schools FTE</t>
  </si>
  <si>
    <t>FY26 Survey 2</t>
  </si>
  <si>
    <t>Received From IT Dept</t>
  </si>
  <si>
    <t>Calculation of ESE Guaranteed FTE Counts Based on Final 2025 Allocation Percentages Until FY25 Survey2 FTE Capped Report is released</t>
  </si>
  <si>
    <t>Sch ID</t>
  </si>
  <si>
    <t>School/Prog</t>
  </si>
  <si>
    <t>%</t>
  </si>
  <si>
    <t>Seq</t>
  </si>
  <si>
    <t xml:space="preserve"> PALM BEACH PREPARATORY CHARTER </t>
  </si>
  <si>
    <t>K-3 / 251</t>
  </si>
  <si>
    <t>K-3 / 252</t>
  </si>
  <si>
    <t>K-3 / 253</t>
  </si>
  <si>
    <t>4-8 / 251</t>
  </si>
  <si>
    <t>4-8 / 252</t>
  </si>
  <si>
    <t>4-8 / 253</t>
  </si>
  <si>
    <t>9-12 / 251</t>
  </si>
  <si>
    <t>9-12 / 252</t>
  </si>
  <si>
    <t>9-12 / 253</t>
  </si>
  <si>
    <t>THE LEARNING CENTER HIGH SCHOOL</t>
  </si>
  <si>
    <t>Inlet Grove HS</t>
  </si>
  <si>
    <t>Ed Venture Charter School</t>
  </si>
  <si>
    <t>The Learning Center</t>
  </si>
  <si>
    <t>Palm Beach Maritime Academy</t>
  </si>
  <si>
    <t>Western Academy</t>
  </si>
  <si>
    <t>The Learning Academy</t>
  </si>
  <si>
    <t xml:space="preserve">Somerset Academy Avenir </t>
  </si>
  <si>
    <t>Imagine School - Chancellor Campus</t>
  </si>
  <si>
    <t>Glades Academy</t>
  </si>
  <si>
    <t>Somerset Academy JFK CS</t>
  </si>
  <si>
    <t>G-Star School of the Arts</t>
  </si>
  <si>
    <t>Quantum HS</t>
  </si>
  <si>
    <t>Somerset Academy Boca East</t>
  </si>
  <si>
    <t>Worthington HS</t>
  </si>
  <si>
    <t>Renaissance CS at WPB</t>
  </si>
  <si>
    <t>South Tech Preparatory Academy</t>
  </si>
  <si>
    <t>Ben Gamla CS</t>
  </si>
  <si>
    <t>Palm BeachPreparatory Charter Academy</t>
  </si>
  <si>
    <t>Renaissance CS at Wellington</t>
  </si>
  <si>
    <t>Renaissance CS at Summit</t>
  </si>
  <si>
    <t>Somerset Academy Canyons MS</t>
  </si>
  <si>
    <t>Somerset Academy Canyons HS</t>
  </si>
  <si>
    <t>Franklin Academy B</t>
  </si>
  <si>
    <t>Somerset Academy Boca MS</t>
  </si>
  <si>
    <t>Renaissance CS at Cypress</t>
  </si>
  <si>
    <t>Renaissance CS at Central Palm</t>
  </si>
  <si>
    <t>Franklin Academy PBG</t>
  </si>
  <si>
    <t>Sports Leadership &amp; Mgmt MS</t>
  </si>
  <si>
    <t>Sports Leadership Arts Mgmt - Boca</t>
  </si>
  <si>
    <t>Sports Leadership &amp; Mgmt HS</t>
  </si>
  <si>
    <t>FY 2027</t>
  </si>
  <si>
    <t>2nd Calc</t>
  </si>
  <si>
    <t>SR-0037923</t>
  </si>
  <si>
    <t>Ticket closed but no report sent.</t>
  </si>
  <si>
    <t>Trans Contract</t>
  </si>
  <si>
    <t>$1445/FTE</t>
  </si>
  <si>
    <t>Aug-Jun (11 mos)</t>
  </si>
  <si>
    <t>Jul deduction</t>
  </si>
  <si>
    <t>WPB-320387</t>
  </si>
  <si>
    <t>WPB-320388</t>
  </si>
  <si>
    <t>WPB-320389</t>
  </si>
  <si>
    <t>WPB-320129</t>
  </si>
  <si>
    <t>FTE  Sep 2026</t>
  </si>
  <si>
    <t>UFTE:</t>
  </si>
  <si>
    <t xml:space="preserve"> District's Total Non-Scholarship Non-Virtual UFTE: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</si>
</sst>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mm/dd/yy;@"/>
    <numFmt numFmtId="174" formatCode="ddd\,\ mm/dd/yy;@"/>
    <numFmt numFmtId="175" formatCode="mmm\ yyyy"/>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 numFmtId="184" formatCode="_(* #,##0.00_);_(* \(#,##0.00\);_(* &quot;-&quot;_);_(@_)"/>
    <numFmt numFmtId="185" formatCode="mmm"/>
    <numFmt numFmtId="186" formatCode="0000"/>
    <numFmt numFmtId="187" formatCode="0.00000%"/>
  </numFmts>
  <fonts count="87"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8"/>
      <name val="Calibri"/>
      <family val="2"/>
      <scheme val="minor"/>
    </font>
    <font>
      <sz val="10"/>
      <color rgb="FF000000"/>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sz val="10"/>
      <color indexed="8"/>
      <name val="Calibri"/>
      <family val="2"/>
      <scheme val="minor"/>
    </font>
    <font>
      <b/>
      <sz val="11"/>
      <name val="Calibri"/>
      <family val="2"/>
    </font>
    <font>
      <sz val="11"/>
      <color rgb="FF000000"/>
      <name val="Calibri"/>
      <family val="2"/>
      <scheme val="minor"/>
    </font>
    <font>
      <b/>
      <sz val="11"/>
      <color rgb="FF0000FF"/>
      <name val="Calibri"/>
      <family val="2"/>
      <scheme val="minor"/>
    </font>
    <font>
      <b/>
      <sz val="11"/>
      <color rgb="FF333333"/>
      <name val="Calibri"/>
      <family val="2"/>
      <scheme val="minor"/>
    </font>
    <font>
      <sz val="11"/>
      <color rgb="FF333333"/>
      <name val="Calibri"/>
      <family val="2"/>
      <scheme val="minor"/>
    </font>
    <font>
      <u/>
      <sz val="11"/>
      <color theme="10"/>
      <name val="Calibri"/>
      <family val="2"/>
      <scheme val="minor"/>
    </font>
    <font>
      <b/>
      <u/>
      <sz val="11"/>
      <color theme="10"/>
      <name val="Calibri"/>
      <family val="2"/>
      <scheme val="minor"/>
    </font>
    <font>
      <sz val="8"/>
      <name val="Arial"/>
      <family val="2"/>
    </font>
  </fonts>
  <fills count="2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FF9999"/>
        <bgColor indexed="64"/>
      </patternFill>
    </fill>
    <fill>
      <patternFill patternType="solid">
        <fgColor rgb="FF99CCFF"/>
        <bgColor indexed="64"/>
      </patternFill>
    </fill>
    <fill>
      <patternFill patternType="solid">
        <fgColor rgb="FF99FFCC"/>
        <bgColor indexed="64"/>
      </patternFill>
    </fill>
    <fill>
      <patternFill patternType="solid">
        <fgColor theme="2" tint="-0.249977111117893"/>
        <bgColor indexed="64"/>
      </patternFill>
    </fill>
    <fill>
      <patternFill patternType="solid">
        <fgColor rgb="FFFFFF66"/>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
      <patternFill patternType="solid">
        <fgColor indexed="31"/>
        <bgColor indexed="8"/>
      </patternFill>
    </fill>
    <fill>
      <patternFill patternType="solid">
        <fgColor rgb="FF92D050"/>
        <bgColor indexed="64"/>
      </patternFill>
    </fill>
    <fill>
      <patternFill patternType="solid">
        <fgColor rgb="FF00B0F0"/>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8">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xf numFmtId="0" fontId="74" fillId="0" borderId="0"/>
    <xf numFmtId="43" fontId="76" fillId="0" borderId="0" applyFont="0" applyFill="0" applyBorder="0" applyAlignment="0" applyProtection="0"/>
    <xf numFmtId="9" fontId="1" fillId="0" borderId="0" applyFont="0" applyFill="0" applyBorder="0" applyAlignment="0" applyProtection="0"/>
    <xf numFmtId="0" fontId="84" fillId="0" borderId="0" applyNumberFormat="0" applyFill="0" applyBorder="0" applyAlignment="0" applyProtection="0"/>
    <xf numFmtId="44" fontId="1" fillId="0" borderId="0" applyFont="0" applyFill="0" applyBorder="0" applyAlignment="0" applyProtection="0"/>
  </cellStyleXfs>
  <cellXfs count="1117">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xf numFmtId="0" fontId="5" fillId="0" borderId="3" xfId="2" applyFont="1" applyBorder="1" applyAlignment="1">
      <alignment horizontal="left" indent="3"/>
    </xf>
    <xf numFmtId="0" fontId="5" fillId="0" borderId="0" xfId="2" applyFont="1" applyAlignment="1">
      <alignment horizontal="left" wrapText="1"/>
    </xf>
    <xf numFmtId="0" fontId="5" fillId="0" borderId="5" xfId="2" applyFont="1" applyBorder="1" applyAlignment="1">
      <alignment horizontal="left" wrapText="1" indent="3"/>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0" fontId="11" fillId="0" borderId="3" xfId="2" applyFont="1" applyBorder="1" applyAlignment="1">
      <alignment horizontal="center" wrapText="1"/>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Alignment="1">
      <alignment horizontal="center"/>
    </xf>
    <xf numFmtId="165" fontId="5" fillId="0" borderId="3" xfId="3"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Font="1" applyFill="1" applyBorder="1"/>
    <xf numFmtId="44" fontId="5" fillId="0" borderId="0" xfId="4"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0" fontId="11" fillId="5" borderId="0" xfId="0" applyFont="1" applyFill="1" applyAlignment="1">
      <alignment horizontal="right"/>
    </xf>
    <xf numFmtId="4" fontId="4" fillId="0" borderId="0" xfId="2" applyNumberFormat="1" applyFont="1" applyAlignment="1">
      <alignment horizontal="left"/>
    </xf>
    <xf numFmtId="165" fontId="5" fillId="5" borderId="3" xfId="3" applyFont="1" applyFill="1" applyBorder="1" applyAlignment="1">
      <alignment horizontal="right"/>
    </xf>
    <xf numFmtId="165" fontId="5" fillId="5" borderId="3" xfId="0" applyNumberFormat="1" applyFont="1" applyFill="1" applyBorder="1"/>
    <xf numFmtId="165" fontId="5" fillId="5" borderId="1" xfId="3" applyFont="1" applyFill="1" applyBorder="1"/>
    <xf numFmtId="165" fontId="5" fillId="5" borderId="0" xfId="3"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Alignment="1">
      <alignment horizontal="center"/>
    </xf>
    <xf numFmtId="165" fontId="5" fillId="0" borderId="1" xfId="3"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165" fontId="5" fillId="0" borderId="0" xfId="3" applyFont="1" applyFill="1"/>
    <xf numFmtId="0" fontId="23" fillId="0" borderId="0" xfId="0" applyFont="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173" fontId="39" fillId="0" borderId="0" xfId="16" applyNumberFormat="1" applyFont="1" applyAlignment="1">
      <alignment horizontal="center"/>
    </xf>
    <xf numFmtId="174" fontId="39" fillId="0" borderId="0" xfId="16" quotePrefix="1" applyNumberFormat="1" applyFont="1" applyAlignment="1">
      <alignment horizontal="center"/>
    </xf>
    <xf numFmtId="0" fontId="39" fillId="0" borderId="0" xfId="16" applyFont="1" applyAlignment="1">
      <alignment horizontal="left" indent="1"/>
    </xf>
    <xf numFmtId="0" fontId="39" fillId="0" borderId="0" xfId="16" quotePrefix="1" applyFont="1" applyAlignment="1">
      <alignment horizontal="left" indent="1"/>
    </xf>
    <xf numFmtId="174" fontId="39" fillId="10" borderId="0" xfId="16" applyNumberFormat="1" applyFont="1" applyFill="1" applyAlignment="1">
      <alignment horizontal="center"/>
    </xf>
    <xf numFmtId="0" fontId="39" fillId="10" borderId="0" xfId="16" applyFont="1" applyFill="1"/>
    <xf numFmtId="0" fontId="40" fillId="10" borderId="0" xfId="16" quotePrefix="1" applyFont="1" applyFill="1" applyAlignment="1">
      <alignment horizontal="left"/>
    </xf>
    <xf numFmtId="49" fontId="39" fillId="0" borderId="0" xfId="16" applyNumberFormat="1" applyFont="1" applyAlignment="1">
      <alignment horizontal="center"/>
    </xf>
    <xf numFmtId="49" fontId="39" fillId="0" borderId="0" xfId="16" quotePrefix="1" applyNumberFormat="1" applyFont="1" applyAlignment="1">
      <alignment horizontal="center"/>
    </xf>
    <xf numFmtId="173" fontId="39" fillId="0" borderId="0" xfId="16" quotePrefix="1" applyNumberFormat="1" applyFont="1" applyAlignment="1">
      <alignment horizontal="center"/>
    </xf>
    <xf numFmtId="175" fontId="39" fillId="0" borderId="0" xfId="16" applyNumberFormat="1" applyFont="1" applyAlignment="1">
      <alignment horizontal="center"/>
    </xf>
    <xf numFmtId="174" fontId="39" fillId="0" borderId="0" xfId="16" applyNumberFormat="1" applyFont="1" applyAlignment="1">
      <alignment horizontal="center"/>
    </xf>
    <xf numFmtId="174" fontId="39" fillId="11" borderId="0" xfId="16" applyNumberFormat="1" applyFont="1" applyFill="1" applyAlignment="1">
      <alignment horizontal="center"/>
    </xf>
    <xf numFmtId="0" fontId="39" fillId="11" borderId="0" xfId="16" applyFont="1" applyFill="1"/>
    <xf numFmtId="0" fontId="40" fillId="11" borderId="0" xfId="16" quotePrefix="1" applyFont="1" applyFill="1" applyAlignment="1">
      <alignment horizontal="left"/>
    </xf>
    <xf numFmtId="175" fontId="39" fillId="0" borderId="0" xfId="16" quotePrefix="1" applyNumberFormat="1" applyFont="1" applyAlignment="1">
      <alignment horizontal="center"/>
    </xf>
    <xf numFmtId="174" fontId="39" fillId="12" borderId="0" xfId="16" applyNumberFormat="1" applyFont="1" applyFill="1" applyAlignment="1">
      <alignment horizontal="center"/>
    </xf>
    <xf numFmtId="0" fontId="39" fillId="12" borderId="0" xfId="16" applyFont="1" applyFill="1"/>
    <xf numFmtId="0" fontId="40" fillId="12" borderId="0" xfId="16" quotePrefix="1" applyFont="1" applyFill="1" applyAlignment="1">
      <alignment horizontal="left"/>
    </xf>
    <xf numFmtId="174" fontId="41" fillId="0" borderId="0" xfId="16" applyNumberFormat="1" applyFont="1" applyAlignment="1">
      <alignment horizontal="center"/>
    </xf>
    <xf numFmtId="174" fontId="39" fillId="13" borderId="0" xfId="16" applyNumberFormat="1" applyFont="1" applyFill="1" applyAlignment="1">
      <alignment horizontal="center"/>
    </xf>
    <xf numFmtId="0" fontId="39" fillId="13" borderId="0" xfId="16" applyFont="1" applyFill="1"/>
    <xf numFmtId="0" fontId="40" fillId="13" borderId="0" xfId="16" quotePrefix="1" applyFont="1" applyFill="1" applyAlignment="1">
      <alignment horizontal="left"/>
    </xf>
    <xf numFmtId="174" fontId="39" fillId="14" borderId="0" xfId="16" applyNumberFormat="1" applyFont="1" applyFill="1" applyAlignment="1">
      <alignment horizontal="center"/>
    </xf>
    <xf numFmtId="0" fontId="39" fillId="14" borderId="0" xfId="16" applyFont="1" applyFill="1"/>
    <xf numFmtId="0" fontId="40" fillId="14" borderId="0" xfId="16" quotePrefix="1" applyFont="1" applyFill="1" applyAlignment="1">
      <alignment horizontal="left"/>
    </xf>
    <xf numFmtId="174" fontId="39" fillId="15" borderId="0" xfId="16" applyNumberFormat="1" applyFont="1" applyFill="1" applyAlignment="1">
      <alignment horizontal="center"/>
    </xf>
    <xf numFmtId="0" fontId="39" fillId="15" borderId="0" xfId="16" applyFont="1" applyFill="1"/>
    <xf numFmtId="0" fontId="40" fillId="15" borderId="0" xfId="16" quotePrefix="1" applyFont="1" applyFill="1" applyAlignment="1">
      <alignment horizontal="left"/>
    </xf>
    <xf numFmtId="174" fontId="39" fillId="16" borderId="0" xfId="16" applyNumberFormat="1" applyFont="1" applyFill="1" applyAlignment="1">
      <alignment horizontal="center"/>
    </xf>
    <xf numFmtId="0" fontId="39" fillId="16" borderId="0" xfId="16" applyFont="1" applyFill="1"/>
    <xf numFmtId="0" fontId="40" fillId="16" borderId="0" xfId="16" applyFont="1" applyFill="1"/>
    <xf numFmtId="16" fontId="39" fillId="0" borderId="0" xfId="16" applyNumberFormat="1" applyFont="1"/>
    <xf numFmtId="175" fontId="41" fillId="0" borderId="0" xfId="16" applyNumberFormat="1" applyFont="1" applyAlignment="1">
      <alignment horizontal="center"/>
    </xf>
    <xf numFmtId="174" fontId="40" fillId="17" borderId="0" xfId="16" applyNumberFormat="1" applyFont="1" applyFill="1" applyAlignment="1">
      <alignment horizontal="center"/>
    </xf>
    <xf numFmtId="0" fontId="40" fillId="17" borderId="0" xfId="16" applyFont="1" applyFill="1"/>
    <xf numFmtId="174" fontId="40" fillId="18" borderId="0" xfId="16" applyNumberFormat="1" applyFont="1" applyFill="1" applyAlignment="1">
      <alignment horizontal="center"/>
    </xf>
    <xf numFmtId="0" fontId="40" fillId="18" borderId="0" xfId="16" applyFont="1" applyFill="1"/>
    <xf numFmtId="174" fontId="40" fillId="19" borderId="0" xfId="16" applyNumberFormat="1" applyFont="1" applyFill="1" applyAlignment="1">
      <alignment horizontal="center"/>
    </xf>
    <xf numFmtId="0" fontId="40" fillId="19" borderId="0" xfId="16" applyFont="1" applyFill="1"/>
    <xf numFmtId="174" fontId="40" fillId="0" borderId="12" xfId="16" applyNumberFormat="1" applyFont="1" applyBorder="1" applyAlignment="1">
      <alignment horizontal="center"/>
    </xf>
    <xf numFmtId="174" fontId="40" fillId="0" borderId="11" xfId="16" applyNumberFormat="1" applyFont="1" applyBorder="1" applyAlignment="1">
      <alignment horizontal="center"/>
    </xf>
    <xf numFmtId="0" fontId="40" fillId="0" borderId="13" xfId="16" applyFont="1" applyBorder="1" applyAlignment="1">
      <alignment horizontal="center"/>
    </xf>
    <xf numFmtId="0" fontId="40" fillId="0" borderId="0" xfId="16" quotePrefix="1" applyFont="1" applyAlignment="1">
      <alignment horizontal="left"/>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20"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6"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6"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6"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6"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6"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0" fontId="66" fillId="0" borderId="0" xfId="14" applyFont="1" applyAlignment="1">
      <alignment horizontal="center"/>
    </xf>
    <xf numFmtId="0" fontId="66" fillId="0" borderId="0" xfId="14" applyFont="1"/>
    <xf numFmtId="43" fontId="67" fillId="0" borderId="0" xfId="15" applyFont="1"/>
    <xf numFmtId="43" fontId="0" fillId="7" borderId="0" xfId="15" applyFont="1" applyFill="1"/>
    <xf numFmtId="0" fontId="61" fillId="0" borderId="0" xfId="14" applyFont="1" applyAlignment="1">
      <alignment horizontal="right"/>
    </xf>
    <xf numFmtId="0" fontId="61" fillId="0" borderId="0" xfId="14" applyFont="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Font="1" applyBorder="1"/>
    <xf numFmtId="44" fontId="5" fillId="0" borderId="0" xfId="2" applyNumberFormat="1" applyFont="1"/>
    <xf numFmtId="167" fontId="5" fillId="0" borderId="0" xfId="2" applyNumberFormat="1" applyFont="1"/>
    <xf numFmtId="165" fontId="5" fillId="0" borderId="0" xfId="3"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182" fontId="11" fillId="2" borderId="3" xfId="1" applyNumberFormat="1" applyFont="1" applyFill="1" applyBorder="1" applyAlignment="1">
      <alignment vertical="center"/>
    </xf>
    <xf numFmtId="43" fontId="1" fillId="0" borderId="0" xfId="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Alignment="1">
      <alignment horizontal="right"/>
    </xf>
    <xf numFmtId="4" fontId="35" fillId="16"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1" fillId="19" borderId="0" xfId="1" applyFill="1" applyAlignment="1">
      <alignment horizontal="center"/>
    </xf>
    <xf numFmtId="0" fontId="40" fillId="0" borderId="15" xfId="16" applyFont="1" applyBorder="1" applyAlignment="1">
      <alignment horizontal="center"/>
    </xf>
    <xf numFmtId="0" fontId="39" fillId="0" borderId="0" xfId="16" applyFont="1" applyAlignment="1">
      <alignment horizontal="left"/>
    </xf>
    <xf numFmtId="1" fontId="40" fillId="0" borderId="0" xfId="16" quotePrefix="1" applyNumberFormat="1" applyFont="1"/>
    <xf numFmtId="43" fontId="39" fillId="0" borderId="0" xfId="20" applyFont="1"/>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68" fillId="5" borderId="18" xfId="16" quotePrefix="1" applyFont="1" applyFill="1" applyBorder="1" applyAlignment="1">
      <alignment horizontal="left"/>
    </xf>
    <xf numFmtId="0" fontId="69" fillId="5" borderId="19" xfId="16" quotePrefix="1" applyFont="1" applyFill="1" applyBorder="1" applyAlignment="1">
      <alignment horizontal="left" indent="1"/>
    </xf>
    <xf numFmtId="0" fontId="68" fillId="5" borderId="19" xfId="16" quotePrefix="1" applyFont="1" applyFill="1" applyBorder="1" applyAlignment="1">
      <alignment horizontal="left" indent="1"/>
    </xf>
    <xf numFmtId="43" fontId="39" fillId="0" borderId="0" xfId="2" applyNumberFormat="1" applyFont="1"/>
    <xf numFmtId="0" fontId="70" fillId="5" borderId="19" xfId="16" applyFont="1" applyFill="1" applyBorder="1"/>
    <xf numFmtId="0" fontId="69"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69" fillId="5" borderId="20" xfId="16" quotePrefix="1" applyFont="1" applyFill="1" applyBorder="1" applyAlignment="1">
      <alignment horizontal="left" indent="2"/>
    </xf>
    <xf numFmtId="1" fontId="39" fillId="6" borderId="0" xfId="2" applyNumberFormat="1" applyFont="1" applyFill="1" applyAlignment="1">
      <alignment horizontal="left" indent="1"/>
    </xf>
    <xf numFmtId="0" fontId="69" fillId="5" borderId="20" xfId="16" quotePrefix="1" applyFont="1" applyFill="1" applyBorder="1" applyAlignment="1">
      <alignment horizontal="left"/>
    </xf>
    <xf numFmtId="0" fontId="68" fillId="0" borderId="0" xfId="16" quotePrefix="1" applyFont="1" applyAlignment="1">
      <alignment horizontal="left" indent="1"/>
    </xf>
    <xf numFmtId="49" fontId="39" fillId="6" borderId="0" xfId="2" quotePrefix="1" applyNumberFormat="1" applyFont="1" applyFill="1" applyAlignment="1">
      <alignment horizontal="left" indent="1"/>
    </xf>
    <xf numFmtId="0" fontId="69" fillId="0" borderId="0" xfId="16" quotePrefix="1" applyFont="1" applyAlignment="1">
      <alignment horizontal="left" indent="2"/>
    </xf>
    <xf numFmtId="0" fontId="69" fillId="0" borderId="0" xfId="16" quotePrefix="1" applyFont="1" applyAlignment="1">
      <alignment horizontal="left"/>
    </xf>
    <xf numFmtId="0" fontId="68" fillId="0" borderId="0" xfId="16" quotePrefix="1" applyFont="1" applyAlignment="1">
      <alignment horizontal="left"/>
    </xf>
    <xf numFmtId="43" fontId="68"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3" fontId="45" fillId="0" borderId="0" xfId="20" applyFont="1" applyFill="1" applyBorder="1" applyAlignment="1"/>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69"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Alignment="1">
      <alignment horizontal="right"/>
    </xf>
    <xf numFmtId="0" fontId="18" fillId="0" borderId="3" xfId="2" applyFont="1" applyBorder="1" applyAlignment="1">
      <alignment horizontal="center" wrapText="1"/>
    </xf>
    <xf numFmtId="4" fontId="32" fillId="0" borderId="0" xfId="2" applyNumberFormat="1" applyFont="1"/>
    <xf numFmtId="4" fontId="32" fillId="5" borderId="0" xfId="2" applyNumberFormat="1" applyFont="1" applyFill="1"/>
    <xf numFmtId="4" fontId="22" fillId="0" borderId="0" xfId="2" applyNumberFormat="1" applyFont="1"/>
    <xf numFmtId="172" fontId="5" fillId="0" borderId="0" xfId="1" applyNumberFormat="1" applyFont="1" applyBorder="1"/>
    <xf numFmtId="43" fontId="5" fillId="0" borderId="0" xfId="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21" borderId="0" xfId="0" applyFont="1" applyFill="1"/>
    <xf numFmtId="4" fontId="36" fillId="0" borderId="0" xfId="16" quotePrefix="1" applyNumberFormat="1" applyFont="1" applyAlignment="1">
      <alignment horizontal="left"/>
    </xf>
    <xf numFmtId="41" fontId="41" fillId="0" borderId="0" xfId="18" applyNumberFormat="1" applyFont="1" applyAlignment="1">
      <alignment horizontal="center"/>
    </xf>
    <xf numFmtId="0" fontId="39" fillId="6" borderId="0" xfId="16" applyFont="1" applyFill="1"/>
    <xf numFmtId="49" fontId="45" fillId="0" borderId="0" xfId="16" applyNumberFormat="1" applyFont="1" applyAlignment="1">
      <alignment horizontal="center"/>
    </xf>
    <xf numFmtId="49" fontId="39" fillId="11"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21" borderId="0" xfId="16" quotePrefix="1" applyFont="1" applyFill="1" applyAlignment="1">
      <alignment horizontal="left"/>
    </xf>
    <xf numFmtId="0" fontId="39" fillId="21" borderId="0" xfId="16" applyFont="1" applyFill="1"/>
    <xf numFmtId="174" fontId="39" fillId="21" borderId="0" xfId="16" applyNumberFormat="1" applyFont="1" applyFill="1" applyAlignment="1">
      <alignment horizontal="center"/>
    </xf>
    <xf numFmtId="14" fontId="39" fillId="0" borderId="0" xfId="16" applyNumberFormat="1" applyFont="1" applyAlignment="1">
      <alignment horizontal="center"/>
    </xf>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Alignment="1">
      <alignment horizontal="center"/>
    </xf>
    <xf numFmtId="49" fontId="42" fillId="5" borderId="0" xfId="16" quotePrefix="1" applyNumberFormat="1" applyFont="1" applyFill="1" applyAlignment="1">
      <alignment horizontal="center"/>
    </xf>
    <xf numFmtId="49" fontId="40" fillId="5" borderId="0" xfId="16" quotePrefix="1" applyNumberFormat="1" applyFont="1" applyFill="1" applyAlignment="1">
      <alignment wrapText="1"/>
    </xf>
    <xf numFmtId="0" fontId="40" fillId="5" borderId="0" xfId="16" quotePrefix="1" applyFont="1" applyFill="1" applyAlignment="1">
      <alignment vertical="top" wrapText="1"/>
    </xf>
    <xf numFmtId="0" fontId="40" fillId="5" borderId="0" xfId="0" quotePrefix="1" applyFont="1" applyFill="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5" fillId="0" borderId="0" xfId="20" applyFont="1" applyFill="1" applyBorder="1" applyAlignment="1"/>
    <xf numFmtId="43" fontId="36" fillId="20" borderId="0" xfId="1" applyFont="1" applyFill="1"/>
    <xf numFmtId="37" fontId="35" fillId="20" borderId="3" xfId="20" applyNumberFormat="1" applyFont="1" applyFill="1" applyBorder="1" applyAlignment="1"/>
    <xf numFmtId="0" fontId="8" fillId="0" borderId="0" xfId="2" applyFont="1" applyAlignment="1">
      <alignment horizontal="right"/>
    </xf>
    <xf numFmtId="43" fontId="61" fillId="0" borderId="0" xfId="14" applyNumberFormat="1" applyFont="1" applyFill="1"/>
    <xf numFmtId="43" fontId="61" fillId="20" borderId="3" xfId="14" applyNumberFormat="1" applyFont="1" applyFill="1" applyBorder="1"/>
    <xf numFmtId="49" fontId="39" fillId="0" borderId="0" xfId="2" quotePrefix="1" applyNumberFormat="1" applyFont="1" applyFill="1" applyAlignment="1">
      <alignment horizontal="left" indent="1"/>
    </xf>
    <xf numFmtId="43" fontId="39" fillId="0" borderId="0" xfId="2" applyNumberFormat="1" applyFont="1" applyFill="1"/>
    <xf numFmtId="0" fontId="5" fillId="20" borderId="0" xfId="2" applyFont="1" applyFill="1"/>
    <xf numFmtId="0" fontId="7" fillId="20" borderId="0" xfId="2" applyFont="1" applyFill="1" applyAlignment="1">
      <alignment horizontal="center"/>
    </xf>
    <xf numFmtId="0" fontId="8" fillId="20" borderId="0" xfId="2" applyFont="1" applyFill="1" applyAlignment="1">
      <alignment horizontal="right"/>
    </xf>
    <xf numFmtId="0" fontId="74" fillId="0" borderId="0" xfId="23"/>
    <xf numFmtId="0" fontId="7" fillId="0" borderId="0" xfId="2" quotePrefix="1" applyFont="1" applyAlignment="1">
      <alignment horizontal="left"/>
    </xf>
    <xf numFmtId="0" fontId="7" fillId="0" borderId="0" xfId="0" quotePrefix="1" applyFont="1" applyAlignment="1">
      <alignment horizontal="left"/>
    </xf>
    <xf numFmtId="0" fontId="7" fillId="0" borderId="0" xfId="0" quotePrefix="1" applyFont="1"/>
    <xf numFmtId="43" fontId="31" fillId="6" borderId="4" xfId="1" applyFont="1" applyFill="1" applyBorder="1" applyAlignment="1">
      <alignment horizontal="left" indent="3"/>
    </xf>
    <xf numFmtId="43" fontId="31" fillId="6" borderId="0" xfId="20" applyFont="1" applyFill="1" applyBorder="1" applyAlignment="1"/>
    <xf numFmtId="43" fontId="31" fillId="6" borderId="4" xfId="20" applyFont="1" applyFill="1" applyBorder="1" applyAlignment="1"/>
    <xf numFmtId="43" fontId="31" fillId="0" borderId="0" xfId="1" applyFont="1" applyBorder="1" applyAlignment="1">
      <alignment horizontal="right"/>
    </xf>
    <xf numFmtId="17" fontId="47" fillId="0" borderId="0" xfId="16" applyNumberFormat="1" applyFont="1"/>
    <xf numFmtId="43" fontId="34" fillId="0" borderId="0" xfId="14" applyNumberFormat="1" applyFont="1" applyFill="1"/>
    <xf numFmtId="0" fontId="68" fillId="7" borderId="0" xfId="16" quotePrefix="1" applyFont="1" applyFill="1" applyAlignment="1">
      <alignment horizontal="left" indent="1"/>
    </xf>
    <xf numFmtId="0" fontId="42" fillId="7" borderId="0" xfId="16" applyFont="1" applyFill="1"/>
    <xf numFmtId="184" fontId="36" fillId="16" borderId="0" xfId="20" applyNumberFormat="1" applyFont="1" applyFill="1" applyBorder="1" applyAlignment="1"/>
    <xf numFmtId="1" fontId="39" fillId="0" borderId="0" xfId="2" applyNumberFormat="1" applyFont="1" applyFill="1" applyAlignment="1">
      <alignment horizontal="center"/>
    </xf>
    <xf numFmtId="1" fontId="39" fillId="0" borderId="0" xfId="2" applyNumberFormat="1" applyFont="1" applyFill="1"/>
    <xf numFmtId="44" fontId="5" fillId="20" borderId="0" xfId="4" applyFont="1" applyFill="1" applyBorder="1"/>
    <xf numFmtId="0" fontId="1" fillId="0" borderId="0" xfId="14" applyFill="1" applyAlignment="1">
      <alignment horizontal="center"/>
    </xf>
    <xf numFmtId="0" fontId="1" fillId="0" borderId="0" xfId="14" applyFill="1"/>
    <xf numFmtId="0" fontId="34" fillId="7" borderId="0" xfId="14" applyFont="1" applyFill="1" applyAlignment="1">
      <alignment horizontal="center" wrapText="1"/>
    </xf>
    <xf numFmtId="0" fontId="5" fillId="0" borderId="5" xfId="2" applyFont="1" applyBorder="1" applyAlignment="1">
      <alignment horizontal="left" indent="3"/>
    </xf>
    <xf numFmtId="0" fontId="5" fillId="0" borderId="3" xfId="2" applyFont="1" applyBorder="1" applyAlignment="1">
      <alignment horizontal="left" wrapText="1"/>
    </xf>
    <xf numFmtId="0" fontId="5" fillId="0" borderId="0" xfId="2" applyFont="1" applyAlignment="1">
      <alignment horizontal="left" indent="3"/>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11" fillId="0" borderId="0" xfId="2"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5" fillId="5" borderId="3" xfId="0" applyFont="1" applyFill="1" applyBorder="1" applyAlignment="1">
      <alignment horizontal="left" wrapText="1"/>
    </xf>
    <xf numFmtId="0" fontId="5" fillId="5" borderId="0" xfId="0" applyFont="1" applyFill="1" applyAlignment="1">
      <alignment horizontal="left" indent="3"/>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0" fontId="5" fillId="5" borderId="5" xfId="0" applyFont="1" applyFill="1" applyBorder="1" applyAlignment="1">
      <alignment horizontal="left" indent="3"/>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165" fontId="5" fillId="0" borderId="0" xfId="2" applyNumberFormat="1" applyFont="1" applyAlignment="1">
      <alignment horizontal="left"/>
    </xf>
    <xf numFmtId="43" fontId="35" fillId="6" borderId="0" xfId="1" applyFont="1" applyFill="1" applyBorder="1" applyAlignment="1"/>
    <xf numFmtId="0" fontId="5" fillId="0" borderId="0" xfId="2" applyFont="1" applyAlignment="1">
      <alignment horizontal="center"/>
    </xf>
    <xf numFmtId="2" fontId="34" fillId="20" borderId="0" xfId="0" quotePrefix="1" applyNumberFormat="1" applyFont="1" applyFill="1" applyAlignment="1">
      <alignment horizontal="center"/>
    </xf>
    <xf numFmtId="0" fontId="0" fillId="0" borderId="0" xfId="0" applyAlignment="1">
      <alignment horizontal="right"/>
    </xf>
    <xf numFmtId="2" fontId="0" fillId="0" borderId="0" xfId="0" applyNumberFormat="1"/>
    <xf numFmtId="2" fontId="0" fillId="0" borderId="0" xfId="1" applyNumberFormat="1" applyFont="1" applyFill="1"/>
    <xf numFmtId="2" fontId="0" fillId="0" borderId="0" xfId="1" applyNumberFormat="1" applyFont="1"/>
    <xf numFmtId="0" fontId="34" fillId="0" borderId="5" xfId="0" applyFont="1" applyBorder="1" applyAlignment="1">
      <alignment horizontal="right"/>
    </xf>
    <xf numFmtId="43" fontId="34" fillId="0" borderId="5" xfId="1" applyFont="1" applyFill="1" applyBorder="1"/>
    <xf numFmtId="0" fontId="79" fillId="7" borderId="11" xfId="0" applyFont="1" applyFill="1" applyBorder="1" applyAlignment="1">
      <alignment horizontal="center"/>
    </xf>
    <xf numFmtId="2" fontId="79" fillId="24" borderId="11" xfId="0" applyNumberFormat="1" applyFont="1" applyFill="1" applyBorder="1" applyAlignment="1">
      <alignment horizontal="center"/>
    </xf>
    <xf numFmtId="0" fontId="80" fillId="0" borderId="0" xfId="23" applyFont="1"/>
    <xf numFmtId="0" fontId="34" fillId="23" borderId="0" xfId="0" applyFont="1" applyFill="1"/>
    <xf numFmtId="43" fontId="31" fillId="6" borderId="3" xfId="1" applyFont="1" applyFill="1" applyBorder="1" applyAlignment="1">
      <alignment horizontal="left" indent="3"/>
    </xf>
    <xf numFmtId="2" fontId="5" fillId="0" borderId="5" xfId="2" applyNumberFormat="1" applyFont="1" applyBorder="1" applyAlignment="1">
      <alignment horizontal="right"/>
    </xf>
    <xf numFmtId="43" fontId="5" fillId="0" borderId="5" xfId="1" applyFont="1" applyBorder="1" applyAlignment="1">
      <alignment horizontal="right"/>
    </xf>
    <xf numFmtId="43" fontId="31" fillId="6" borderId="0" xfId="1" applyFont="1" applyFill="1" applyBorder="1" applyAlignment="1">
      <alignment horizontal="left" indent="3"/>
    </xf>
    <xf numFmtId="2" fontId="31" fillId="0" borderId="5" xfId="2" applyNumberFormat="1" applyFont="1" applyBorder="1" applyAlignment="1">
      <alignment horizontal="right"/>
    </xf>
    <xf numFmtId="43" fontId="31" fillId="0" borderId="5" xfId="1" applyFont="1" applyBorder="1" applyAlignment="1">
      <alignment horizontal="right"/>
    </xf>
    <xf numFmtId="43" fontId="5" fillId="0" borderId="5" xfId="2" applyNumberFormat="1" applyFont="1" applyBorder="1" applyAlignment="1">
      <alignment horizontal="right"/>
    </xf>
    <xf numFmtId="43" fontId="5" fillId="0" borderId="5" xfId="1" applyNumberFormat="1" applyFont="1" applyBorder="1" applyAlignment="1">
      <alignment horizontal="right"/>
    </xf>
    <xf numFmtId="43" fontId="31" fillId="6" borderId="0" xfId="1" applyFont="1" applyFill="1" applyBorder="1" applyAlignment="1">
      <alignment horizontal="left" vertical="center" wrapText="1" indent="3"/>
    </xf>
    <xf numFmtId="0" fontId="80" fillId="0" borderId="0" xfId="23" applyFont="1" applyAlignment="1">
      <alignment horizontal="right"/>
    </xf>
    <xf numFmtId="0" fontId="34" fillId="23" borderId="0" xfId="0" applyFont="1" applyFill="1" applyAlignment="1">
      <alignment horizontal="center"/>
    </xf>
    <xf numFmtId="2" fontId="81" fillId="7" borderId="5" xfId="0" applyNumberFormat="1" applyFont="1" applyFill="1" applyBorder="1"/>
    <xf numFmtId="43" fontId="81" fillId="7" borderId="5" xfId="1" applyFont="1" applyFill="1" applyBorder="1"/>
    <xf numFmtId="0" fontId="1" fillId="6" borderId="0" xfId="14" applyFill="1"/>
    <xf numFmtId="0" fontId="33" fillId="6" borderId="0" xfId="14" applyFont="1" applyFill="1" applyAlignment="1">
      <alignment horizontal="center"/>
    </xf>
    <xf numFmtId="0" fontId="33" fillId="6" borderId="0" xfId="14" applyFont="1" applyFill="1"/>
    <xf numFmtId="2" fontId="80" fillId="0" borderId="0" xfId="1" applyNumberFormat="1" applyFont="1"/>
    <xf numFmtId="2" fontId="79" fillId="24" borderId="11" xfId="1" applyNumberFormat="1" applyFont="1" applyFill="1" applyBorder="1" applyAlignment="1">
      <alignment horizontal="center"/>
    </xf>
    <xf numFmtId="2" fontId="34" fillId="20" borderId="0" xfId="1" quotePrefix="1" applyNumberFormat="1" applyFont="1" applyFill="1" applyAlignment="1">
      <alignment horizontal="center"/>
    </xf>
    <xf numFmtId="41" fontId="41" fillId="0" borderId="0" xfId="20" quotePrefix="1" applyNumberFormat="1" applyFont="1" applyFill="1" applyBorder="1" applyAlignment="1">
      <alignment horizontal="center"/>
    </xf>
    <xf numFmtId="10" fontId="39" fillId="0" borderId="0" xfId="19" applyNumberFormat="1" applyFont="1" applyFill="1" applyBorder="1"/>
    <xf numFmtId="10" fontId="39" fillId="0" borderId="0" xfId="19" applyNumberFormat="1" applyFont="1" applyFill="1"/>
    <xf numFmtId="43" fontId="39" fillId="0" borderId="0" xfId="16" applyNumberFormat="1" applyFont="1" applyFill="1" applyBorder="1"/>
    <xf numFmtId="43" fontId="39" fillId="0" borderId="0" xfId="17" applyFont="1" applyFill="1" applyBorder="1"/>
    <xf numFmtId="43" fontId="39" fillId="0" borderId="0" xfId="16" applyNumberFormat="1" applyFont="1" applyFill="1"/>
    <xf numFmtId="0" fontId="39" fillId="0" borderId="0" xfId="16" applyFont="1" applyFill="1"/>
    <xf numFmtId="43" fontId="34" fillId="0" borderId="5" xfId="15" applyFont="1" applyBorder="1"/>
    <xf numFmtId="43" fontId="64" fillId="0" borderId="5" xfId="15" applyFont="1" applyBorder="1"/>
    <xf numFmtId="43" fontId="64" fillId="0" borderId="5" xfId="20" applyFont="1" applyBorder="1"/>
    <xf numFmtId="43" fontId="34" fillId="0" borderId="5" xfId="20" applyFont="1" applyBorder="1"/>
    <xf numFmtId="43" fontId="34" fillId="0" borderId="5" xfId="14" applyNumberFormat="1" applyFont="1" applyBorder="1"/>
    <xf numFmtId="0" fontId="40" fillId="0" borderId="11" xfId="16" applyFont="1" applyBorder="1" applyAlignment="1">
      <alignment horizontal="center"/>
    </xf>
    <xf numFmtId="0" fontId="0" fillId="20" borderId="0" xfId="0" applyFill="1" applyAlignment="1">
      <alignment horizontal="right"/>
    </xf>
    <xf numFmtId="0" fontId="80" fillId="20" borderId="0" xfId="23" applyFont="1" applyFill="1" applyAlignment="1">
      <alignment horizontal="right"/>
    </xf>
    <xf numFmtId="43" fontId="39" fillId="0" borderId="0" xfId="16" applyNumberFormat="1" applyFont="1" applyBorder="1"/>
    <xf numFmtId="0" fontId="39" fillId="7" borderId="0" xfId="16" applyFont="1" applyFill="1" applyAlignment="1">
      <alignment horizontal="center"/>
    </xf>
    <xf numFmtId="49" fontId="36" fillId="0" borderId="0" xfId="20" quotePrefix="1" applyNumberFormat="1" applyFont="1" applyAlignment="1">
      <alignment horizontal="left"/>
    </xf>
    <xf numFmtId="0" fontId="40" fillId="0" borderId="11" xfId="16" applyFont="1" applyBorder="1" applyAlignment="1">
      <alignment horizontal="center"/>
    </xf>
    <xf numFmtId="0" fontId="82" fillId="0" borderId="31" xfId="0" applyFont="1" applyBorder="1" applyAlignment="1">
      <alignment horizontal="center" vertical="center" wrapText="1"/>
    </xf>
    <xf numFmtId="0" fontId="83" fillId="0" borderId="31" xfId="0" applyFont="1" applyBorder="1" applyAlignment="1">
      <alignment wrapText="1"/>
    </xf>
    <xf numFmtId="49" fontId="83" fillId="0" borderId="31" xfId="0" applyNumberFormat="1" applyFont="1" applyBorder="1" applyAlignment="1">
      <alignment wrapText="1"/>
    </xf>
    <xf numFmtId="14" fontId="83" fillId="0" borderId="31" xfId="0" applyNumberFormat="1" applyFont="1" applyBorder="1" applyAlignment="1">
      <alignment wrapText="1"/>
    </xf>
    <xf numFmtId="43" fontId="74" fillId="0" borderId="0" xfId="1" applyFont="1" applyFill="1"/>
    <xf numFmtId="0" fontId="75" fillId="0" borderId="0" xfId="0" applyFont="1" applyFill="1" applyBorder="1" applyAlignment="1">
      <alignment horizontal="center" wrapText="1"/>
    </xf>
    <xf numFmtId="43" fontId="77" fillId="0" borderId="0" xfId="1" applyFont="1" applyFill="1"/>
    <xf numFmtId="0" fontId="83" fillId="0" borderId="31" xfId="0" applyFont="1" applyBorder="1" applyAlignment="1"/>
    <xf numFmtId="0" fontId="34" fillId="7" borderId="0" xfId="0" applyFont="1" applyFill="1" applyAlignment="1">
      <alignment horizontal="left"/>
    </xf>
    <xf numFmtId="0" fontId="34" fillId="0" borderId="0" xfId="0" applyFont="1" applyFill="1" applyAlignment="1">
      <alignment horizontal="left"/>
    </xf>
    <xf numFmtId="0" fontId="85" fillId="0" borderId="0" xfId="26" applyFont="1" applyFill="1"/>
    <xf numFmtId="0" fontId="77" fillId="0" borderId="0" xfId="23" applyFont="1"/>
    <xf numFmtId="9" fontId="39" fillId="0" borderId="17" xfId="25" applyFont="1" applyBorder="1"/>
    <xf numFmtId="9" fontId="39" fillId="0" borderId="0" xfId="25" applyFont="1" applyBorder="1"/>
    <xf numFmtId="9" fontId="39" fillId="0" borderId="0" xfId="25" applyFont="1" applyFill="1" applyBorder="1"/>
    <xf numFmtId="1" fontId="43" fillId="0" borderId="0" xfId="18" quotePrefix="1" applyNumberFormat="1" applyFont="1" applyAlignment="1">
      <alignment horizontal="left"/>
    </xf>
    <xf numFmtId="0" fontId="39" fillId="0" borderId="0" xfId="16" applyFont="1" applyFill="1" applyAlignment="1">
      <alignment horizontal="center"/>
    </xf>
    <xf numFmtId="0" fontId="40" fillId="0" borderId="0" xfId="16" applyFont="1" applyFill="1" applyAlignment="1">
      <alignment horizontal="center"/>
    </xf>
    <xf numFmtId="49" fontId="39" fillId="0" borderId="0" xfId="16" quotePrefix="1" applyNumberFormat="1" applyFont="1" applyFill="1"/>
    <xf numFmtId="0" fontId="39" fillId="0" borderId="0" xfId="16" quotePrefix="1" applyFont="1" applyFill="1" applyAlignment="1">
      <alignment horizontal="left" indent="1"/>
    </xf>
    <xf numFmtId="0" fontId="39" fillId="0" borderId="0" xfId="16" quotePrefix="1" applyFont="1" applyFill="1" applyAlignment="1">
      <alignment horizontal="left" vertical="center" indent="1"/>
    </xf>
    <xf numFmtId="49" fontId="39" fillId="0" borderId="0" xfId="16" quotePrefix="1" applyNumberFormat="1" applyFont="1" applyFill="1" applyAlignment="1">
      <alignment horizontal="left" indent="1"/>
    </xf>
    <xf numFmtId="1" fontId="39" fillId="0" borderId="0" xfId="2" applyNumberFormat="1" applyFont="1" applyFill="1" applyAlignment="1">
      <alignment horizontal="left" indent="1"/>
    </xf>
    <xf numFmtId="1" fontId="39" fillId="0" borderId="0" xfId="2" quotePrefix="1" applyNumberFormat="1" applyFont="1" applyFill="1" applyAlignment="1">
      <alignment horizontal="left"/>
    </xf>
    <xf numFmtId="43" fontId="45" fillId="0" borderId="0" xfId="2" applyNumberFormat="1" applyFont="1" applyFill="1"/>
    <xf numFmtId="43" fontId="39" fillId="0" borderId="0" xfId="2" applyNumberFormat="1" applyFont="1" applyFill="1" applyAlignment="1">
      <alignment vertical="center"/>
    </xf>
    <xf numFmtId="0" fontId="69" fillId="0" borderId="0" xfId="16" quotePrefix="1" applyFont="1" applyFill="1" applyAlignment="1">
      <alignment horizontal="left"/>
    </xf>
    <xf numFmtId="0" fontId="45" fillId="0" borderId="0" xfId="16" applyFont="1" applyFill="1"/>
    <xf numFmtId="43" fontId="39" fillId="0" borderId="0" xfId="1" applyFont="1" applyFill="1"/>
    <xf numFmtId="49" fontId="39" fillId="0" borderId="0" xfId="16" applyNumberFormat="1" applyFont="1" applyFill="1" applyAlignment="1">
      <alignment horizontal="center"/>
    </xf>
    <xf numFmtId="1" fontId="39" fillId="0" borderId="0" xfId="16" applyNumberFormat="1" applyFont="1" applyFill="1" applyAlignment="1">
      <alignment horizontal="left"/>
    </xf>
    <xf numFmtId="0" fontId="39" fillId="0" borderId="0" xfId="16" applyFont="1" applyFill="1" applyAlignment="1">
      <alignment horizontal="left"/>
    </xf>
    <xf numFmtId="49" fontId="39" fillId="0" borderId="0" xfId="2" applyNumberFormat="1" applyFont="1" applyFill="1" applyAlignment="1">
      <alignment horizontal="left" indent="1"/>
    </xf>
    <xf numFmtId="1" fontId="39" fillId="6" borderId="0" xfId="2" quotePrefix="1" applyNumberFormat="1" applyFont="1" applyFill="1" applyAlignment="1">
      <alignment horizontal="right"/>
    </xf>
    <xf numFmtId="43" fontId="39" fillId="6" borderId="0" xfId="20" applyFont="1" applyFill="1" applyBorder="1" applyAlignment="1"/>
    <xf numFmtId="1" fontId="39" fillId="6" borderId="0" xfId="2" quotePrefix="1" applyNumberFormat="1" applyFont="1" applyFill="1" applyAlignment="1">
      <alignment horizontal="right" indent="1"/>
    </xf>
    <xf numFmtId="0" fontId="68" fillId="0" borderId="0" xfId="16" quotePrefix="1" applyFont="1" applyFill="1" applyAlignment="1">
      <alignment horizontal="left" indent="1"/>
    </xf>
    <xf numFmtId="16" fontId="45" fillId="0" borderId="0" xfId="16" applyNumberFormat="1" applyFont="1" applyFill="1"/>
    <xf numFmtId="16" fontId="39" fillId="0" borderId="0" xfId="16" applyNumberFormat="1" applyFont="1" applyFill="1"/>
    <xf numFmtId="0" fontId="69" fillId="0" borderId="0" xfId="16" quotePrefix="1" applyFont="1" applyFill="1" applyAlignment="1">
      <alignment horizontal="left" indent="2"/>
    </xf>
    <xf numFmtId="0" fontId="68" fillId="0" borderId="0" xfId="16" quotePrefix="1" applyFont="1" applyFill="1" applyAlignment="1">
      <alignment horizontal="left"/>
    </xf>
    <xf numFmtId="0" fontId="40" fillId="0" borderId="0" xfId="16" quotePrefix="1" applyFont="1" applyFill="1" applyAlignment="1">
      <alignment horizontal="left" vertical="top"/>
    </xf>
    <xf numFmtId="185" fontId="40" fillId="0" borderId="0" xfId="16" quotePrefix="1" applyNumberFormat="1" applyFont="1" applyAlignment="1">
      <alignment vertical="center"/>
    </xf>
    <xf numFmtId="0" fontId="36" fillId="0" borderId="0" xfId="16" quotePrefix="1" applyFont="1" applyAlignment="1">
      <alignment horizontal="left"/>
    </xf>
    <xf numFmtId="0" fontId="34" fillId="0" borderId="0" xfId="0" applyFont="1" applyBorder="1" applyAlignment="1">
      <alignment horizontal="right"/>
    </xf>
    <xf numFmtId="43" fontId="34" fillId="0" borderId="0" xfId="1" applyFont="1" applyFill="1" applyBorder="1"/>
    <xf numFmtId="166" fontId="48" fillId="5" borderId="0" xfId="16" applyNumberFormat="1" applyFont="1" applyFill="1" applyAlignment="1">
      <alignment horizontal="center"/>
    </xf>
    <xf numFmtId="10" fontId="36" fillId="5" borderId="0" xfId="19" applyNumberFormat="1" applyFont="1" applyFill="1" applyAlignment="1">
      <alignment horizontal="center"/>
    </xf>
    <xf numFmtId="1" fontId="35" fillId="0" borderId="0" xfId="16" quotePrefix="1" applyNumberFormat="1" applyFont="1" applyAlignment="1">
      <alignment horizontal="left"/>
    </xf>
    <xf numFmtId="0" fontId="75" fillId="0" borderId="0" xfId="0" quotePrefix="1" applyFont="1" applyAlignment="1">
      <alignment horizontal="left"/>
    </xf>
    <xf numFmtId="0" fontId="44" fillId="0" borderId="0" xfId="0" applyFont="1" applyAlignment="1">
      <alignment horizontal="left"/>
    </xf>
    <xf numFmtId="0" fontId="44" fillId="0" borderId="0" xfId="0" applyFont="1"/>
    <xf numFmtId="0" fontId="75" fillId="0" borderId="0" xfId="0" quotePrefix="1" applyFont="1" applyAlignment="1">
      <alignment horizontal="left" indent="1"/>
    </xf>
    <xf numFmtId="0" fontId="75" fillId="7" borderId="6" xfId="0" applyFont="1" applyFill="1" applyBorder="1" applyAlignment="1">
      <alignment horizontal="center"/>
    </xf>
    <xf numFmtId="0" fontId="75" fillId="7" borderId="6" xfId="0" applyFont="1" applyFill="1" applyBorder="1" applyAlignment="1">
      <alignment horizontal="left"/>
    </xf>
    <xf numFmtId="186" fontId="41" fillId="0" borderId="0" xfId="0" quotePrefix="1" applyNumberFormat="1" applyFont="1" applyAlignment="1">
      <alignment horizontal="center"/>
    </xf>
    <xf numFmtId="186" fontId="41" fillId="0" borderId="0" xfId="0" quotePrefix="1" applyNumberFormat="1" applyFont="1" applyAlignment="1">
      <alignment horizontal="left"/>
    </xf>
    <xf numFmtId="0" fontId="41" fillId="0" borderId="0" xfId="0" applyFont="1" applyAlignment="1">
      <alignment horizontal="left"/>
    </xf>
    <xf numFmtId="43" fontId="41" fillId="5" borderId="32" xfId="1" applyFont="1" applyFill="1" applyBorder="1" applyAlignment="1">
      <alignment horizontal="left"/>
    </xf>
    <xf numFmtId="10" fontId="44" fillId="5" borderId="33" xfId="25" applyNumberFormat="1" applyFont="1" applyFill="1" applyBorder="1"/>
    <xf numFmtId="43" fontId="41" fillId="6" borderId="32" xfId="1" applyFont="1" applyFill="1" applyBorder="1" applyAlignment="1">
      <alignment horizontal="left"/>
    </xf>
    <xf numFmtId="10" fontId="44" fillId="6" borderId="33" xfId="25" applyNumberFormat="1" applyFont="1" applyFill="1" applyBorder="1"/>
    <xf numFmtId="43" fontId="41" fillId="21" borderId="32" xfId="1" applyFont="1" applyFill="1" applyBorder="1" applyAlignment="1">
      <alignment horizontal="left"/>
    </xf>
    <xf numFmtId="10" fontId="44" fillId="21" borderId="33" xfId="25" applyNumberFormat="1" applyFont="1" applyFill="1" applyBorder="1"/>
    <xf numFmtId="43" fontId="39" fillId="0" borderId="34" xfId="1" applyFont="1" applyBorder="1" applyAlignment="1">
      <alignment horizontal="left"/>
    </xf>
    <xf numFmtId="10" fontId="44" fillId="0" borderId="35" xfId="1" applyNumberFormat="1" applyFont="1" applyBorder="1"/>
    <xf numFmtId="0" fontId="44" fillId="0" borderId="0" xfId="0" quotePrefix="1" applyFont="1" applyAlignment="1">
      <alignment horizontal="left"/>
    </xf>
    <xf numFmtId="43" fontId="44" fillId="5" borderId="36" xfId="1" applyFont="1" applyFill="1" applyBorder="1" applyAlignment="1">
      <alignment horizontal="left"/>
    </xf>
    <xf numFmtId="10" fontId="44" fillId="5" borderId="37" xfId="25" applyNumberFormat="1" applyFont="1" applyFill="1" applyBorder="1"/>
    <xf numFmtId="43" fontId="0" fillId="0" borderId="0" xfId="1" applyFont="1"/>
    <xf numFmtId="43" fontId="44" fillId="5" borderId="32" xfId="1" applyFont="1" applyFill="1" applyBorder="1" applyAlignment="1">
      <alignment horizontal="left"/>
    </xf>
    <xf numFmtId="43" fontId="44" fillId="6" borderId="32" xfId="1" applyFont="1" applyFill="1" applyBorder="1" applyAlignment="1">
      <alignment horizontal="left"/>
    </xf>
    <xf numFmtId="0" fontId="44" fillId="24" borderId="0" xfId="0" quotePrefix="1" applyFont="1" applyFill="1" applyAlignment="1">
      <alignment horizontal="left"/>
    </xf>
    <xf numFmtId="43" fontId="44" fillId="21" borderId="32" xfId="1" applyFont="1" applyFill="1" applyBorder="1" applyAlignment="1">
      <alignment horizontal="left"/>
    </xf>
    <xf numFmtId="43" fontId="44" fillId="0" borderId="11" xfId="0" applyNumberFormat="1" applyFont="1" applyBorder="1" applyAlignment="1">
      <alignment horizontal="left"/>
    </xf>
    <xf numFmtId="10" fontId="44" fillId="0" borderId="14" xfId="1" applyNumberFormat="1" applyFont="1" applyBorder="1"/>
    <xf numFmtId="43" fontId="41" fillId="5" borderId="36" xfId="1" applyFont="1" applyFill="1" applyBorder="1" applyAlignment="1">
      <alignment horizontal="left"/>
    </xf>
    <xf numFmtId="0" fontId="41" fillId="0" borderId="0" xfId="0" quotePrefix="1" applyFont="1" applyAlignment="1">
      <alignment horizontal="left"/>
    </xf>
    <xf numFmtId="0" fontId="45" fillId="0" borderId="0" xfId="0" applyFont="1"/>
    <xf numFmtId="0" fontId="43" fillId="0" borderId="0" xfId="0" applyFont="1"/>
    <xf numFmtId="186" fontId="41" fillId="2" borderId="0" xfId="0" quotePrefix="1" applyNumberFormat="1" applyFont="1" applyFill="1" applyAlignment="1">
      <alignment horizontal="center"/>
    </xf>
    <xf numFmtId="186" fontId="41" fillId="2" borderId="0" xfId="0" quotePrefix="1" applyNumberFormat="1" applyFont="1" applyFill="1" applyAlignment="1">
      <alignment horizontal="left"/>
    </xf>
    <xf numFmtId="0" fontId="41" fillId="2" borderId="0" xfId="0" quotePrefix="1" applyFont="1" applyFill="1" applyAlignment="1">
      <alignment horizontal="left"/>
    </xf>
    <xf numFmtId="0" fontId="45" fillId="2" borderId="0" xfId="0" applyFont="1" applyFill="1"/>
    <xf numFmtId="0" fontId="0" fillId="2" borderId="0" xfId="0" applyFill="1"/>
    <xf numFmtId="0" fontId="44" fillId="2" borderId="0" xfId="0" applyFont="1" applyFill="1" applyAlignment="1">
      <alignment horizontal="left"/>
    </xf>
    <xf numFmtId="0" fontId="44" fillId="2" borderId="0" xfId="0" quotePrefix="1" applyFont="1" applyFill="1" applyAlignment="1">
      <alignment horizontal="left"/>
    </xf>
    <xf numFmtId="0" fontId="0" fillId="7" borderId="3" xfId="0" applyFill="1" applyBorder="1" applyAlignment="1">
      <alignment horizontal="center"/>
    </xf>
    <xf numFmtId="173" fontId="39" fillId="0" borderId="0" xfId="16" applyNumberFormat="1" applyFont="1" applyAlignment="1">
      <alignment horizontal="left"/>
    </xf>
    <xf numFmtId="164" fontId="5" fillId="0" borderId="0" xfId="2" applyNumberFormat="1" applyFont="1" applyAlignment="1">
      <alignment horizontal="center"/>
    </xf>
    <xf numFmtId="164" fontId="71" fillId="0" borderId="0" xfId="2" applyNumberFormat="1" applyFont="1" applyAlignment="1">
      <alignment horizontal="center" wrapText="1"/>
    </xf>
    <xf numFmtId="164" fontId="5" fillId="0" borderId="0" xfId="2" applyNumberFormat="1" applyFont="1" applyAlignment="1">
      <alignment horizontal="right" wrapText="1"/>
    </xf>
    <xf numFmtId="44" fontId="68" fillId="0" borderId="0" xfId="27" quotePrefix="1" applyNumberFormat="1" applyFont="1" applyAlignment="1">
      <alignment horizontal="left" indent="1"/>
    </xf>
    <xf numFmtId="0" fontId="45" fillId="0" borderId="0" xfId="16" applyFont="1" applyAlignment="1">
      <alignment horizontal="right"/>
    </xf>
    <xf numFmtId="43" fontId="86" fillId="0" borderId="0" xfId="27" quotePrefix="1" applyNumberFormat="1" applyFont="1" applyAlignment="1">
      <alignment horizontal="left" indent="1"/>
    </xf>
    <xf numFmtId="43" fontId="68" fillId="0" borderId="5" xfId="27" quotePrefix="1" applyNumberFormat="1" applyFont="1" applyFill="1" applyBorder="1" applyAlignment="1">
      <alignment horizontal="left" indent="1"/>
    </xf>
    <xf numFmtId="6" fontId="39" fillId="0" borderId="0" xfId="16" applyNumberFormat="1" applyFont="1"/>
    <xf numFmtId="0" fontId="86" fillId="0" borderId="0" xfId="16" quotePrefix="1" applyFont="1" applyAlignment="1">
      <alignment horizontal="right" indent="1"/>
    </xf>
    <xf numFmtId="43" fontId="86" fillId="0" borderId="3" xfId="27" quotePrefix="1" applyNumberFormat="1" applyFont="1" applyBorder="1" applyAlignment="1">
      <alignment horizontal="left" indent="1"/>
    </xf>
    <xf numFmtId="0" fontId="78" fillId="22" borderId="30" xfId="0" applyFont="1" applyFill="1" applyBorder="1" applyAlignment="1">
      <alignment horizontal="center" wrapText="1"/>
    </xf>
    <xf numFmtId="7" fontId="48" fillId="5" borderId="0" xfId="16" applyNumberFormat="1" applyFont="1" applyFill="1" applyAlignment="1">
      <alignment horizontal="right"/>
    </xf>
    <xf numFmtId="0" fontId="34" fillId="7" borderId="0" xfId="14" applyFont="1" applyFill="1" applyAlignment="1">
      <alignment horizontal="center"/>
    </xf>
    <xf numFmtId="43" fontId="1" fillId="0" borderId="0" xfId="14" applyNumberFormat="1" applyFill="1"/>
    <xf numFmtId="165" fontId="5" fillId="0" borderId="3" xfId="3" applyFont="1" applyFill="1" applyBorder="1"/>
    <xf numFmtId="4" fontId="13" fillId="0" borderId="0" xfId="2" applyNumberFormat="1" applyFont="1" applyBorder="1" applyAlignment="1">
      <alignment horizontal="center"/>
    </xf>
    <xf numFmtId="169" fontId="36" fillId="0" borderId="0" xfId="25" applyNumberFormat="1" applyFont="1" applyBorder="1" applyAlignment="1"/>
    <xf numFmtId="187" fontId="36" fillId="0" borderId="0" xfId="25" applyNumberFormat="1" applyFont="1" applyBorder="1" applyAlignment="1"/>
    <xf numFmtId="0" fontId="52" fillId="0" borderId="0" xfId="16" applyNumberFormat="1" applyFont="1"/>
    <xf numFmtId="187" fontId="36" fillId="0" borderId="0" xfId="25" applyNumberFormat="1" applyFont="1"/>
    <xf numFmtId="0" fontId="34" fillId="0" borderId="0" xfId="14" applyFont="1" applyFill="1" applyAlignment="1">
      <alignment horizontal="center" wrapText="1"/>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11"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36" fillId="0" borderId="4" xfId="16" applyFont="1" applyBorder="1" applyAlignment="1">
      <alignment horizontal="left"/>
    </xf>
    <xf numFmtId="164" fontId="36" fillId="5" borderId="0" xfId="16" applyNumberFormat="1" applyFont="1" applyFill="1" applyAlignment="1">
      <alignment horizontal="center"/>
    </xf>
    <xf numFmtId="0" fontId="36" fillId="0" borderId="0" xfId="16" applyFont="1" applyAlignment="1">
      <alignment horizontal="left"/>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0" fontId="36" fillId="0" borderId="3" xfId="16" applyFont="1" applyBorder="1" applyAlignment="1">
      <alignment horizontal="left" wrapText="1"/>
    </xf>
    <xf numFmtId="164" fontId="36" fillId="0" borderId="3" xfId="16" applyNumberFormat="1" applyFont="1" applyBorder="1" applyAlignment="1">
      <alignment horizontal="center" wrapText="1"/>
    </xf>
    <xf numFmtId="0" fontId="31" fillId="0" borderId="0" xfId="2" applyFont="1" applyAlignment="1">
      <alignment horizontal="left"/>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0" xfId="16" applyFont="1" applyAlignment="1">
      <alignment horizontal="left" indent="2"/>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0" xfId="16" quotePrefix="1" applyFont="1" applyAlignment="1">
      <alignment horizontal="left"/>
    </xf>
    <xf numFmtId="0" fontId="36" fillId="0" borderId="0" xfId="16" quotePrefix="1" applyFont="1" applyAlignment="1">
      <alignment horizontal="center"/>
    </xf>
    <xf numFmtId="0" fontId="49" fillId="0" borderId="0" xfId="16" quotePrefix="1" applyFont="1" applyAlignment="1">
      <alignment horizontal="right"/>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0" fontId="36" fillId="0" borderId="0" xfId="16" applyFont="1" applyAlignment="1">
      <alignment horizontal="right"/>
    </xf>
    <xf numFmtId="0" fontId="36" fillId="0" borderId="0" xfId="16" applyFont="1" applyAlignment="1">
      <alignment horizontal="center"/>
    </xf>
    <xf numFmtId="0" fontId="36" fillId="0" borderId="3" xfId="16" applyFont="1" applyBorder="1" applyAlignment="1">
      <alignment horizontal="center"/>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5" fillId="0" borderId="5" xfId="2" applyFont="1" applyBorder="1" applyAlignment="1">
      <alignment horizontal="left" indent="3"/>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applyFont="1" applyAlignment="1">
      <alignment horizontal="right"/>
    </xf>
    <xf numFmtId="0" fontId="23" fillId="0" borderId="0" xfId="16" applyFont="1" applyAlignment="1">
      <alignment horizontal="left" vertical="center"/>
    </xf>
    <xf numFmtId="0" fontId="23" fillId="0" borderId="0" xfId="16" applyFont="1" applyAlignment="1">
      <alignment horizontal="left" vertical="center" wrapText="1"/>
    </xf>
    <xf numFmtId="7" fontId="36" fillId="0" borderId="0" xfId="16" applyNumberFormat="1" applyFont="1" applyAlignment="1">
      <alignment horizontal="right"/>
    </xf>
    <xf numFmtId="0" fontId="36" fillId="4" borderId="3" xfId="16" applyFont="1" applyFill="1" applyBorder="1" applyAlignment="1">
      <alignment horizontal="center"/>
    </xf>
    <xf numFmtId="3" fontId="36" fillId="0" borderId="0" xfId="16" quotePrefix="1" applyNumberFormat="1" applyFont="1" applyAlignment="1">
      <alignment horizontal="center"/>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5" fillId="0" borderId="0" xfId="2" applyFont="1" applyAlignment="1">
      <alignment horizontal="left" indent="3"/>
    </xf>
    <xf numFmtId="0" fontId="5" fillId="0" borderId="5" xfId="2" applyFont="1" applyBorder="1" applyAlignment="1">
      <alignment horizontal="left" wrapText="1" indent="3"/>
    </xf>
    <xf numFmtId="0" fontId="5" fillId="0" borderId="3" xfId="2" applyFont="1" applyBorder="1" applyAlignment="1">
      <alignment horizontal="left" indent="3"/>
    </xf>
    <xf numFmtId="164" fontId="71" fillId="0" borderId="0" xfId="2" applyNumberFormat="1" applyFont="1" applyAlignment="1">
      <alignment wrapText="1"/>
    </xf>
    <xf numFmtId="2" fontId="11" fillId="5" borderId="5" xfId="2" applyNumberFormat="1" applyFont="1" applyFill="1" applyBorder="1" applyAlignment="1">
      <alignment horizontal="center"/>
    </xf>
    <xf numFmtId="0" fontId="5" fillId="0" borderId="0" xfId="2" applyFont="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28" fillId="0" borderId="0" xfId="2" applyFont="1" applyAlignment="1">
      <alignment horizontal="left"/>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0" fontId="5" fillId="5" borderId="0" xfId="0" applyFont="1" applyFill="1" applyAlignment="1">
      <alignment horizontal="center"/>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5" fillId="5" borderId="3" xfId="0" applyFont="1" applyFill="1" applyBorder="1" applyAlignment="1">
      <alignment horizontal="left"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2" fontId="30" fillId="5" borderId="5" xfId="0" applyNumberFormat="1" applyFont="1" applyFill="1" applyBorder="1" applyAlignment="1">
      <alignment horizontal="center"/>
    </xf>
    <xf numFmtId="164" fontId="5" fillId="5" borderId="4" xfId="0" applyNumberFormat="1" applyFont="1" applyFill="1" applyBorder="1" applyAlignment="1">
      <alignment horizontal="center"/>
    </xf>
    <xf numFmtId="0" fontId="5" fillId="5" borderId="0" xfId="0" applyFont="1" applyFill="1" applyAlignment="1">
      <alignment horizontal="left" indent="3"/>
    </xf>
    <xf numFmtId="0" fontId="27" fillId="0" borderId="0" xfId="2" applyFont="1" applyAlignment="1">
      <alignment horizontal="left" wrapText="1"/>
    </xf>
    <xf numFmtId="0" fontId="23" fillId="0" borderId="0" xfId="2" applyFont="1" applyAlignment="1">
      <alignment horizontal="left" wrapText="1"/>
    </xf>
    <xf numFmtId="0" fontId="28" fillId="0" borderId="0" xfId="2" applyFont="1" applyAlignment="1">
      <alignment horizontal="left" wrapText="1"/>
    </xf>
    <xf numFmtId="164" fontId="5" fillId="5" borderId="0" xfId="0" applyNumberFormat="1" applyFont="1" applyFill="1" applyAlignment="1">
      <alignment horizontal="center"/>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4" fontId="11" fillId="5" borderId="5" xfId="0" applyNumberFormat="1" applyFont="1" applyFill="1" applyBorder="1" applyAlignment="1">
      <alignment horizontal="center" vertical="center" wrapText="1"/>
    </xf>
    <xf numFmtId="0" fontId="5" fillId="5" borderId="3" xfId="0" applyFont="1" applyFill="1" applyBorder="1" applyAlignment="1">
      <alignment horizontal="left" indent="3"/>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4" fontId="11" fillId="5" borderId="5" xfId="0" applyNumberFormat="1" applyFont="1" applyFill="1" applyBorder="1" applyAlignment="1">
      <alignment horizontal="center"/>
    </xf>
    <xf numFmtId="0" fontId="5" fillId="5" borderId="0" xfId="0" applyFont="1" applyFill="1" applyAlignment="1">
      <alignment horizontal="right"/>
    </xf>
    <xf numFmtId="0" fontId="5" fillId="0" borderId="0" xfId="2" applyFont="1" applyAlignment="1">
      <alignment horizontal="right"/>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7" fontId="5" fillId="0" borderId="4" xfId="2" applyNumberFormat="1" applyFont="1" applyBorder="1" applyAlignment="1">
      <alignment horizontal="right"/>
    </xf>
    <xf numFmtId="7" fontId="5" fillId="0" borderId="0" xfId="2" applyNumberFormat="1" applyFont="1" applyAlignment="1">
      <alignment horizontal="right"/>
    </xf>
    <xf numFmtId="0" fontId="5" fillId="5" borderId="0" xfId="0" applyFont="1" applyFill="1" applyAlignment="1">
      <alignment horizontal="left" wrapText="1" indent="2"/>
    </xf>
    <xf numFmtId="0" fontId="5" fillId="5" borderId="5" xfId="0" applyFont="1" applyFill="1" applyBorder="1" applyAlignment="1">
      <alignment horizontal="left" indent="3"/>
    </xf>
    <xf numFmtId="0" fontId="5" fillId="5" borderId="5" xfId="0" applyFont="1" applyFill="1" applyBorder="1" applyAlignment="1">
      <alignment horizontal="left" wrapText="1" indent="3"/>
    </xf>
    <xf numFmtId="166" fontId="5" fillId="5" borderId="0" xfId="0" applyNumberFormat="1" applyFont="1" applyFill="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30" fillId="5" borderId="3" xfId="0" applyFont="1" applyFill="1" applyBorder="1" applyAlignment="1">
      <alignment horizontal="center"/>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11" fillId="5" borderId="5" xfId="0" applyFont="1" applyFill="1" applyBorder="1" applyAlignment="1">
      <alignment horizontal="center"/>
    </xf>
    <xf numFmtId="7" fontId="5" fillId="5" borderId="4" xfId="0" applyNumberFormat="1" applyFont="1" applyFill="1" applyBorder="1" applyAlignment="1">
      <alignment horizontal="right"/>
    </xf>
    <xf numFmtId="0" fontId="5" fillId="5" borderId="3" xfId="0" applyFont="1" applyFill="1" applyBorder="1" applyAlignment="1">
      <alignment horizontal="center"/>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43" fontId="11" fillId="0" borderId="3" xfId="1" applyFont="1" applyFill="1" applyBorder="1" applyAlignment="1">
      <alignment horizontal="center"/>
    </xf>
    <xf numFmtId="3" fontId="5" fillId="5" borderId="0" xfId="0" quotePrefix="1" applyNumberFormat="1" applyFont="1" applyFill="1" applyAlignment="1">
      <alignment horizontal="center"/>
    </xf>
    <xf numFmtId="169" fontId="13" fillId="0" borderId="0" xfId="2" applyNumberFormat="1" applyFont="1" applyAlignment="1">
      <alignment horizontal="left" indent="2"/>
    </xf>
    <xf numFmtId="0" fontId="5" fillId="0" borderId="4" xfId="2" applyFont="1" applyBorder="1" applyAlignment="1">
      <alignment horizontal="left"/>
    </xf>
    <xf numFmtId="0" fontId="5" fillId="0" borderId="0" xfId="2" applyFont="1" applyAlignment="1">
      <alignment horizontal="left" wrapText="1"/>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0" fontId="23" fillId="5" borderId="0" xfId="0" applyFont="1" applyFill="1" applyAlignment="1">
      <alignment horizontal="left" wrapText="1"/>
    </xf>
    <xf numFmtId="0" fontId="23" fillId="5" borderId="0" xfId="0" applyFont="1" applyFill="1" applyAlignment="1">
      <alignment horizontal="left"/>
    </xf>
    <xf numFmtId="4" fontId="11" fillId="0" borderId="0" xfId="2" applyNumberFormat="1" applyFont="1" applyAlignment="1">
      <alignment horizontal="center" vertical="center" wrapText="1"/>
    </xf>
    <xf numFmtId="4" fontId="11" fillId="0" borderId="3" xfId="2" applyNumberFormat="1" applyFont="1" applyBorder="1" applyAlignment="1">
      <alignment horizontal="center" vertical="center" wrapText="1"/>
    </xf>
    <xf numFmtId="2" fontId="5" fillId="0" borderId="7"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2" fontId="5" fillId="0" borderId="0" xfId="2" applyNumberFormat="1" applyFont="1" applyAlignment="1">
      <alignment horizontal="center"/>
    </xf>
    <xf numFmtId="2" fontId="5" fillId="0" borderId="4" xfId="2" applyNumberFormat="1" applyFont="1" applyBorder="1" applyAlignment="1">
      <alignment horizontal="center"/>
    </xf>
    <xf numFmtId="2" fontId="5" fillId="0" borderId="3" xfId="2" applyNumberFormat="1" applyFont="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164" fontId="5" fillId="5" borderId="0" xfId="2" applyNumberFormat="1" applyFont="1" applyFill="1" applyAlignment="1">
      <alignment horizontal="center"/>
    </xf>
    <xf numFmtId="164" fontId="5" fillId="0" borderId="0" xfId="2" applyNumberFormat="1" applyFont="1" applyAlignment="1">
      <alignment horizontal="center"/>
    </xf>
    <xf numFmtId="0" fontId="4" fillId="0" borderId="2"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right"/>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43" fontId="11" fillId="0" borderId="3" xfId="2" applyNumberFormat="1" applyFont="1" applyBorder="1" applyAlignment="1">
      <alignment horizontal="center"/>
    </xf>
    <xf numFmtId="4" fontId="22" fillId="0" borderId="0" xfId="2" applyNumberFormat="1" applyFont="1" applyAlignment="1">
      <alignment horizontal="left"/>
    </xf>
    <xf numFmtId="164" fontId="5" fillId="0" borderId="0" xfId="2" applyNumberFormat="1" applyFont="1" applyAlignment="1">
      <alignment wrapText="1"/>
    </xf>
    <xf numFmtId="4" fontId="11" fillId="0" borderId="4" xfId="2" applyNumberFormat="1" applyFont="1" applyBorder="1" applyAlignment="1">
      <alignment horizontal="center" vertical="center" wrapText="1"/>
    </xf>
    <xf numFmtId="164" fontId="5" fillId="0" borderId="0" xfId="2" applyNumberFormat="1" applyFont="1" applyAlignment="1">
      <alignment horizontal="right" wrapText="1"/>
    </xf>
    <xf numFmtId="43" fontId="13" fillId="0" borderId="3" xfId="1" applyFont="1" applyBorder="1" applyAlignment="1">
      <alignment horizontal="center"/>
    </xf>
    <xf numFmtId="43" fontId="11" fillId="0" borderId="3" xfId="1" applyFont="1" applyBorder="1" applyAlignment="1">
      <alignment horizontal="center"/>
    </xf>
    <xf numFmtId="164" fontId="72" fillId="5" borderId="0" xfId="0" applyNumberFormat="1" applyFont="1" applyFill="1" applyAlignment="1">
      <alignment horizontal="right"/>
    </xf>
    <xf numFmtId="4" fontId="32" fillId="0" borderId="0" xfId="2" applyNumberFormat="1" applyFont="1" applyAlignment="1">
      <alignment horizontal="left" indent="1"/>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0" xfId="2" applyNumberFormat="1" applyFont="1" applyAlignment="1">
      <alignment horizontal="left" indent="2"/>
    </xf>
    <xf numFmtId="166" fontId="5" fillId="5" borderId="0" xfId="0" applyNumberFormat="1" applyFont="1" applyFill="1" applyAlignment="1">
      <alignment horizontal="left" indent="2"/>
    </xf>
  </cellXfs>
  <cellStyles count="28">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 5" xfId="24" xr:uid="{CCFD2768-ADAE-4494-9668-03FF36050254}"/>
    <cellStyle name="Comma_charter school revenue frame" xfId="6" xr:uid="{54A18062-2B6E-435D-9591-679221AA979E}"/>
    <cellStyle name="Comma_charter school revenue frame 2" xfId="22" xr:uid="{881D83CA-369D-4FF1-8828-1DD9606B6256}"/>
    <cellStyle name="Currency" xfId="27" builtinId="4"/>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Hyperlink" xfId="26" builtinId="8"/>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Normal 5" xfId="23" xr:uid="{039F2D1D-1439-4D92-A96F-2903684CE684}"/>
    <cellStyle name="Percent" xfId="25" builtinId="5"/>
    <cellStyle name="Percent 2" xfId="5" xr:uid="{5229ADFB-D40A-4B60-9737-6A11FF83C6E0}"/>
    <cellStyle name="Percent 3" xfId="19" xr:uid="{6227FAB4-7B4E-431E-8FC9-D4621A766CA4}"/>
    <cellStyle name="Percent 3 8" xfId="13" xr:uid="{9DF5C671-750A-41AF-AD37-8977655559A3}"/>
  </cellStyles>
  <dxfs count="17">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FFFF99"/>
      <color rgb="FF0000FF"/>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hyperlink" Target="https://web01.fldoe.org/CSA/PostToWeb/SponsoringEntitiesSearch"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8190-7C49-453E-BD24-94A5DAAD9D46}">
  <dimension ref="A1:R243"/>
  <sheetViews>
    <sheetView workbookViewId="0">
      <pane ySplit="4" topLeftCell="A5" activePane="bottomLeft" state="frozen"/>
      <selection pane="bottomLeft" activeCell="I19" sqref="I19"/>
    </sheetView>
  </sheetViews>
  <sheetFormatPr defaultColWidth="9.140625" defaultRowHeight="12.75" x14ac:dyDescent="0.2"/>
  <cols>
    <col min="1" max="1" width="23.42578125" style="246" customWidth="1"/>
    <col min="2" max="2" width="9.140625" style="246"/>
    <col min="3" max="3" width="14.85546875" style="247" bestFit="1" customWidth="1"/>
    <col min="4" max="5" width="18.42578125" style="247" customWidth="1"/>
    <col min="6" max="6" width="9.140625" style="247"/>
    <col min="7" max="7" width="14.7109375" style="247" bestFit="1" customWidth="1"/>
    <col min="8" max="9" width="18.42578125" style="247" bestFit="1" customWidth="1"/>
    <col min="10" max="10" width="9.140625" style="247"/>
    <col min="11" max="11" width="16.5703125" style="247" bestFit="1" customWidth="1"/>
    <col min="12" max="16384" width="9.140625" style="246"/>
  </cols>
  <sheetData>
    <row r="1" spans="1:17" x14ac:dyDescent="0.2">
      <c r="A1" s="291"/>
    </row>
    <row r="3" spans="1:17" x14ac:dyDescent="0.2">
      <c r="C3" s="916" t="s">
        <v>248</v>
      </c>
      <c r="D3" s="917"/>
      <c r="E3" s="918"/>
      <c r="G3" s="919" t="s">
        <v>247</v>
      </c>
      <c r="H3" s="919"/>
      <c r="I3" s="919"/>
      <c r="K3" s="290" t="s">
        <v>216</v>
      </c>
    </row>
    <row r="4" spans="1:17" x14ac:dyDescent="0.2">
      <c r="C4" s="288" t="s">
        <v>246</v>
      </c>
      <c r="D4" s="288" t="s">
        <v>245</v>
      </c>
      <c r="E4" s="289" t="s">
        <v>244</v>
      </c>
      <c r="F4" s="259"/>
      <c r="G4" s="288" t="s">
        <v>246</v>
      </c>
      <c r="H4" s="288" t="s">
        <v>245</v>
      </c>
      <c r="I4" s="289" t="s">
        <v>244</v>
      </c>
      <c r="J4" s="259"/>
      <c r="K4" s="288" t="s">
        <v>243</v>
      </c>
    </row>
    <row r="5" spans="1:17" x14ac:dyDescent="0.2">
      <c r="C5" s="259"/>
      <c r="D5" s="259"/>
      <c r="E5" s="259"/>
      <c r="F5" s="259"/>
      <c r="G5" s="259"/>
      <c r="H5" s="259"/>
      <c r="I5" s="259"/>
      <c r="J5" s="259"/>
      <c r="K5" s="259"/>
    </row>
    <row r="6" spans="1:17" x14ac:dyDescent="0.2">
      <c r="C6" s="259"/>
      <c r="D6" s="259"/>
      <c r="E6" s="259"/>
      <c r="F6" s="259"/>
      <c r="G6" s="259"/>
      <c r="H6" s="259"/>
      <c r="I6" s="259"/>
      <c r="J6" s="259"/>
      <c r="K6" s="259"/>
    </row>
    <row r="7" spans="1:17" x14ac:dyDescent="0.2">
      <c r="A7" s="287" t="s">
        <v>242</v>
      </c>
      <c r="B7" s="287"/>
      <c r="C7" s="286"/>
      <c r="D7" s="286"/>
      <c r="E7" s="286"/>
      <c r="F7" s="286"/>
      <c r="G7" s="286"/>
      <c r="H7" s="286"/>
      <c r="I7" s="286"/>
      <c r="J7" s="286"/>
      <c r="K7" s="286"/>
    </row>
    <row r="8" spans="1:17" x14ac:dyDescent="0.2">
      <c r="A8" s="250" t="s">
        <v>217</v>
      </c>
      <c r="C8" s="259">
        <v>42342</v>
      </c>
      <c r="D8" s="259"/>
      <c r="E8" s="259"/>
      <c r="F8" s="259"/>
      <c r="G8" s="259">
        <v>42459</v>
      </c>
      <c r="H8" s="259"/>
      <c r="I8" s="259"/>
      <c r="J8" s="259"/>
      <c r="K8" s="259">
        <v>42629</v>
      </c>
    </row>
    <row r="9" spans="1:17" x14ac:dyDescent="0.2">
      <c r="A9" s="250" t="s">
        <v>192</v>
      </c>
      <c r="C9" s="258">
        <v>42339</v>
      </c>
      <c r="D9" s="258"/>
      <c r="E9" s="258"/>
      <c r="F9" s="258"/>
      <c r="G9" s="258">
        <v>42491</v>
      </c>
      <c r="H9" s="258"/>
      <c r="I9" s="258"/>
      <c r="J9" s="258"/>
      <c r="K9" s="258">
        <v>42675</v>
      </c>
    </row>
    <row r="10" spans="1:17" x14ac:dyDescent="0.2">
      <c r="C10" s="259"/>
      <c r="D10" s="259"/>
      <c r="E10" s="259"/>
      <c r="F10" s="259"/>
      <c r="G10" s="259"/>
      <c r="H10" s="259"/>
      <c r="I10" s="259"/>
      <c r="J10" s="259"/>
      <c r="K10" s="259"/>
    </row>
    <row r="11" spans="1:17" x14ac:dyDescent="0.2">
      <c r="C11" s="259"/>
      <c r="D11" s="259"/>
      <c r="E11" s="259"/>
      <c r="F11" s="259"/>
      <c r="G11" s="259"/>
      <c r="H11" s="259"/>
      <c r="I11" s="259"/>
      <c r="J11" s="259"/>
      <c r="K11" s="259"/>
    </row>
    <row r="12" spans="1:17" x14ac:dyDescent="0.2">
      <c r="A12" s="285" t="s">
        <v>241</v>
      </c>
      <c r="B12" s="285"/>
      <c r="C12" s="284"/>
      <c r="D12" s="284"/>
      <c r="E12" s="284"/>
      <c r="F12" s="284"/>
      <c r="G12" s="284"/>
      <c r="H12" s="284"/>
      <c r="I12" s="284"/>
      <c r="J12" s="284"/>
      <c r="K12" s="284"/>
    </row>
    <row r="13" spans="1:17" x14ac:dyDescent="0.2">
      <c r="A13" s="250" t="s">
        <v>217</v>
      </c>
      <c r="C13" s="259">
        <v>42702</v>
      </c>
      <c r="D13" s="259"/>
      <c r="E13" s="259"/>
      <c r="F13" s="259"/>
      <c r="G13" s="259">
        <v>42817</v>
      </c>
      <c r="H13" s="259"/>
      <c r="I13" s="259"/>
      <c r="J13" s="259"/>
      <c r="K13" s="259">
        <v>42997</v>
      </c>
    </row>
    <row r="14" spans="1:17" x14ac:dyDescent="0.2">
      <c r="A14" s="250" t="s">
        <v>192</v>
      </c>
      <c r="C14" s="258">
        <v>42705</v>
      </c>
      <c r="D14" s="258"/>
      <c r="E14" s="258"/>
      <c r="F14" s="258"/>
      <c r="G14" s="258">
        <v>42826</v>
      </c>
      <c r="H14" s="258"/>
      <c r="I14" s="258"/>
      <c r="J14" s="258"/>
      <c r="K14" s="258">
        <v>43040</v>
      </c>
    </row>
    <row r="15" spans="1:17" x14ac:dyDescent="0.2">
      <c r="C15" s="259"/>
      <c r="D15" s="259"/>
      <c r="E15" s="259"/>
      <c r="F15" s="259"/>
      <c r="G15" s="259"/>
      <c r="H15" s="259"/>
      <c r="I15" s="259"/>
      <c r="J15" s="259"/>
      <c r="K15" s="259"/>
    </row>
    <row r="16" spans="1:17" x14ac:dyDescent="0.2">
      <c r="C16" s="259"/>
      <c r="D16" s="259"/>
      <c r="E16" s="259"/>
      <c r="F16" s="259"/>
      <c r="G16" s="259"/>
      <c r="H16" s="259"/>
      <c r="I16" s="259"/>
      <c r="J16" s="259"/>
      <c r="K16" s="259"/>
      <c r="Q16" s="280"/>
    </row>
    <row r="17" spans="1:18" x14ac:dyDescent="0.2">
      <c r="A17" s="283" t="s">
        <v>240</v>
      </c>
      <c r="B17" s="283"/>
      <c r="C17" s="282"/>
      <c r="D17" s="282"/>
      <c r="E17" s="282"/>
      <c r="F17" s="282"/>
      <c r="G17" s="282"/>
      <c r="H17" s="282"/>
      <c r="I17" s="282"/>
      <c r="J17" s="282"/>
      <c r="K17" s="282"/>
      <c r="Q17" s="280"/>
    </row>
    <row r="18" spans="1:18" x14ac:dyDescent="0.2">
      <c r="A18" s="250" t="s">
        <v>217</v>
      </c>
      <c r="C18" s="259">
        <v>43046</v>
      </c>
      <c r="D18" s="259"/>
      <c r="E18" s="259"/>
      <c r="F18" s="259"/>
      <c r="G18" s="259">
        <v>43218</v>
      </c>
      <c r="H18" s="259"/>
      <c r="I18" s="259"/>
      <c r="J18" s="259"/>
      <c r="K18" s="259">
        <v>43343</v>
      </c>
      <c r="R18" s="280"/>
    </row>
    <row r="19" spans="1:18" x14ac:dyDescent="0.2">
      <c r="A19" s="250" t="s">
        <v>193</v>
      </c>
      <c r="C19" s="259"/>
      <c r="D19" s="259"/>
      <c r="E19" s="259"/>
      <c r="F19" s="259"/>
      <c r="G19" s="259"/>
      <c r="H19" s="259"/>
      <c r="I19" s="259"/>
      <c r="J19" s="259"/>
      <c r="K19" s="259">
        <v>43647</v>
      </c>
      <c r="R19" s="280"/>
    </row>
    <row r="20" spans="1:18" x14ac:dyDescent="0.2">
      <c r="A20" s="250" t="s">
        <v>192</v>
      </c>
      <c r="C20" s="258">
        <v>43070</v>
      </c>
      <c r="D20" s="258"/>
      <c r="E20" s="258"/>
      <c r="F20" s="258"/>
      <c r="G20" s="258">
        <v>43221</v>
      </c>
      <c r="H20" s="258"/>
      <c r="I20" s="258"/>
      <c r="J20" s="258"/>
      <c r="K20" s="281">
        <v>43708</v>
      </c>
      <c r="R20" s="280"/>
    </row>
    <row r="21" spans="1:18" x14ac:dyDescent="0.2">
      <c r="C21" s="267" t="s">
        <v>218</v>
      </c>
      <c r="D21" s="267"/>
      <c r="E21" s="267"/>
      <c r="F21" s="259"/>
      <c r="G21" s="259"/>
      <c r="H21" s="259"/>
      <c r="I21" s="259"/>
      <c r="J21" s="259"/>
      <c r="K21" s="259"/>
    </row>
    <row r="22" spans="1:18" x14ac:dyDescent="0.2">
      <c r="C22" s="259"/>
      <c r="D22" s="259"/>
      <c r="E22" s="259"/>
      <c r="F22" s="259"/>
      <c r="G22" s="259"/>
      <c r="H22" s="259"/>
      <c r="I22" s="259"/>
      <c r="J22" s="259"/>
      <c r="K22" s="259"/>
    </row>
    <row r="23" spans="1:18" x14ac:dyDescent="0.2">
      <c r="A23" s="250" t="s">
        <v>217</v>
      </c>
      <c r="C23" s="259">
        <v>43102</v>
      </c>
      <c r="D23" s="259"/>
      <c r="E23" s="259"/>
      <c r="F23" s="259"/>
      <c r="G23" s="249" t="s">
        <v>188</v>
      </c>
      <c r="H23" s="249"/>
      <c r="I23" s="249"/>
      <c r="J23" s="259"/>
      <c r="K23" s="249" t="s">
        <v>188</v>
      </c>
    </row>
    <row r="24" spans="1:18" x14ac:dyDescent="0.2">
      <c r="A24" s="250" t="s">
        <v>192</v>
      </c>
      <c r="C24" s="258">
        <v>43132</v>
      </c>
      <c r="D24" s="258"/>
      <c r="E24" s="258"/>
      <c r="F24" s="258"/>
      <c r="G24" s="249" t="s">
        <v>188</v>
      </c>
      <c r="H24" s="249"/>
      <c r="I24" s="249"/>
      <c r="J24" s="258"/>
      <c r="K24" s="249" t="s">
        <v>188</v>
      </c>
    </row>
    <row r="25" spans="1:18" x14ac:dyDescent="0.2">
      <c r="C25" s="267" t="s">
        <v>216</v>
      </c>
      <c r="D25" s="267"/>
      <c r="E25" s="267"/>
      <c r="F25" s="259"/>
      <c r="G25" s="249" t="s">
        <v>188</v>
      </c>
      <c r="H25" s="249"/>
      <c r="I25" s="249"/>
      <c r="J25" s="259"/>
      <c r="K25" s="249" t="s">
        <v>188</v>
      </c>
    </row>
    <row r="26" spans="1:18" x14ac:dyDescent="0.2">
      <c r="C26" s="259"/>
      <c r="D26" s="259"/>
      <c r="E26" s="259"/>
      <c r="F26" s="259"/>
      <c r="G26" s="259"/>
      <c r="H26" s="259"/>
      <c r="I26" s="259"/>
      <c r="J26" s="259"/>
      <c r="K26" s="259"/>
    </row>
    <row r="27" spans="1:18" x14ac:dyDescent="0.2">
      <c r="C27" s="259"/>
      <c r="D27" s="259"/>
      <c r="E27" s="259"/>
      <c r="F27" s="259"/>
      <c r="G27" s="259"/>
      <c r="H27" s="259"/>
      <c r="I27" s="259"/>
      <c r="J27" s="259"/>
      <c r="K27" s="259"/>
    </row>
    <row r="28" spans="1:18" x14ac:dyDescent="0.2">
      <c r="A28" s="279" t="s">
        <v>239</v>
      </c>
      <c r="B28" s="278"/>
      <c r="C28" s="277"/>
      <c r="D28" s="277"/>
      <c r="E28" s="277"/>
      <c r="F28" s="277"/>
      <c r="G28" s="277"/>
      <c r="H28" s="277"/>
      <c r="I28" s="277"/>
      <c r="J28" s="277"/>
      <c r="K28" s="277"/>
    </row>
    <row r="29" spans="1:18" x14ac:dyDescent="0.2">
      <c r="A29" s="250" t="s">
        <v>217</v>
      </c>
      <c r="C29" s="259">
        <v>43468</v>
      </c>
      <c r="D29" s="249" t="s">
        <v>188</v>
      </c>
      <c r="E29" s="249"/>
      <c r="F29" s="259"/>
      <c r="G29" s="259">
        <v>43538</v>
      </c>
      <c r="H29" s="249" t="s">
        <v>188</v>
      </c>
      <c r="I29" s="249"/>
      <c r="J29" s="259"/>
      <c r="K29" s="259">
        <v>43713</v>
      </c>
    </row>
    <row r="30" spans="1:18" x14ac:dyDescent="0.2">
      <c r="A30" s="250" t="s">
        <v>193</v>
      </c>
      <c r="C30" s="259">
        <v>43476</v>
      </c>
      <c r="D30" s="259"/>
      <c r="E30" s="259"/>
      <c r="F30" s="259"/>
      <c r="G30" s="259">
        <v>43595</v>
      </c>
      <c r="H30" s="259">
        <v>43726</v>
      </c>
      <c r="I30" s="259">
        <v>43648</v>
      </c>
      <c r="J30" s="259"/>
      <c r="K30" s="259">
        <v>43773</v>
      </c>
    </row>
    <row r="31" spans="1:18" x14ac:dyDescent="0.2">
      <c r="A31" s="250" t="s">
        <v>192</v>
      </c>
      <c r="C31" s="258">
        <v>43497</v>
      </c>
      <c r="D31" s="258">
        <v>43525</v>
      </c>
      <c r="E31" s="258"/>
      <c r="F31" s="258"/>
      <c r="G31" s="258">
        <v>43617</v>
      </c>
      <c r="H31" s="258">
        <v>43770</v>
      </c>
      <c r="I31" s="258">
        <v>43656</v>
      </c>
      <c r="J31" s="258"/>
      <c r="K31" s="258">
        <v>43770</v>
      </c>
    </row>
    <row r="32" spans="1:18" x14ac:dyDescent="0.2">
      <c r="C32" s="259"/>
      <c r="D32" s="259"/>
      <c r="E32" s="259"/>
      <c r="F32" s="259"/>
      <c r="G32" s="259"/>
      <c r="H32" s="259" t="s">
        <v>238</v>
      </c>
      <c r="I32" s="259" t="s">
        <v>237</v>
      </c>
      <c r="J32" s="259"/>
      <c r="K32" s="259"/>
    </row>
    <row r="33" spans="1:11" x14ac:dyDescent="0.2">
      <c r="C33" s="259"/>
      <c r="D33" s="259"/>
      <c r="E33" s="259"/>
      <c r="F33" s="259"/>
      <c r="G33" s="259"/>
      <c r="H33" s="259"/>
      <c r="I33" s="259"/>
      <c r="J33" s="259"/>
      <c r="K33" s="259"/>
    </row>
    <row r="34" spans="1:11" x14ac:dyDescent="0.2">
      <c r="A34" s="276" t="s">
        <v>236</v>
      </c>
      <c r="B34" s="275"/>
      <c r="C34" s="274"/>
      <c r="D34" s="274"/>
      <c r="E34" s="274"/>
      <c r="F34" s="274"/>
      <c r="G34" s="274"/>
      <c r="H34" s="274"/>
      <c r="I34" s="274"/>
      <c r="J34" s="274"/>
      <c r="K34" s="274"/>
    </row>
    <row r="35" spans="1:11" x14ac:dyDescent="0.2">
      <c r="A35" s="251" t="s">
        <v>196</v>
      </c>
      <c r="C35" s="259">
        <v>43775</v>
      </c>
      <c r="D35" s="259"/>
      <c r="E35" s="259"/>
      <c r="F35" s="259"/>
      <c r="G35" s="259"/>
      <c r="H35" s="259"/>
      <c r="I35" s="259"/>
      <c r="J35" s="259"/>
      <c r="K35" s="259"/>
    </row>
    <row r="36" spans="1:11" x14ac:dyDescent="0.2">
      <c r="A36" s="250" t="s">
        <v>193</v>
      </c>
      <c r="C36" s="259">
        <v>43788</v>
      </c>
      <c r="D36" s="259"/>
      <c r="E36" s="259"/>
      <c r="F36" s="259"/>
      <c r="G36" s="259"/>
      <c r="H36" s="259"/>
      <c r="I36" s="259"/>
      <c r="J36" s="259"/>
      <c r="K36" s="259"/>
    </row>
    <row r="37" spans="1:11" x14ac:dyDescent="0.2">
      <c r="A37" s="250" t="s">
        <v>192</v>
      </c>
      <c r="C37" s="258">
        <v>43830</v>
      </c>
      <c r="D37" s="258"/>
      <c r="E37" s="258"/>
      <c r="F37" s="258"/>
      <c r="G37" s="258"/>
      <c r="H37" s="258"/>
      <c r="I37" s="258"/>
      <c r="J37" s="258"/>
      <c r="K37" s="258"/>
    </row>
    <row r="38" spans="1:11" x14ac:dyDescent="0.2">
      <c r="C38" s="267" t="s">
        <v>218</v>
      </c>
      <c r="D38" s="259"/>
      <c r="E38" s="259"/>
      <c r="F38" s="259"/>
      <c r="G38" s="259"/>
      <c r="H38" s="259"/>
      <c r="I38" s="259"/>
      <c r="J38" s="259"/>
      <c r="K38" s="259"/>
    </row>
    <row r="39" spans="1:11" x14ac:dyDescent="0.2">
      <c r="C39" s="259"/>
      <c r="D39" s="259"/>
      <c r="E39" s="259"/>
      <c r="F39" s="259"/>
      <c r="G39" s="259"/>
      <c r="H39" s="259"/>
      <c r="I39" s="259"/>
      <c r="J39" s="259"/>
      <c r="K39" s="259"/>
    </row>
    <row r="40" spans="1:11" x14ac:dyDescent="0.2">
      <c r="A40" s="251" t="s">
        <v>196</v>
      </c>
      <c r="C40" s="259">
        <v>43833</v>
      </c>
      <c r="D40" s="259">
        <v>43853</v>
      </c>
      <c r="E40" s="259">
        <v>43853</v>
      </c>
      <c r="F40" s="259"/>
      <c r="G40" s="259">
        <v>43895</v>
      </c>
      <c r="H40" s="259">
        <v>43906</v>
      </c>
      <c r="I40" s="259">
        <v>43906</v>
      </c>
      <c r="J40" s="259"/>
      <c r="K40" s="259">
        <v>44028</v>
      </c>
    </row>
    <row r="41" spans="1:11" x14ac:dyDescent="0.2">
      <c r="A41" s="250" t="s">
        <v>193</v>
      </c>
      <c r="C41" s="259">
        <v>43859</v>
      </c>
      <c r="D41" s="259">
        <v>43858</v>
      </c>
      <c r="E41" s="259">
        <v>43858</v>
      </c>
      <c r="F41" s="259"/>
      <c r="G41" s="259">
        <v>43906</v>
      </c>
      <c r="H41" s="259">
        <v>43950</v>
      </c>
      <c r="I41" s="259">
        <v>43950</v>
      </c>
      <c r="J41" s="259"/>
      <c r="K41" s="259">
        <v>44075</v>
      </c>
    </row>
    <row r="42" spans="1:11" x14ac:dyDescent="0.2">
      <c r="A42" s="250" t="s">
        <v>192</v>
      </c>
      <c r="C42" s="258">
        <v>43889</v>
      </c>
      <c r="D42" s="258">
        <v>43889</v>
      </c>
      <c r="E42" s="258">
        <v>43889</v>
      </c>
      <c r="F42" s="259"/>
      <c r="G42" s="258">
        <v>43951</v>
      </c>
      <c r="H42" s="258">
        <v>43982</v>
      </c>
      <c r="I42" s="258">
        <v>43982</v>
      </c>
      <c r="J42" s="259"/>
      <c r="K42" s="258">
        <v>44166</v>
      </c>
    </row>
    <row r="43" spans="1:11" x14ac:dyDescent="0.2">
      <c r="A43" s="250" t="s">
        <v>189</v>
      </c>
      <c r="C43" s="267" t="s">
        <v>216</v>
      </c>
      <c r="D43" s="259" t="s">
        <v>235</v>
      </c>
      <c r="E43" s="259" t="s">
        <v>234</v>
      </c>
      <c r="F43" s="259"/>
      <c r="G43" s="259"/>
      <c r="H43" s="259" t="s">
        <v>233</v>
      </c>
      <c r="I43" s="259" t="s">
        <v>232</v>
      </c>
      <c r="J43" s="259"/>
      <c r="K43" s="259"/>
    </row>
    <row r="44" spans="1:11" x14ac:dyDescent="0.2">
      <c r="C44" s="259"/>
      <c r="D44" s="259"/>
      <c r="E44" s="259"/>
      <c r="F44" s="259"/>
      <c r="G44" s="259"/>
      <c r="H44" s="259"/>
      <c r="I44" s="259"/>
      <c r="J44" s="259"/>
      <c r="K44" s="259"/>
    </row>
    <row r="45" spans="1:11" x14ac:dyDescent="0.2">
      <c r="C45" s="259"/>
      <c r="D45" s="259"/>
      <c r="E45" s="259"/>
      <c r="F45" s="259"/>
      <c r="G45" s="259"/>
      <c r="H45" s="259"/>
      <c r="I45" s="259"/>
      <c r="J45" s="259"/>
      <c r="K45" s="259"/>
    </row>
    <row r="46" spans="1:11" x14ac:dyDescent="0.2">
      <c r="A46" s="273" t="s">
        <v>231</v>
      </c>
      <c r="B46" s="272"/>
      <c r="C46" s="271"/>
      <c r="D46" s="271"/>
      <c r="E46" s="271"/>
      <c r="F46" s="271"/>
      <c r="G46" s="271"/>
      <c r="H46" s="271"/>
      <c r="I46" s="271"/>
      <c r="J46" s="271"/>
      <c r="K46" s="271"/>
    </row>
    <row r="47" spans="1:11" x14ac:dyDescent="0.2">
      <c r="C47" s="259"/>
      <c r="D47" s="259"/>
      <c r="E47" s="259"/>
      <c r="F47" s="259"/>
      <c r="G47" s="259"/>
      <c r="H47" s="259"/>
      <c r="I47" s="259"/>
      <c r="J47" s="259"/>
      <c r="K47" s="259"/>
    </row>
    <row r="48" spans="1:11" x14ac:dyDescent="0.2">
      <c r="A48" s="251" t="s">
        <v>196</v>
      </c>
      <c r="C48" s="259">
        <v>44147</v>
      </c>
      <c r="D48" s="259">
        <v>44314</v>
      </c>
      <c r="E48" s="259">
        <v>44314</v>
      </c>
      <c r="F48" s="259"/>
      <c r="G48" s="259">
        <v>44307</v>
      </c>
      <c r="H48" s="259">
        <v>44314</v>
      </c>
      <c r="I48" s="259">
        <v>44314</v>
      </c>
      <c r="J48" s="259"/>
      <c r="K48" s="259">
        <v>44875</v>
      </c>
    </row>
    <row r="49" spans="1:11" x14ac:dyDescent="0.2">
      <c r="A49" s="250" t="s">
        <v>193</v>
      </c>
      <c r="C49" s="259">
        <v>44151</v>
      </c>
      <c r="D49" s="259">
        <v>44316</v>
      </c>
      <c r="E49" s="259">
        <v>44316</v>
      </c>
      <c r="F49" s="259"/>
      <c r="G49" s="259">
        <v>44314</v>
      </c>
      <c r="H49" s="259">
        <v>44319</v>
      </c>
      <c r="I49" s="259">
        <v>44319</v>
      </c>
      <c r="J49" s="259"/>
      <c r="K49" s="259">
        <v>44565</v>
      </c>
    </row>
    <row r="50" spans="1:11" x14ac:dyDescent="0.2">
      <c r="A50" s="250" t="s">
        <v>192</v>
      </c>
      <c r="C50" s="258">
        <v>44317</v>
      </c>
      <c r="D50" s="258">
        <v>44347</v>
      </c>
      <c r="E50" s="258">
        <v>44347</v>
      </c>
      <c r="F50" s="259"/>
      <c r="G50" s="258">
        <v>44347</v>
      </c>
      <c r="H50" s="258">
        <v>44347</v>
      </c>
      <c r="I50" s="258">
        <v>44347</v>
      </c>
      <c r="J50" s="259"/>
      <c r="K50" s="258">
        <v>44613</v>
      </c>
    </row>
    <row r="51" spans="1:11" x14ac:dyDescent="0.2">
      <c r="A51" s="250" t="s">
        <v>189</v>
      </c>
      <c r="C51" s="258"/>
      <c r="D51" s="258" t="s">
        <v>230</v>
      </c>
      <c r="E51" s="258" t="s">
        <v>221</v>
      </c>
      <c r="F51" s="259"/>
      <c r="G51" s="258"/>
      <c r="H51" s="258" t="s">
        <v>229</v>
      </c>
      <c r="I51" s="258" t="s">
        <v>228</v>
      </c>
      <c r="J51" s="259"/>
      <c r="K51" s="259"/>
    </row>
    <row r="52" spans="1:11" x14ac:dyDescent="0.2">
      <c r="C52" s="259"/>
      <c r="D52" s="259"/>
      <c r="E52" s="259"/>
      <c r="F52" s="259"/>
      <c r="G52" s="259"/>
      <c r="H52" s="259"/>
      <c r="I52" s="259"/>
      <c r="J52" s="259"/>
      <c r="K52" s="259"/>
    </row>
    <row r="53" spans="1:11" x14ac:dyDescent="0.2">
      <c r="C53" s="259"/>
      <c r="D53" s="259"/>
      <c r="E53" s="259"/>
      <c r="F53" s="259"/>
      <c r="G53" s="259"/>
      <c r="H53" s="259"/>
      <c r="I53" s="259"/>
      <c r="J53" s="259"/>
      <c r="K53" s="259"/>
    </row>
    <row r="54" spans="1:11" x14ac:dyDescent="0.2">
      <c r="A54" s="270" t="s">
        <v>227</v>
      </c>
      <c r="B54" s="269"/>
      <c r="C54" s="268"/>
      <c r="D54" s="268"/>
      <c r="E54" s="268"/>
      <c r="F54" s="268"/>
      <c r="G54" s="268"/>
      <c r="H54" s="268"/>
      <c r="I54" s="268"/>
      <c r="J54" s="268"/>
      <c r="K54" s="268"/>
    </row>
    <row r="55" spans="1:11" x14ac:dyDescent="0.2">
      <c r="C55" s="259"/>
      <c r="D55" s="259"/>
      <c r="E55" s="259"/>
      <c r="F55" s="259"/>
      <c r="G55" s="259"/>
      <c r="H55" s="259"/>
      <c r="I55" s="259"/>
      <c r="J55" s="259"/>
      <c r="K55" s="259"/>
    </row>
    <row r="56" spans="1:11" x14ac:dyDescent="0.2">
      <c r="A56" s="251" t="s">
        <v>196</v>
      </c>
      <c r="C56" s="259">
        <v>44518</v>
      </c>
      <c r="D56" s="249" t="s">
        <v>226</v>
      </c>
      <c r="E56" s="259" t="s">
        <v>225</v>
      </c>
      <c r="F56" s="259"/>
      <c r="G56" s="259">
        <v>44630</v>
      </c>
      <c r="H56" s="249" t="s">
        <v>224</v>
      </c>
      <c r="I56" s="249" t="s">
        <v>223</v>
      </c>
      <c r="J56" s="259"/>
      <c r="K56" s="259">
        <v>44834</v>
      </c>
    </row>
    <row r="57" spans="1:11" x14ac:dyDescent="0.2">
      <c r="A57" s="250" t="s">
        <v>193</v>
      </c>
      <c r="C57" s="259">
        <v>44565</v>
      </c>
      <c r="D57" s="259">
        <v>44580</v>
      </c>
      <c r="E57" s="259">
        <v>44580</v>
      </c>
      <c r="F57" s="259"/>
      <c r="G57" s="259">
        <v>44684</v>
      </c>
      <c r="H57" s="259">
        <v>44691</v>
      </c>
      <c r="I57" s="259">
        <v>44691</v>
      </c>
      <c r="J57" s="259"/>
      <c r="K57" s="259">
        <v>44893</v>
      </c>
    </row>
    <row r="58" spans="1:11" x14ac:dyDescent="0.2">
      <c r="A58" s="250" t="s">
        <v>192</v>
      </c>
      <c r="C58" s="258">
        <v>44562</v>
      </c>
      <c r="D58" s="258">
        <v>44620</v>
      </c>
      <c r="E58" s="258">
        <v>44620</v>
      </c>
      <c r="F58" s="259"/>
      <c r="G58" s="258">
        <v>44712</v>
      </c>
      <c r="H58" s="258">
        <v>44742</v>
      </c>
      <c r="I58" s="258">
        <v>44742</v>
      </c>
      <c r="J58" s="259"/>
      <c r="K58" s="258">
        <v>44926</v>
      </c>
    </row>
    <row r="59" spans="1:11" x14ac:dyDescent="0.2">
      <c r="A59" s="250" t="s">
        <v>189</v>
      </c>
      <c r="C59" s="249" t="s">
        <v>188</v>
      </c>
      <c r="D59" s="263" t="s">
        <v>222</v>
      </c>
      <c r="E59" s="263" t="s">
        <v>221</v>
      </c>
      <c r="F59" s="259"/>
      <c r="G59" s="249" t="s">
        <v>188</v>
      </c>
      <c r="H59" s="263" t="s">
        <v>220</v>
      </c>
      <c r="I59" s="263" t="s">
        <v>219</v>
      </c>
      <c r="J59" s="259"/>
      <c r="K59" s="249" t="s">
        <v>188</v>
      </c>
    </row>
    <row r="60" spans="1:11" x14ac:dyDescent="0.2">
      <c r="A60" s="250"/>
      <c r="C60" s="267" t="s">
        <v>218</v>
      </c>
      <c r="D60" s="258"/>
      <c r="E60" s="258"/>
      <c r="F60" s="259"/>
      <c r="G60" s="258"/>
      <c r="H60" s="258"/>
      <c r="I60" s="258"/>
      <c r="J60" s="259"/>
      <c r="K60" s="259"/>
    </row>
    <row r="61" spans="1:11" x14ac:dyDescent="0.2">
      <c r="A61" s="250"/>
      <c r="C61" s="258"/>
      <c r="D61" s="258"/>
      <c r="E61" s="258"/>
      <c r="F61" s="259"/>
      <c r="G61" s="258"/>
      <c r="H61" s="258"/>
      <c r="I61" s="258"/>
      <c r="J61" s="259"/>
      <c r="K61" s="259"/>
    </row>
    <row r="62" spans="1:11" x14ac:dyDescent="0.2">
      <c r="A62" s="251" t="s">
        <v>217</v>
      </c>
      <c r="C62" s="259">
        <v>44574</v>
      </c>
      <c r="D62" s="258"/>
      <c r="E62" s="258"/>
      <c r="F62" s="259"/>
      <c r="G62" s="259"/>
      <c r="H62" s="258"/>
      <c r="I62" s="258"/>
      <c r="J62" s="259"/>
      <c r="K62" s="259"/>
    </row>
    <row r="63" spans="1:11" x14ac:dyDescent="0.2">
      <c r="A63" s="250" t="s">
        <v>193</v>
      </c>
      <c r="C63" s="259">
        <v>44579</v>
      </c>
      <c r="D63" s="258"/>
      <c r="E63" s="258"/>
      <c r="F63" s="259"/>
      <c r="G63" s="259"/>
      <c r="H63" s="258"/>
      <c r="I63" s="258"/>
      <c r="J63" s="259"/>
      <c r="K63" s="259"/>
    </row>
    <row r="64" spans="1:11" x14ac:dyDescent="0.2">
      <c r="A64" s="250" t="s">
        <v>192</v>
      </c>
      <c r="C64" s="258">
        <v>44620</v>
      </c>
      <c r="D64" s="258"/>
      <c r="E64" s="258"/>
      <c r="F64" s="259"/>
      <c r="G64" s="258"/>
      <c r="H64" s="258"/>
      <c r="I64" s="258"/>
      <c r="J64" s="259"/>
      <c r="K64" s="259"/>
    </row>
    <row r="65" spans="1:11" x14ac:dyDescent="0.2">
      <c r="A65" s="250"/>
      <c r="C65" s="267" t="s">
        <v>216</v>
      </c>
      <c r="D65" s="258"/>
      <c r="E65" s="258"/>
      <c r="F65" s="259"/>
      <c r="G65" s="258"/>
      <c r="H65" s="258"/>
      <c r="I65" s="258"/>
      <c r="J65" s="259"/>
      <c r="K65" s="259"/>
    </row>
    <row r="66" spans="1:11" x14ac:dyDescent="0.2">
      <c r="A66" s="250"/>
      <c r="C66" s="267"/>
      <c r="D66" s="258"/>
      <c r="E66" s="258"/>
      <c r="F66" s="259"/>
      <c r="G66" s="258"/>
      <c r="H66" s="258"/>
      <c r="I66" s="258"/>
      <c r="J66" s="259"/>
      <c r="K66" s="259"/>
    </row>
    <row r="67" spans="1:11" x14ac:dyDescent="0.2">
      <c r="A67" s="266" t="s">
        <v>215</v>
      </c>
      <c r="B67" s="265"/>
      <c r="C67" s="264"/>
      <c r="D67" s="264"/>
      <c r="E67" s="264"/>
      <c r="F67" s="264"/>
      <c r="G67" s="264"/>
      <c r="H67" s="264"/>
      <c r="I67" s="264"/>
      <c r="J67" s="264"/>
      <c r="K67" s="264"/>
    </row>
    <row r="68" spans="1:11" x14ac:dyDescent="0.2">
      <c r="C68" s="259"/>
      <c r="D68" s="259"/>
      <c r="E68" s="259"/>
      <c r="F68" s="259"/>
      <c r="G68" s="259"/>
      <c r="H68" s="259"/>
      <c r="I68" s="259"/>
      <c r="J68" s="259"/>
      <c r="K68" s="259"/>
    </row>
    <row r="69" spans="1:11" x14ac:dyDescent="0.2">
      <c r="A69" s="251" t="s">
        <v>196</v>
      </c>
      <c r="C69" s="259">
        <v>44874</v>
      </c>
      <c r="D69" s="249" t="s">
        <v>214</v>
      </c>
      <c r="E69" s="259" t="s">
        <v>213</v>
      </c>
      <c r="F69" s="259"/>
      <c r="G69" s="259">
        <v>45008</v>
      </c>
      <c r="H69" s="249" t="s">
        <v>212</v>
      </c>
      <c r="I69" s="249" t="s">
        <v>211</v>
      </c>
      <c r="J69" s="259"/>
      <c r="K69" s="259">
        <v>45199</v>
      </c>
    </row>
    <row r="70" spans="1:11" x14ac:dyDescent="0.2">
      <c r="A70" s="250" t="s">
        <v>193</v>
      </c>
      <c r="C70" s="259">
        <v>44896</v>
      </c>
      <c r="D70" s="259">
        <v>44938</v>
      </c>
      <c r="E70" s="259">
        <v>44938</v>
      </c>
      <c r="F70" s="259"/>
      <c r="G70" s="259">
        <v>45020</v>
      </c>
      <c r="H70" s="259">
        <v>45027</v>
      </c>
      <c r="I70" s="259">
        <v>45027</v>
      </c>
      <c r="J70" s="259"/>
      <c r="K70" s="259">
        <v>45258</v>
      </c>
    </row>
    <row r="71" spans="1:11" x14ac:dyDescent="0.2">
      <c r="A71" s="250" t="s">
        <v>192</v>
      </c>
      <c r="C71" s="258">
        <v>44957</v>
      </c>
      <c r="D71" s="258">
        <v>44980</v>
      </c>
      <c r="E71" s="258">
        <v>44980</v>
      </c>
      <c r="F71" s="259"/>
      <c r="G71" s="258">
        <v>45039</v>
      </c>
      <c r="H71" s="258">
        <v>45077</v>
      </c>
      <c r="I71" s="258">
        <v>45077</v>
      </c>
      <c r="J71" s="259"/>
      <c r="K71" s="258">
        <v>45261</v>
      </c>
    </row>
    <row r="72" spans="1:11" x14ac:dyDescent="0.2">
      <c r="A72" s="250" t="s">
        <v>189</v>
      </c>
      <c r="C72" s="249" t="s">
        <v>188</v>
      </c>
      <c r="D72" s="263" t="s">
        <v>210</v>
      </c>
      <c r="E72" s="263" t="s">
        <v>209</v>
      </c>
      <c r="F72" s="259"/>
      <c r="G72" s="249" t="s">
        <v>188</v>
      </c>
      <c r="H72" s="263" t="s">
        <v>208</v>
      </c>
      <c r="I72" s="263" t="s">
        <v>207</v>
      </c>
      <c r="J72" s="259"/>
    </row>
    <row r="73" spans="1:11" x14ac:dyDescent="0.2">
      <c r="C73" s="248"/>
      <c r="D73" s="248"/>
      <c r="E73" s="248"/>
      <c r="F73" s="248"/>
      <c r="G73" s="248"/>
      <c r="H73" s="248"/>
      <c r="I73" s="248"/>
      <c r="J73" s="248"/>
      <c r="K73" s="248"/>
    </row>
    <row r="74" spans="1:11" x14ac:dyDescent="0.2">
      <c r="C74" s="248"/>
      <c r="D74" s="248"/>
      <c r="E74" s="248"/>
      <c r="F74" s="248"/>
      <c r="G74" s="248"/>
      <c r="H74" s="248"/>
      <c r="I74" s="248"/>
      <c r="J74" s="248"/>
      <c r="K74" s="248"/>
    </row>
    <row r="75" spans="1:11" x14ac:dyDescent="0.2">
      <c r="A75" s="262" t="s">
        <v>206</v>
      </c>
      <c r="B75" s="261"/>
      <c r="C75" s="260"/>
      <c r="D75" s="260"/>
      <c r="E75" s="260"/>
      <c r="F75" s="260"/>
      <c r="G75" s="260"/>
      <c r="H75" s="260"/>
      <c r="I75" s="260"/>
      <c r="J75" s="260"/>
      <c r="K75" s="260"/>
    </row>
    <row r="76" spans="1:11" x14ac:dyDescent="0.2">
      <c r="C76" s="248"/>
      <c r="D76" s="248"/>
      <c r="E76" s="248"/>
      <c r="F76" s="248"/>
      <c r="G76" s="248"/>
      <c r="H76" s="248"/>
      <c r="I76" s="248"/>
      <c r="J76" s="248"/>
      <c r="K76" s="248"/>
    </row>
    <row r="77" spans="1:11" x14ac:dyDescent="0.2">
      <c r="A77" s="251" t="s">
        <v>196</v>
      </c>
      <c r="C77" s="259">
        <v>45239</v>
      </c>
      <c r="D77" s="249">
        <v>45295</v>
      </c>
      <c r="E77" s="249">
        <v>45295</v>
      </c>
      <c r="F77" s="248"/>
      <c r="G77" s="248" t="s">
        <v>205</v>
      </c>
      <c r="H77" s="248">
        <v>45384</v>
      </c>
      <c r="I77" s="248">
        <v>45384</v>
      </c>
      <c r="J77" s="248"/>
      <c r="K77" s="248">
        <v>45586</v>
      </c>
    </row>
    <row r="78" spans="1:11" x14ac:dyDescent="0.2">
      <c r="A78" s="250" t="s">
        <v>193</v>
      </c>
      <c r="C78" s="259">
        <v>45261</v>
      </c>
      <c r="D78" s="248">
        <v>45302</v>
      </c>
      <c r="E78" s="248">
        <v>45302</v>
      </c>
      <c r="F78" s="248"/>
      <c r="G78" s="248" t="s">
        <v>204</v>
      </c>
      <c r="H78" s="248">
        <v>45435</v>
      </c>
      <c r="I78" s="248">
        <v>45435</v>
      </c>
      <c r="J78" s="248"/>
      <c r="K78" s="248">
        <v>45589</v>
      </c>
    </row>
    <row r="79" spans="1:11" x14ac:dyDescent="0.2">
      <c r="A79" s="250" t="s">
        <v>192</v>
      </c>
      <c r="C79" s="258">
        <v>45292</v>
      </c>
      <c r="D79" s="257" t="s">
        <v>593</v>
      </c>
      <c r="E79" s="257" t="s">
        <v>593</v>
      </c>
      <c r="F79" s="248"/>
      <c r="G79" s="256" t="s">
        <v>203</v>
      </c>
      <c r="H79" s="255" t="s">
        <v>202</v>
      </c>
      <c r="I79" s="255" t="s">
        <v>202</v>
      </c>
      <c r="J79" s="248"/>
      <c r="K79" s="248">
        <v>45597</v>
      </c>
    </row>
    <row r="80" spans="1:11" x14ac:dyDescent="0.2">
      <c r="A80" s="250" t="s">
        <v>189</v>
      </c>
      <c r="C80" s="249" t="s">
        <v>188</v>
      </c>
      <c r="D80" s="248" t="s">
        <v>201</v>
      </c>
      <c r="E80" s="248" t="s">
        <v>200</v>
      </c>
      <c r="F80" s="248"/>
      <c r="G80" s="249" t="s">
        <v>188</v>
      </c>
      <c r="H80" s="248" t="s">
        <v>199</v>
      </c>
      <c r="I80" s="248" t="s">
        <v>198</v>
      </c>
      <c r="J80" s="248"/>
      <c r="K80" s="248"/>
    </row>
    <row r="81" spans="1:11" x14ac:dyDescent="0.2">
      <c r="C81" s="248"/>
      <c r="D81" s="248"/>
      <c r="E81" s="248"/>
      <c r="F81" s="248"/>
      <c r="G81" s="248"/>
      <c r="H81" s="248"/>
      <c r="I81" s="248"/>
      <c r="J81" s="248"/>
      <c r="K81" s="248"/>
    </row>
    <row r="82" spans="1:11" x14ac:dyDescent="0.2">
      <c r="C82" s="248"/>
      <c r="D82" s="248"/>
      <c r="E82" s="248"/>
      <c r="F82" s="248"/>
      <c r="G82" s="248"/>
      <c r="H82" s="248"/>
      <c r="I82" s="248"/>
      <c r="J82" s="248"/>
      <c r="K82" s="248"/>
    </row>
    <row r="83" spans="1:11" x14ac:dyDescent="0.2">
      <c r="A83" s="254" t="s">
        <v>197</v>
      </c>
      <c r="B83" s="253"/>
      <c r="C83" s="252"/>
      <c r="D83" s="252"/>
      <c r="E83" s="252"/>
      <c r="F83" s="252"/>
      <c r="G83" s="252"/>
      <c r="H83" s="252"/>
      <c r="I83" s="252"/>
      <c r="J83" s="252"/>
      <c r="K83" s="252"/>
    </row>
    <row r="84" spans="1:11" x14ac:dyDescent="0.2">
      <c r="C84" s="248"/>
      <c r="D84" s="248"/>
      <c r="E84" s="248"/>
      <c r="F84" s="248"/>
      <c r="G84" s="248"/>
      <c r="H84" s="248"/>
      <c r="I84" s="248"/>
      <c r="J84" s="248"/>
      <c r="K84" s="248"/>
    </row>
    <row r="85" spans="1:11" x14ac:dyDescent="0.2">
      <c r="A85" s="251" t="s">
        <v>196</v>
      </c>
      <c r="C85" s="248">
        <v>45602</v>
      </c>
      <c r="D85" s="248" t="s">
        <v>195</v>
      </c>
      <c r="E85" s="248" t="s">
        <v>195</v>
      </c>
      <c r="F85" s="248"/>
      <c r="G85" s="248" t="s">
        <v>587</v>
      </c>
      <c r="H85" s="248" t="s">
        <v>587</v>
      </c>
      <c r="I85" s="248" t="s">
        <v>194</v>
      </c>
      <c r="J85" s="248"/>
      <c r="K85" s="248" t="s">
        <v>588</v>
      </c>
    </row>
    <row r="86" spans="1:11" x14ac:dyDescent="0.2">
      <c r="A86" s="250" t="s">
        <v>193</v>
      </c>
      <c r="C86" s="248">
        <v>45614</v>
      </c>
      <c r="D86" s="248">
        <v>45674</v>
      </c>
      <c r="E86" s="248">
        <v>45674</v>
      </c>
      <c r="F86" s="248"/>
      <c r="G86" s="248"/>
      <c r="H86" s="248"/>
      <c r="I86" s="248">
        <v>45866</v>
      </c>
      <c r="J86" s="248"/>
      <c r="K86" s="669">
        <v>45932</v>
      </c>
    </row>
    <row r="87" spans="1:11" x14ac:dyDescent="0.2">
      <c r="A87" s="250" t="s">
        <v>192</v>
      </c>
      <c r="C87" s="248" t="s">
        <v>191</v>
      </c>
      <c r="D87" s="248" t="s">
        <v>190</v>
      </c>
      <c r="E87" s="248" t="s">
        <v>190</v>
      </c>
      <c r="F87" s="248"/>
      <c r="G87" s="248"/>
      <c r="H87" s="248"/>
      <c r="I87" s="248">
        <v>45870</v>
      </c>
      <c r="J87" s="248"/>
      <c r="K87" s="248">
        <v>46001</v>
      </c>
    </row>
    <row r="88" spans="1:11" x14ac:dyDescent="0.2">
      <c r="A88" s="250" t="s">
        <v>189</v>
      </c>
      <c r="C88" s="249" t="s">
        <v>188</v>
      </c>
      <c r="D88" s="248" t="s">
        <v>187</v>
      </c>
      <c r="E88" s="248" t="s">
        <v>186</v>
      </c>
      <c r="F88" s="248"/>
      <c r="G88" s="248"/>
      <c r="H88" s="248"/>
      <c r="I88" s="248" t="s">
        <v>185</v>
      </c>
      <c r="J88" s="248"/>
      <c r="K88" s="248" t="s">
        <v>185</v>
      </c>
    </row>
    <row r="89" spans="1:11" x14ac:dyDescent="0.2">
      <c r="C89" s="248"/>
      <c r="D89" s="248"/>
      <c r="E89" s="248"/>
      <c r="F89" s="248"/>
      <c r="G89" s="248"/>
      <c r="H89" s="248"/>
      <c r="I89" s="248"/>
      <c r="J89" s="248"/>
      <c r="K89" s="248"/>
    </row>
    <row r="90" spans="1:11" x14ac:dyDescent="0.2">
      <c r="C90" s="248"/>
      <c r="D90" s="248"/>
      <c r="E90" s="248"/>
      <c r="F90" s="248"/>
      <c r="G90" s="248"/>
      <c r="H90" s="248"/>
      <c r="I90" s="248"/>
      <c r="J90" s="248"/>
      <c r="K90" s="248"/>
    </row>
    <row r="91" spans="1:11" x14ac:dyDescent="0.2">
      <c r="A91" s="666" t="s">
        <v>586</v>
      </c>
      <c r="B91" s="667"/>
      <c r="C91" s="668"/>
      <c r="D91" s="668"/>
      <c r="E91" s="668"/>
      <c r="F91" s="668"/>
      <c r="G91" s="668"/>
      <c r="H91" s="668"/>
      <c r="I91" s="668"/>
      <c r="J91" s="668"/>
      <c r="K91" s="668"/>
    </row>
    <row r="92" spans="1:11" x14ac:dyDescent="0.2">
      <c r="C92" s="248"/>
      <c r="D92" s="248"/>
      <c r="E92" s="248"/>
      <c r="F92" s="248"/>
      <c r="G92" s="248"/>
      <c r="H92" s="248"/>
      <c r="I92" s="248"/>
      <c r="J92" s="248"/>
      <c r="K92" s="248"/>
    </row>
    <row r="93" spans="1:11" x14ac:dyDescent="0.2">
      <c r="A93" s="251" t="s">
        <v>196</v>
      </c>
      <c r="C93" s="248">
        <v>46019</v>
      </c>
      <c r="D93" s="248">
        <v>46019</v>
      </c>
      <c r="E93" s="248">
        <v>46019</v>
      </c>
      <c r="F93" s="248"/>
      <c r="G93" s="248">
        <v>46141</v>
      </c>
      <c r="H93" s="248" t="s">
        <v>587</v>
      </c>
      <c r="I93" s="248"/>
      <c r="J93" s="248"/>
      <c r="K93" s="248"/>
    </row>
    <row r="94" spans="1:11" x14ac:dyDescent="0.2">
      <c r="A94" s="250" t="s">
        <v>193</v>
      </c>
      <c r="C94" s="248">
        <v>46019</v>
      </c>
      <c r="D94" s="248">
        <v>46019</v>
      </c>
      <c r="E94" s="248">
        <v>46019</v>
      </c>
      <c r="F94" s="248"/>
      <c r="G94" s="248">
        <v>46142</v>
      </c>
      <c r="H94" s="248"/>
      <c r="I94" s="248">
        <v>46184</v>
      </c>
      <c r="J94" s="248"/>
      <c r="K94" s="248"/>
    </row>
    <row r="95" spans="1:11" x14ac:dyDescent="0.2">
      <c r="A95" s="250" t="s">
        <v>192</v>
      </c>
      <c r="C95" s="248">
        <v>46063</v>
      </c>
      <c r="D95" s="248">
        <v>46063</v>
      </c>
      <c r="E95" s="248">
        <v>46063</v>
      </c>
      <c r="F95" s="248"/>
      <c r="G95" s="248">
        <v>46152</v>
      </c>
      <c r="H95" s="248"/>
      <c r="I95" s="248">
        <v>46213</v>
      </c>
      <c r="J95" s="248"/>
      <c r="K95" s="248"/>
    </row>
    <row r="96" spans="1:11" x14ac:dyDescent="0.2">
      <c r="A96" s="250" t="s">
        <v>189</v>
      </c>
      <c r="C96" s="248"/>
      <c r="D96" s="248"/>
      <c r="E96" s="248"/>
      <c r="F96" s="248"/>
      <c r="G96" s="248"/>
      <c r="H96" s="248"/>
      <c r="I96" s="248"/>
      <c r="J96" s="248"/>
      <c r="K96" s="248"/>
    </row>
    <row r="97" spans="1:11" x14ac:dyDescent="0.2">
      <c r="C97" s="248"/>
      <c r="D97" s="248"/>
      <c r="E97" s="248"/>
      <c r="F97" s="248"/>
      <c r="G97" s="248"/>
      <c r="H97" s="248"/>
      <c r="I97" s="248"/>
      <c r="J97" s="248"/>
      <c r="K97" s="248"/>
    </row>
    <row r="98" spans="1:11" x14ac:dyDescent="0.2">
      <c r="C98" s="248"/>
      <c r="D98" s="248"/>
      <c r="E98" s="248"/>
      <c r="F98" s="248"/>
      <c r="G98" s="248"/>
      <c r="H98" s="248"/>
      <c r="I98" s="248"/>
      <c r="J98" s="248"/>
      <c r="K98" s="248"/>
    </row>
    <row r="99" spans="1:11" x14ac:dyDescent="0.2">
      <c r="A99" s="254" t="s">
        <v>698</v>
      </c>
      <c r="B99" s="253"/>
      <c r="C99" s="252"/>
      <c r="D99" s="252"/>
      <c r="E99" s="252"/>
      <c r="F99" s="252"/>
      <c r="G99" s="252"/>
      <c r="H99" s="252"/>
      <c r="I99" s="252"/>
      <c r="J99" s="252"/>
      <c r="K99" s="252"/>
    </row>
    <row r="100" spans="1:11" x14ac:dyDescent="0.2">
      <c r="C100" s="248"/>
      <c r="D100" s="248"/>
      <c r="E100" s="248"/>
      <c r="F100" s="248"/>
      <c r="G100" s="248"/>
      <c r="H100" s="248"/>
      <c r="I100" s="248"/>
      <c r="J100" s="248"/>
      <c r="K100" s="248"/>
    </row>
    <row r="101" spans="1:11" x14ac:dyDescent="0.2">
      <c r="A101" s="251" t="s">
        <v>196</v>
      </c>
      <c r="C101" s="248" t="s">
        <v>699</v>
      </c>
      <c r="D101" s="248" t="s">
        <v>587</v>
      </c>
      <c r="E101" s="248"/>
      <c r="F101" s="248"/>
      <c r="G101" s="248"/>
      <c r="H101" s="248" t="s">
        <v>587</v>
      </c>
      <c r="I101" s="248"/>
      <c r="J101" s="248"/>
      <c r="K101" s="248"/>
    </row>
    <row r="102" spans="1:11" x14ac:dyDescent="0.2">
      <c r="A102" s="250" t="s">
        <v>193</v>
      </c>
      <c r="C102" s="248">
        <v>46223</v>
      </c>
      <c r="D102" s="248"/>
      <c r="E102" s="248">
        <v>46184</v>
      </c>
      <c r="F102" s="248"/>
      <c r="G102" s="248"/>
      <c r="H102" s="248"/>
      <c r="I102" s="248"/>
      <c r="J102" s="248"/>
      <c r="K102" s="248"/>
    </row>
    <row r="103" spans="1:11" x14ac:dyDescent="0.2">
      <c r="A103" s="250" t="s">
        <v>192</v>
      </c>
      <c r="C103" s="248">
        <v>46244</v>
      </c>
      <c r="D103" s="248"/>
      <c r="E103" s="248">
        <v>46213</v>
      </c>
      <c r="F103" s="248"/>
      <c r="G103" s="248"/>
      <c r="H103" s="248"/>
      <c r="I103" s="248"/>
      <c r="J103" s="248"/>
      <c r="K103" s="248"/>
    </row>
    <row r="104" spans="1:11" x14ac:dyDescent="0.2">
      <c r="A104" s="250" t="s">
        <v>189</v>
      </c>
      <c r="C104" s="248"/>
      <c r="D104" s="248" t="s">
        <v>700</v>
      </c>
      <c r="E104" s="248"/>
      <c r="F104" s="248"/>
      <c r="G104" s="248"/>
      <c r="H104" s="248"/>
      <c r="I104" s="248"/>
      <c r="J104" s="248"/>
      <c r="K104" s="248"/>
    </row>
    <row r="105" spans="1:11" x14ac:dyDescent="0.2">
      <c r="C105" s="248"/>
      <c r="D105" s="894" t="s">
        <v>701</v>
      </c>
      <c r="E105" s="248"/>
      <c r="F105" s="248"/>
      <c r="G105" s="248"/>
      <c r="H105" s="248"/>
      <c r="I105" s="248"/>
      <c r="J105" s="248"/>
      <c r="K105" s="248"/>
    </row>
    <row r="106" spans="1:11" x14ac:dyDescent="0.2">
      <c r="C106" s="248"/>
      <c r="D106" s="248"/>
      <c r="E106" s="248"/>
      <c r="F106" s="248"/>
      <c r="G106" s="248"/>
      <c r="H106" s="248"/>
      <c r="I106" s="248"/>
      <c r="J106" s="248"/>
      <c r="K106" s="248"/>
    </row>
    <row r="107" spans="1:11" x14ac:dyDescent="0.2">
      <c r="C107" s="248"/>
      <c r="D107" s="248"/>
      <c r="E107" s="248"/>
      <c r="F107" s="248"/>
      <c r="G107" s="248"/>
      <c r="H107" s="248"/>
      <c r="I107" s="248"/>
      <c r="J107" s="248"/>
      <c r="K107" s="248"/>
    </row>
    <row r="108" spans="1:11" x14ac:dyDescent="0.2">
      <c r="C108" s="248"/>
      <c r="D108" s="248"/>
      <c r="E108" s="248"/>
      <c r="F108" s="248"/>
      <c r="G108" s="248"/>
      <c r="H108" s="248"/>
      <c r="I108" s="248"/>
      <c r="J108" s="248"/>
      <c r="K108" s="248"/>
    </row>
    <row r="109" spans="1:11" x14ac:dyDescent="0.2">
      <c r="C109" s="248"/>
      <c r="D109" s="248"/>
      <c r="E109" s="248"/>
      <c r="F109" s="248"/>
      <c r="G109" s="248"/>
      <c r="H109" s="248"/>
      <c r="I109" s="248"/>
      <c r="J109" s="248"/>
      <c r="K109" s="248"/>
    </row>
    <row r="110" spans="1:11" x14ac:dyDescent="0.2">
      <c r="C110" s="248"/>
      <c r="D110" s="248"/>
      <c r="E110" s="248"/>
      <c r="F110" s="248"/>
      <c r="G110" s="248"/>
      <c r="H110" s="248"/>
      <c r="I110" s="248"/>
      <c r="J110" s="248"/>
      <c r="K110" s="248"/>
    </row>
    <row r="111" spans="1:11" x14ac:dyDescent="0.2">
      <c r="C111" s="248"/>
      <c r="D111" s="248"/>
      <c r="E111" s="248"/>
      <c r="F111" s="248"/>
      <c r="G111" s="248"/>
      <c r="H111" s="248"/>
      <c r="I111" s="248"/>
      <c r="J111" s="248"/>
      <c r="K111" s="248"/>
    </row>
    <row r="112" spans="1:11" x14ac:dyDescent="0.2">
      <c r="C112" s="248"/>
      <c r="D112" s="248"/>
      <c r="E112" s="248"/>
      <c r="F112" s="248"/>
      <c r="G112" s="248"/>
      <c r="H112" s="248"/>
      <c r="I112" s="248"/>
      <c r="J112" s="248"/>
      <c r="K112" s="248"/>
    </row>
    <row r="113" spans="3:11" x14ac:dyDescent="0.2">
      <c r="C113" s="248"/>
      <c r="D113" s="248"/>
      <c r="E113" s="248"/>
      <c r="F113" s="248"/>
      <c r="G113" s="248"/>
      <c r="H113" s="248"/>
      <c r="I113" s="248"/>
      <c r="J113" s="248"/>
      <c r="K113" s="248"/>
    </row>
    <row r="114" spans="3:11" x14ac:dyDescent="0.2">
      <c r="C114" s="248"/>
      <c r="D114" s="248"/>
      <c r="E114" s="248"/>
      <c r="F114" s="248"/>
      <c r="G114" s="248"/>
      <c r="H114" s="248"/>
      <c r="I114" s="248"/>
      <c r="J114" s="248"/>
      <c r="K114" s="248"/>
    </row>
    <row r="115" spans="3:11" x14ac:dyDescent="0.2">
      <c r="C115" s="248"/>
      <c r="D115" s="248"/>
      <c r="E115" s="248"/>
      <c r="F115" s="248"/>
      <c r="G115" s="248"/>
      <c r="H115" s="248"/>
      <c r="I115" s="248"/>
      <c r="J115" s="248"/>
      <c r="K115" s="248"/>
    </row>
    <row r="116" spans="3:11" x14ac:dyDescent="0.2">
      <c r="C116" s="248"/>
      <c r="D116" s="248"/>
      <c r="E116" s="248"/>
      <c r="F116" s="248"/>
      <c r="G116" s="248"/>
      <c r="H116" s="248"/>
      <c r="I116" s="248"/>
      <c r="J116" s="248"/>
      <c r="K116" s="248"/>
    </row>
    <row r="117" spans="3:11" x14ac:dyDescent="0.2">
      <c r="C117" s="248"/>
      <c r="D117" s="248"/>
      <c r="E117" s="248"/>
      <c r="F117" s="248"/>
      <c r="G117" s="248"/>
      <c r="H117" s="248"/>
      <c r="I117" s="248"/>
      <c r="J117" s="248"/>
      <c r="K117" s="248"/>
    </row>
    <row r="118" spans="3:11" x14ac:dyDescent="0.2">
      <c r="C118" s="248"/>
      <c r="D118" s="248"/>
      <c r="E118" s="248"/>
      <c r="F118" s="248"/>
      <c r="G118" s="248"/>
      <c r="H118" s="248"/>
      <c r="I118" s="248"/>
      <c r="J118" s="248"/>
      <c r="K118" s="248"/>
    </row>
    <row r="119" spans="3:11" x14ac:dyDescent="0.2">
      <c r="C119" s="248"/>
      <c r="D119" s="248"/>
      <c r="E119" s="248"/>
      <c r="F119" s="248"/>
      <c r="G119" s="248"/>
      <c r="H119" s="248"/>
      <c r="I119" s="248"/>
      <c r="J119" s="248"/>
      <c r="K119" s="248"/>
    </row>
    <row r="120" spans="3:11" x14ac:dyDescent="0.2">
      <c r="C120" s="248"/>
      <c r="D120" s="248"/>
      <c r="E120" s="248"/>
      <c r="F120" s="248"/>
      <c r="G120" s="248"/>
      <c r="H120" s="248"/>
      <c r="I120" s="248"/>
      <c r="J120" s="248"/>
      <c r="K120" s="248"/>
    </row>
    <row r="121" spans="3:11" x14ac:dyDescent="0.2">
      <c r="C121" s="248"/>
      <c r="D121" s="248"/>
      <c r="E121" s="248"/>
      <c r="F121" s="248"/>
      <c r="G121" s="248"/>
      <c r="H121" s="248"/>
      <c r="I121" s="248"/>
      <c r="J121" s="248"/>
      <c r="K121" s="248"/>
    </row>
    <row r="122" spans="3:11" x14ac:dyDescent="0.2">
      <c r="C122" s="248"/>
      <c r="D122" s="248"/>
      <c r="E122" s="248"/>
      <c r="F122" s="248"/>
      <c r="G122" s="248"/>
      <c r="H122" s="248"/>
      <c r="I122" s="248"/>
      <c r="J122" s="248"/>
      <c r="K122" s="248"/>
    </row>
    <row r="123" spans="3:11" x14ac:dyDescent="0.2">
      <c r="C123" s="248"/>
      <c r="D123" s="248"/>
      <c r="E123" s="248"/>
      <c r="F123" s="248"/>
      <c r="G123" s="248"/>
      <c r="H123" s="248"/>
      <c r="I123" s="248"/>
      <c r="J123" s="248"/>
      <c r="K123" s="248"/>
    </row>
    <row r="124" spans="3:11" x14ac:dyDescent="0.2">
      <c r="C124" s="248"/>
      <c r="D124" s="248"/>
      <c r="E124" s="248"/>
      <c r="F124" s="248"/>
      <c r="G124" s="248"/>
      <c r="H124" s="248"/>
      <c r="I124" s="248"/>
      <c r="J124" s="248"/>
      <c r="K124" s="248"/>
    </row>
    <row r="125" spans="3:11" x14ac:dyDescent="0.2">
      <c r="C125" s="248"/>
      <c r="D125" s="248"/>
      <c r="E125" s="248"/>
      <c r="F125" s="248"/>
      <c r="G125" s="248"/>
      <c r="H125" s="248"/>
      <c r="I125" s="248"/>
      <c r="J125" s="248"/>
      <c r="K125" s="248"/>
    </row>
    <row r="126" spans="3:11" x14ac:dyDescent="0.2">
      <c r="C126" s="248"/>
      <c r="D126" s="248"/>
      <c r="E126" s="248"/>
      <c r="F126" s="248"/>
      <c r="G126" s="248"/>
      <c r="H126" s="248"/>
      <c r="I126" s="248"/>
      <c r="J126" s="248"/>
      <c r="K126" s="248"/>
    </row>
    <row r="127" spans="3:11" x14ac:dyDescent="0.2">
      <c r="C127" s="248"/>
      <c r="D127" s="248"/>
      <c r="E127" s="248"/>
      <c r="F127" s="248"/>
      <c r="G127" s="248"/>
      <c r="H127" s="248"/>
      <c r="I127" s="248"/>
      <c r="J127" s="248"/>
      <c r="K127" s="248"/>
    </row>
    <row r="128" spans="3:11" x14ac:dyDescent="0.2">
      <c r="C128" s="248"/>
      <c r="D128" s="248"/>
      <c r="E128" s="248"/>
      <c r="F128" s="248"/>
      <c r="G128" s="248"/>
      <c r="H128" s="248"/>
      <c r="I128" s="248"/>
      <c r="J128" s="248"/>
      <c r="K128" s="248"/>
    </row>
    <row r="129" spans="3:11" x14ac:dyDescent="0.2">
      <c r="C129" s="248"/>
      <c r="D129" s="248"/>
      <c r="E129" s="248"/>
      <c r="F129" s="248"/>
      <c r="G129" s="248"/>
      <c r="H129" s="248"/>
      <c r="I129" s="248"/>
      <c r="J129" s="248"/>
      <c r="K129" s="248"/>
    </row>
    <row r="130" spans="3:11" x14ac:dyDescent="0.2">
      <c r="C130" s="248"/>
      <c r="D130" s="248"/>
      <c r="E130" s="248"/>
      <c r="F130" s="248"/>
      <c r="G130" s="248"/>
      <c r="H130" s="248"/>
      <c r="I130" s="248"/>
      <c r="J130" s="248"/>
      <c r="K130" s="248"/>
    </row>
    <row r="131" spans="3:11" x14ac:dyDescent="0.2">
      <c r="C131" s="248"/>
      <c r="D131" s="248"/>
      <c r="E131" s="248"/>
      <c r="F131" s="248"/>
      <c r="G131" s="248"/>
      <c r="H131" s="248"/>
      <c r="I131" s="248"/>
      <c r="J131" s="248"/>
      <c r="K131" s="248"/>
    </row>
    <row r="132" spans="3:11" x14ac:dyDescent="0.2">
      <c r="C132" s="248"/>
      <c r="D132" s="248"/>
      <c r="E132" s="248"/>
      <c r="F132" s="248"/>
      <c r="G132" s="248"/>
      <c r="H132" s="248"/>
      <c r="I132" s="248"/>
      <c r="J132" s="248"/>
      <c r="K132" s="248"/>
    </row>
    <row r="133" spans="3:11" x14ac:dyDescent="0.2">
      <c r="C133" s="248"/>
      <c r="D133" s="248"/>
      <c r="E133" s="248"/>
      <c r="F133" s="248"/>
      <c r="G133" s="248"/>
      <c r="H133" s="248"/>
      <c r="I133" s="248"/>
      <c r="J133" s="248"/>
      <c r="K133" s="248"/>
    </row>
    <row r="134" spans="3:11" x14ac:dyDescent="0.2">
      <c r="C134" s="248"/>
      <c r="D134" s="248"/>
      <c r="E134" s="248"/>
      <c r="F134" s="248"/>
      <c r="G134" s="248"/>
      <c r="H134" s="248"/>
      <c r="I134" s="248"/>
      <c r="J134" s="248"/>
      <c r="K134" s="248"/>
    </row>
    <row r="135" spans="3:11" x14ac:dyDescent="0.2">
      <c r="C135" s="248"/>
      <c r="D135" s="248"/>
      <c r="E135" s="248"/>
      <c r="F135" s="248"/>
      <c r="G135" s="248"/>
      <c r="H135" s="248"/>
      <c r="I135" s="248"/>
      <c r="J135" s="248"/>
      <c r="K135" s="248"/>
    </row>
    <row r="136" spans="3:11" x14ac:dyDescent="0.2">
      <c r="C136" s="248"/>
      <c r="D136" s="248"/>
      <c r="E136" s="248"/>
      <c r="F136" s="248"/>
      <c r="G136" s="248"/>
      <c r="H136" s="248"/>
      <c r="I136" s="248"/>
      <c r="J136" s="248"/>
      <c r="K136" s="248"/>
    </row>
    <row r="137" spans="3:11" x14ac:dyDescent="0.2">
      <c r="C137" s="248"/>
      <c r="D137" s="248"/>
      <c r="E137" s="248"/>
      <c r="F137" s="248"/>
      <c r="G137" s="248"/>
      <c r="H137" s="248"/>
      <c r="I137" s="248"/>
      <c r="J137" s="248"/>
      <c r="K137" s="248"/>
    </row>
    <row r="138" spans="3:11" x14ac:dyDescent="0.2">
      <c r="C138" s="248"/>
      <c r="D138" s="248"/>
      <c r="E138" s="248"/>
      <c r="F138" s="248"/>
      <c r="G138" s="248"/>
      <c r="H138" s="248"/>
      <c r="I138" s="248"/>
      <c r="J138" s="248"/>
      <c r="K138" s="248"/>
    </row>
    <row r="139" spans="3:11" x14ac:dyDescent="0.2">
      <c r="C139" s="248"/>
      <c r="D139" s="248"/>
      <c r="E139" s="248"/>
      <c r="F139" s="248"/>
      <c r="G139" s="248"/>
      <c r="H139" s="248"/>
      <c r="I139" s="248"/>
      <c r="J139" s="248"/>
      <c r="K139" s="248"/>
    </row>
    <row r="140" spans="3:11" x14ac:dyDescent="0.2">
      <c r="C140" s="248"/>
      <c r="D140" s="248"/>
      <c r="E140" s="248"/>
      <c r="F140" s="248"/>
      <c r="G140" s="248"/>
      <c r="H140" s="248"/>
      <c r="I140" s="248"/>
      <c r="J140" s="248"/>
      <c r="K140" s="248"/>
    </row>
    <row r="141" spans="3:11" x14ac:dyDescent="0.2">
      <c r="C141" s="248"/>
      <c r="D141" s="248"/>
      <c r="E141" s="248"/>
      <c r="F141" s="248"/>
      <c r="G141" s="248"/>
      <c r="H141" s="248"/>
      <c r="I141" s="248"/>
      <c r="J141" s="248"/>
      <c r="K141" s="248"/>
    </row>
    <row r="142" spans="3:11" x14ac:dyDescent="0.2">
      <c r="C142" s="248"/>
      <c r="D142" s="248"/>
      <c r="E142" s="248"/>
      <c r="F142" s="248"/>
      <c r="G142" s="248"/>
      <c r="H142" s="248"/>
      <c r="I142" s="248"/>
      <c r="J142" s="248"/>
      <c r="K142" s="248"/>
    </row>
    <row r="143" spans="3:11" x14ac:dyDescent="0.2">
      <c r="C143" s="248"/>
      <c r="D143" s="248"/>
      <c r="E143" s="248"/>
      <c r="F143" s="248"/>
      <c r="G143" s="248"/>
      <c r="H143" s="248"/>
      <c r="I143" s="248"/>
      <c r="J143" s="248"/>
      <c r="K143" s="248"/>
    </row>
    <row r="144" spans="3:11" x14ac:dyDescent="0.2">
      <c r="C144" s="248"/>
      <c r="D144" s="248"/>
      <c r="E144" s="248"/>
      <c r="F144" s="248"/>
      <c r="G144" s="248"/>
      <c r="H144" s="248"/>
      <c r="I144" s="248"/>
      <c r="J144" s="248"/>
      <c r="K144" s="248"/>
    </row>
    <row r="145" spans="3:11" x14ac:dyDescent="0.2">
      <c r="C145" s="248"/>
      <c r="D145" s="248"/>
      <c r="E145" s="248"/>
      <c r="F145" s="248"/>
      <c r="G145" s="248"/>
      <c r="H145" s="248"/>
      <c r="I145" s="248"/>
      <c r="J145" s="248"/>
      <c r="K145" s="248"/>
    </row>
    <row r="146" spans="3:11" x14ac:dyDescent="0.2">
      <c r="C146" s="248"/>
      <c r="D146" s="248"/>
      <c r="E146" s="248"/>
      <c r="F146" s="248"/>
      <c r="G146" s="248"/>
      <c r="H146" s="248"/>
      <c r="I146" s="248"/>
      <c r="J146" s="248"/>
      <c r="K146" s="248"/>
    </row>
    <row r="147" spans="3:11" x14ac:dyDescent="0.2">
      <c r="C147" s="248"/>
      <c r="D147" s="248"/>
      <c r="E147" s="248"/>
      <c r="F147" s="248"/>
      <c r="G147" s="248"/>
      <c r="H147" s="248"/>
      <c r="I147" s="248"/>
      <c r="J147" s="248"/>
      <c r="K147" s="248"/>
    </row>
    <row r="148" spans="3:11" x14ac:dyDescent="0.2">
      <c r="C148" s="248"/>
      <c r="D148" s="248"/>
      <c r="E148" s="248"/>
      <c r="F148" s="248"/>
      <c r="G148" s="248"/>
      <c r="H148" s="248"/>
      <c r="I148" s="248"/>
      <c r="J148" s="248"/>
      <c r="K148" s="248"/>
    </row>
    <row r="149" spans="3:11" x14ac:dyDescent="0.2">
      <c r="C149" s="248"/>
      <c r="D149" s="248"/>
      <c r="E149" s="248"/>
      <c r="F149" s="248"/>
      <c r="G149" s="248"/>
      <c r="H149" s="248"/>
      <c r="I149" s="248"/>
      <c r="J149" s="248"/>
      <c r="K149" s="248"/>
    </row>
    <row r="150" spans="3:11" x14ac:dyDescent="0.2">
      <c r="C150" s="248"/>
      <c r="D150" s="248"/>
      <c r="E150" s="248"/>
      <c r="F150" s="248"/>
      <c r="G150" s="248"/>
      <c r="H150" s="248"/>
      <c r="I150" s="248"/>
      <c r="J150" s="248"/>
      <c r="K150" s="248"/>
    </row>
    <row r="151" spans="3:11" x14ac:dyDescent="0.2">
      <c r="C151" s="248"/>
      <c r="D151" s="248"/>
      <c r="E151" s="248"/>
      <c r="F151" s="248"/>
      <c r="G151" s="248"/>
      <c r="H151" s="248"/>
      <c r="I151" s="248"/>
      <c r="J151" s="248"/>
      <c r="K151" s="248"/>
    </row>
    <row r="152" spans="3:11" x14ac:dyDescent="0.2">
      <c r="C152" s="248"/>
      <c r="D152" s="248"/>
      <c r="E152" s="248"/>
      <c r="F152" s="248"/>
      <c r="G152" s="248"/>
      <c r="H152" s="248"/>
      <c r="I152" s="248"/>
      <c r="J152" s="248"/>
      <c r="K152" s="248"/>
    </row>
    <row r="153" spans="3:11" x14ac:dyDescent="0.2">
      <c r="C153" s="248"/>
      <c r="D153" s="248"/>
      <c r="E153" s="248"/>
      <c r="F153" s="248"/>
      <c r="G153" s="248"/>
      <c r="H153" s="248"/>
      <c r="I153" s="248"/>
      <c r="J153" s="248"/>
      <c r="K153" s="248"/>
    </row>
    <row r="154" spans="3:11" x14ac:dyDescent="0.2">
      <c r="C154" s="248"/>
      <c r="D154" s="248"/>
      <c r="E154" s="248"/>
      <c r="F154" s="248"/>
      <c r="G154" s="248"/>
      <c r="H154" s="248"/>
      <c r="I154" s="248"/>
      <c r="J154" s="248"/>
      <c r="K154" s="248"/>
    </row>
    <row r="155" spans="3:11" x14ac:dyDescent="0.2">
      <c r="C155" s="248"/>
      <c r="D155" s="248"/>
      <c r="E155" s="248"/>
      <c r="F155" s="248"/>
      <c r="G155" s="248"/>
      <c r="H155" s="248"/>
      <c r="I155" s="248"/>
      <c r="J155" s="248"/>
      <c r="K155" s="248"/>
    </row>
    <row r="156" spans="3:11" x14ac:dyDescent="0.2">
      <c r="C156" s="248"/>
      <c r="D156" s="248"/>
      <c r="E156" s="248"/>
      <c r="F156" s="248"/>
      <c r="G156" s="248"/>
      <c r="H156" s="248"/>
      <c r="I156" s="248"/>
      <c r="J156" s="248"/>
      <c r="K156" s="248"/>
    </row>
    <row r="157" spans="3:11" x14ac:dyDescent="0.2">
      <c r="C157" s="248"/>
      <c r="D157" s="248"/>
      <c r="E157" s="248"/>
      <c r="F157" s="248"/>
      <c r="G157" s="248"/>
      <c r="H157" s="248"/>
      <c r="I157" s="248"/>
      <c r="J157" s="248"/>
      <c r="K157" s="248"/>
    </row>
    <row r="158" spans="3:11" x14ac:dyDescent="0.2">
      <c r="C158" s="248"/>
      <c r="D158" s="248"/>
      <c r="E158" s="248"/>
      <c r="F158" s="248"/>
      <c r="G158" s="248"/>
      <c r="H158" s="248"/>
      <c r="I158" s="248"/>
      <c r="J158" s="248"/>
      <c r="K158" s="248"/>
    </row>
    <row r="159" spans="3:11" x14ac:dyDescent="0.2">
      <c r="C159" s="248"/>
      <c r="D159" s="248"/>
      <c r="E159" s="248"/>
      <c r="F159" s="248"/>
      <c r="G159" s="248"/>
      <c r="H159" s="248"/>
      <c r="I159" s="248"/>
      <c r="J159" s="248"/>
      <c r="K159" s="248"/>
    </row>
    <row r="160" spans="3:11" x14ac:dyDescent="0.2">
      <c r="C160" s="248"/>
      <c r="D160" s="248"/>
      <c r="E160" s="248"/>
      <c r="F160" s="248"/>
      <c r="G160" s="248"/>
      <c r="H160" s="248"/>
      <c r="I160" s="248"/>
      <c r="J160" s="248"/>
      <c r="K160" s="248"/>
    </row>
    <row r="161" spans="3:11" x14ac:dyDescent="0.2">
      <c r="C161" s="248"/>
      <c r="D161" s="248"/>
      <c r="E161" s="248"/>
      <c r="F161" s="248"/>
      <c r="G161" s="248"/>
      <c r="H161" s="248"/>
      <c r="I161" s="248"/>
      <c r="J161" s="248"/>
      <c r="K161" s="248"/>
    </row>
    <row r="162" spans="3:11" x14ac:dyDescent="0.2">
      <c r="C162" s="248"/>
      <c r="D162" s="248"/>
      <c r="E162" s="248"/>
      <c r="F162" s="248"/>
      <c r="G162" s="248"/>
      <c r="H162" s="248"/>
      <c r="I162" s="248"/>
      <c r="J162" s="248"/>
      <c r="K162" s="248"/>
    </row>
    <row r="163" spans="3:11" x14ac:dyDescent="0.2">
      <c r="C163" s="248"/>
      <c r="D163" s="248"/>
      <c r="E163" s="248"/>
      <c r="F163" s="248"/>
      <c r="G163" s="248"/>
      <c r="H163" s="248"/>
      <c r="I163" s="248"/>
      <c r="J163" s="248"/>
      <c r="K163" s="248"/>
    </row>
    <row r="164" spans="3:11" x14ac:dyDescent="0.2">
      <c r="C164" s="248"/>
      <c r="D164" s="248"/>
      <c r="E164" s="248"/>
      <c r="F164" s="248"/>
      <c r="G164" s="248"/>
      <c r="H164" s="248"/>
      <c r="I164" s="248"/>
      <c r="J164" s="248"/>
      <c r="K164" s="248"/>
    </row>
    <row r="165" spans="3:11" x14ac:dyDescent="0.2">
      <c r="C165" s="248"/>
      <c r="D165" s="248"/>
      <c r="E165" s="248"/>
      <c r="F165" s="248"/>
      <c r="G165" s="248"/>
      <c r="H165" s="248"/>
      <c r="I165" s="248"/>
      <c r="J165" s="248"/>
      <c r="K165" s="248"/>
    </row>
    <row r="166" spans="3:11" x14ac:dyDescent="0.2">
      <c r="C166" s="248"/>
      <c r="D166" s="248"/>
      <c r="E166" s="248"/>
      <c r="F166" s="248"/>
      <c r="G166" s="248"/>
      <c r="H166" s="248"/>
      <c r="I166" s="248"/>
      <c r="J166" s="248"/>
      <c r="K166" s="248"/>
    </row>
    <row r="167" spans="3:11" x14ac:dyDescent="0.2">
      <c r="C167" s="248"/>
      <c r="D167" s="248"/>
      <c r="E167" s="248"/>
      <c r="F167" s="248"/>
      <c r="G167" s="248"/>
      <c r="H167" s="248"/>
      <c r="I167" s="248"/>
      <c r="J167" s="248"/>
      <c r="K167" s="248"/>
    </row>
    <row r="168" spans="3:11" x14ac:dyDescent="0.2">
      <c r="C168" s="248"/>
      <c r="D168" s="248"/>
      <c r="E168" s="248"/>
      <c r="F168" s="248"/>
      <c r="G168" s="248"/>
      <c r="H168" s="248"/>
      <c r="I168" s="248"/>
      <c r="J168" s="248"/>
      <c r="K168" s="248"/>
    </row>
    <row r="169" spans="3:11" x14ac:dyDescent="0.2">
      <c r="C169" s="248"/>
      <c r="D169" s="248"/>
      <c r="E169" s="248"/>
      <c r="F169" s="248"/>
      <c r="G169" s="248"/>
      <c r="H169" s="248"/>
      <c r="I169" s="248"/>
      <c r="J169" s="248"/>
      <c r="K169" s="248"/>
    </row>
    <row r="170" spans="3:11" x14ac:dyDescent="0.2">
      <c r="C170" s="248"/>
      <c r="D170" s="248"/>
      <c r="E170" s="248"/>
      <c r="F170" s="248"/>
      <c r="G170" s="248"/>
      <c r="H170" s="248"/>
      <c r="I170" s="248"/>
      <c r="J170" s="248"/>
      <c r="K170" s="248"/>
    </row>
    <row r="171" spans="3:11" x14ac:dyDescent="0.2">
      <c r="C171" s="248"/>
      <c r="D171" s="248"/>
      <c r="E171" s="248"/>
      <c r="F171" s="248"/>
      <c r="G171" s="248"/>
      <c r="H171" s="248"/>
      <c r="I171" s="248"/>
      <c r="J171" s="248"/>
      <c r="K171" s="248"/>
    </row>
    <row r="172" spans="3:11" x14ac:dyDescent="0.2">
      <c r="C172" s="248"/>
      <c r="D172" s="248"/>
      <c r="E172" s="248"/>
      <c r="F172" s="248"/>
      <c r="G172" s="248"/>
      <c r="H172" s="248"/>
      <c r="I172" s="248"/>
      <c r="J172" s="248"/>
      <c r="K172" s="248"/>
    </row>
    <row r="173" spans="3:11" x14ac:dyDescent="0.2">
      <c r="C173" s="248"/>
      <c r="D173" s="248"/>
      <c r="E173" s="248"/>
      <c r="F173" s="248"/>
      <c r="G173" s="248"/>
      <c r="H173" s="248"/>
      <c r="I173" s="248"/>
      <c r="J173" s="248"/>
      <c r="K173" s="248"/>
    </row>
    <row r="174" spans="3:11" x14ac:dyDescent="0.2">
      <c r="C174" s="248"/>
      <c r="D174" s="248"/>
      <c r="E174" s="248"/>
      <c r="F174" s="248"/>
      <c r="G174" s="248"/>
      <c r="H174" s="248"/>
      <c r="I174" s="248"/>
      <c r="J174" s="248"/>
      <c r="K174" s="248"/>
    </row>
    <row r="175" spans="3:11" x14ac:dyDescent="0.2">
      <c r="C175" s="248"/>
      <c r="D175" s="248"/>
      <c r="E175" s="248"/>
      <c r="F175" s="248"/>
      <c r="G175" s="248"/>
      <c r="H175" s="248"/>
      <c r="I175" s="248"/>
      <c r="J175" s="248"/>
      <c r="K175" s="248"/>
    </row>
    <row r="176" spans="3:11" x14ac:dyDescent="0.2">
      <c r="C176" s="248"/>
      <c r="D176" s="248"/>
      <c r="E176" s="248"/>
      <c r="F176" s="248"/>
      <c r="G176" s="248"/>
      <c r="H176" s="248"/>
      <c r="I176" s="248"/>
      <c r="J176" s="248"/>
      <c r="K176" s="248"/>
    </row>
    <row r="177" spans="3:11" x14ac:dyDescent="0.2">
      <c r="C177" s="248"/>
      <c r="D177" s="248"/>
      <c r="E177" s="248"/>
      <c r="F177" s="248"/>
      <c r="G177" s="248"/>
      <c r="H177" s="248"/>
      <c r="I177" s="248"/>
      <c r="J177" s="248"/>
      <c r="K177" s="248"/>
    </row>
    <row r="178" spans="3:11" x14ac:dyDescent="0.2">
      <c r="C178" s="248"/>
      <c r="D178" s="248"/>
      <c r="E178" s="248"/>
      <c r="F178" s="248"/>
      <c r="G178" s="248"/>
      <c r="H178" s="248"/>
      <c r="I178" s="248"/>
      <c r="J178" s="248"/>
      <c r="K178" s="248"/>
    </row>
    <row r="179" spans="3:11" x14ac:dyDescent="0.2">
      <c r="C179" s="248"/>
      <c r="D179" s="248"/>
      <c r="E179" s="248"/>
      <c r="F179" s="248"/>
      <c r="G179" s="248"/>
      <c r="H179" s="248"/>
      <c r="I179" s="248"/>
      <c r="J179" s="248"/>
      <c r="K179" s="248"/>
    </row>
    <row r="180" spans="3:11" x14ac:dyDescent="0.2">
      <c r="C180" s="248"/>
      <c r="D180" s="248"/>
      <c r="E180" s="248"/>
      <c r="F180" s="248"/>
      <c r="G180" s="248"/>
      <c r="H180" s="248"/>
      <c r="I180" s="248"/>
      <c r="J180" s="248"/>
      <c r="K180" s="248"/>
    </row>
    <row r="181" spans="3:11" x14ac:dyDescent="0.2">
      <c r="C181" s="248"/>
      <c r="D181" s="248"/>
      <c r="E181" s="248"/>
      <c r="F181" s="248"/>
      <c r="G181" s="248"/>
      <c r="H181" s="248"/>
      <c r="I181" s="248"/>
      <c r="J181" s="248"/>
      <c r="K181" s="248"/>
    </row>
    <row r="182" spans="3:11" x14ac:dyDescent="0.2">
      <c r="C182" s="248"/>
      <c r="D182" s="248"/>
      <c r="E182" s="248"/>
      <c r="F182" s="248"/>
      <c r="G182" s="248"/>
      <c r="H182" s="248"/>
      <c r="I182" s="248"/>
      <c r="J182" s="248"/>
      <c r="K182" s="248"/>
    </row>
    <row r="183" spans="3:11" x14ac:dyDescent="0.2">
      <c r="C183" s="248"/>
      <c r="D183" s="248"/>
      <c r="E183" s="248"/>
      <c r="F183" s="248"/>
      <c r="G183" s="248"/>
      <c r="H183" s="248"/>
      <c r="I183" s="248"/>
      <c r="J183" s="248"/>
      <c r="K183" s="248"/>
    </row>
    <row r="184" spans="3:11" x14ac:dyDescent="0.2">
      <c r="C184" s="248"/>
      <c r="D184" s="248"/>
      <c r="E184" s="248"/>
      <c r="F184" s="248"/>
      <c r="G184" s="248"/>
      <c r="H184" s="248"/>
      <c r="I184" s="248"/>
      <c r="J184" s="248"/>
      <c r="K184" s="248"/>
    </row>
    <row r="185" spans="3:11" x14ac:dyDescent="0.2">
      <c r="C185" s="248"/>
      <c r="D185" s="248"/>
      <c r="E185" s="248"/>
      <c r="F185" s="248"/>
      <c r="G185" s="248"/>
      <c r="H185" s="248"/>
      <c r="I185" s="248"/>
      <c r="J185" s="248"/>
      <c r="K185" s="248"/>
    </row>
    <row r="186" spans="3:11" x14ac:dyDescent="0.2">
      <c r="C186" s="248"/>
      <c r="D186" s="248"/>
      <c r="E186" s="248"/>
      <c r="F186" s="248"/>
      <c r="G186" s="248"/>
      <c r="H186" s="248"/>
      <c r="I186" s="248"/>
      <c r="J186" s="248"/>
      <c r="K186" s="248"/>
    </row>
    <row r="187" spans="3:11" x14ac:dyDescent="0.2">
      <c r="C187" s="248"/>
      <c r="D187" s="248"/>
      <c r="E187" s="248"/>
      <c r="F187" s="248"/>
      <c r="G187" s="248"/>
      <c r="H187" s="248"/>
      <c r="I187" s="248"/>
      <c r="J187" s="248"/>
      <c r="K187" s="248"/>
    </row>
    <row r="188" spans="3:11" x14ac:dyDescent="0.2">
      <c r="C188" s="248"/>
      <c r="D188" s="248"/>
      <c r="E188" s="248"/>
      <c r="F188" s="248"/>
      <c r="G188" s="248"/>
      <c r="H188" s="248"/>
      <c r="I188" s="248"/>
      <c r="J188" s="248"/>
      <c r="K188" s="248"/>
    </row>
    <row r="189" spans="3:11" x14ac:dyDescent="0.2">
      <c r="C189" s="248"/>
      <c r="D189" s="248"/>
      <c r="E189" s="248"/>
      <c r="F189" s="248"/>
      <c r="G189" s="248"/>
      <c r="H189" s="248"/>
      <c r="I189" s="248"/>
      <c r="J189" s="248"/>
      <c r="K189" s="248"/>
    </row>
    <row r="190" spans="3:11" x14ac:dyDescent="0.2">
      <c r="C190" s="248"/>
      <c r="D190" s="248"/>
      <c r="E190" s="248"/>
      <c r="F190" s="248"/>
      <c r="G190" s="248"/>
      <c r="H190" s="248"/>
      <c r="I190" s="248"/>
      <c r="J190" s="248"/>
      <c r="K190" s="248"/>
    </row>
    <row r="191" spans="3:11" x14ac:dyDescent="0.2">
      <c r="C191" s="248"/>
      <c r="D191" s="248"/>
      <c r="E191" s="248"/>
      <c r="F191" s="248"/>
      <c r="G191" s="248"/>
      <c r="H191" s="248"/>
      <c r="I191" s="248"/>
      <c r="J191" s="248"/>
      <c r="K191" s="248"/>
    </row>
    <row r="192" spans="3:11" x14ac:dyDescent="0.2">
      <c r="C192" s="248"/>
      <c r="D192" s="248"/>
      <c r="E192" s="248"/>
      <c r="F192" s="248"/>
      <c r="G192" s="248"/>
      <c r="H192" s="248"/>
      <c r="I192" s="248"/>
      <c r="J192" s="248"/>
      <c r="K192" s="248"/>
    </row>
    <row r="193" spans="3:11" x14ac:dyDescent="0.2">
      <c r="C193" s="248"/>
      <c r="D193" s="248"/>
      <c r="E193" s="248"/>
      <c r="F193" s="248"/>
      <c r="G193" s="248"/>
      <c r="H193" s="248"/>
      <c r="I193" s="248"/>
      <c r="J193" s="248"/>
      <c r="K193" s="248"/>
    </row>
    <row r="194" spans="3:11" x14ac:dyDescent="0.2">
      <c r="C194" s="248"/>
      <c r="D194" s="248"/>
      <c r="E194" s="248"/>
      <c r="F194" s="248"/>
      <c r="G194" s="248"/>
      <c r="H194" s="248"/>
      <c r="I194" s="248"/>
      <c r="J194" s="248"/>
      <c r="K194" s="248"/>
    </row>
    <row r="195" spans="3:11" x14ac:dyDescent="0.2">
      <c r="C195" s="248"/>
      <c r="D195" s="248"/>
      <c r="E195" s="248"/>
      <c r="F195" s="248"/>
      <c r="G195" s="248"/>
      <c r="H195" s="248"/>
      <c r="I195" s="248"/>
      <c r="J195" s="248"/>
      <c r="K195" s="248"/>
    </row>
    <row r="196" spans="3:11" x14ac:dyDescent="0.2">
      <c r="C196" s="248"/>
      <c r="D196" s="248"/>
      <c r="E196" s="248"/>
      <c r="F196" s="248"/>
      <c r="G196" s="248"/>
      <c r="H196" s="248"/>
      <c r="I196" s="248"/>
      <c r="J196" s="248"/>
      <c r="K196" s="248"/>
    </row>
    <row r="197" spans="3:11" x14ac:dyDescent="0.2">
      <c r="C197" s="248"/>
      <c r="D197" s="248"/>
      <c r="E197" s="248"/>
      <c r="F197" s="248"/>
      <c r="G197" s="248"/>
      <c r="H197" s="248"/>
      <c r="I197" s="248"/>
      <c r="J197" s="248"/>
      <c r="K197" s="248"/>
    </row>
    <row r="198" spans="3:11" x14ac:dyDescent="0.2">
      <c r="C198" s="248"/>
      <c r="D198" s="248"/>
      <c r="E198" s="248"/>
      <c r="F198" s="248"/>
      <c r="G198" s="248"/>
      <c r="H198" s="248"/>
      <c r="I198" s="248"/>
      <c r="J198" s="248"/>
      <c r="K198" s="248"/>
    </row>
    <row r="199" spans="3:11" x14ac:dyDescent="0.2">
      <c r="C199" s="248"/>
      <c r="D199" s="248"/>
      <c r="E199" s="248"/>
      <c r="F199" s="248"/>
      <c r="G199" s="248"/>
      <c r="H199" s="248"/>
      <c r="I199" s="248"/>
      <c r="J199" s="248"/>
      <c r="K199" s="248"/>
    </row>
    <row r="200" spans="3:11" x14ac:dyDescent="0.2">
      <c r="C200" s="248"/>
      <c r="D200" s="248"/>
      <c r="E200" s="248"/>
      <c r="F200" s="248"/>
      <c r="G200" s="248"/>
      <c r="H200" s="248"/>
      <c r="I200" s="248"/>
      <c r="J200" s="248"/>
      <c r="K200" s="248"/>
    </row>
    <row r="201" spans="3:11" x14ac:dyDescent="0.2">
      <c r="C201" s="248"/>
      <c r="D201" s="248"/>
      <c r="E201" s="248"/>
      <c r="F201" s="248"/>
      <c r="G201" s="248"/>
      <c r="H201" s="248"/>
      <c r="I201" s="248"/>
      <c r="J201" s="248"/>
      <c r="K201" s="248"/>
    </row>
    <row r="202" spans="3:11" x14ac:dyDescent="0.2">
      <c r="C202" s="248"/>
      <c r="D202" s="248"/>
      <c r="E202" s="248"/>
      <c r="F202" s="248"/>
      <c r="G202" s="248"/>
      <c r="H202" s="248"/>
      <c r="I202" s="248"/>
      <c r="J202" s="248"/>
      <c r="K202" s="248"/>
    </row>
    <row r="203" spans="3:11" x14ac:dyDescent="0.2">
      <c r="C203" s="248"/>
      <c r="D203" s="248"/>
      <c r="E203" s="248"/>
      <c r="F203" s="248"/>
      <c r="G203" s="248"/>
      <c r="H203" s="248"/>
      <c r="I203" s="248"/>
      <c r="J203" s="248"/>
      <c r="K203" s="248"/>
    </row>
    <row r="204" spans="3:11" x14ac:dyDescent="0.2">
      <c r="C204" s="248"/>
      <c r="D204" s="248"/>
      <c r="E204" s="248"/>
      <c r="F204" s="248"/>
      <c r="G204" s="248"/>
      <c r="H204" s="248"/>
      <c r="I204" s="248"/>
      <c r="J204" s="248"/>
      <c r="K204" s="248"/>
    </row>
    <row r="205" spans="3:11" x14ac:dyDescent="0.2">
      <c r="C205" s="248"/>
      <c r="D205" s="248"/>
      <c r="E205" s="248"/>
      <c r="F205" s="248"/>
      <c r="G205" s="248"/>
      <c r="H205" s="248"/>
      <c r="I205" s="248"/>
      <c r="J205" s="248"/>
      <c r="K205" s="248"/>
    </row>
    <row r="206" spans="3:11" x14ac:dyDescent="0.2">
      <c r="C206" s="248"/>
      <c r="D206" s="248"/>
      <c r="E206" s="248"/>
      <c r="F206" s="248"/>
      <c r="G206" s="248"/>
      <c r="H206" s="248"/>
      <c r="I206" s="248"/>
      <c r="J206" s="248"/>
      <c r="K206" s="248"/>
    </row>
    <row r="207" spans="3:11" x14ac:dyDescent="0.2">
      <c r="C207" s="248"/>
      <c r="D207" s="248"/>
      <c r="E207" s="248"/>
      <c r="F207" s="248"/>
      <c r="G207" s="248"/>
      <c r="H207" s="248"/>
      <c r="I207" s="248"/>
      <c r="J207" s="248"/>
      <c r="K207" s="248"/>
    </row>
    <row r="208" spans="3:11" x14ac:dyDescent="0.2">
      <c r="C208" s="248"/>
      <c r="D208" s="248"/>
      <c r="E208" s="248"/>
      <c r="F208" s="248"/>
      <c r="G208" s="248"/>
      <c r="H208" s="248"/>
      <c r="I208" s="248"/>
      <c r="J208" s="248"/>
      <c r="K208" s="248"/>
    </row>
    <row r="209" spans="3:11" x14ac:dyDescent="0.2">
      <c r="C209" s="248"/>
      <c r="D209" s="248"/>
      <c r="E209" s="248"/>
      <c r="F209" s="248"/>
      <c r="G209" s="248"/>
      <c r="H209" s="248"/>
      <c r="I209" s="248"/>
      <c r="J209" s="248"/>
      <c r="K209" s="248"/>
    </row>
    <row r="210" spans="3:11" x14ac:dyDescent="0.2">
      <c r="C210" s="248"/>
      <c r="D210" s="248"/>
      <c r="E210" s="248"/>
      <c r="F210" s="248"/>
      <c r="G210" s="248"/>
      <c r="H210" s="248"/>
      <c r="I210" s="248"/>
      <c r="J210" s="248"/>
      <c r="K210" s="248"/>
    </row>
    <row r="211" spans="3:11" x14ac:dyDescent="0.2">
      <c r="C211" s="248"/>
      <c r="D211" s="248"/>
      <c r="E211" s="248"/>
      <c r="F211" s="248"/>
      <c r="G211" s="248"/>
      <c r="H211" s="248"/>
      <c r="I211" s="248"/>
      <c r="J211" s="248"/>
      <c r="K211" s="248"/>
    </row>
    <row r="212" spans="3:11" x14ac:dyDescent="0.2">
      <c r="C212" s="248"/>
      <c r="D212" s="248"/>
      <c r="E212" s="248"/>
      <c r="F212" s="248"/>
      <c r="G212" s="248"/>
      <c r="H212" s="248"/>
      <c r="I212" s="248"/>
      <c r="J212" s="248"/>
      <c r="K212" s="248"/>
    </row>
    <row r="213" spans="3:11" x14ac:dyDescent="0.2">
      <c r="C213" s="248"/>
      <c r="D213" s="248"/>
      <c r="E213" s="248"/>
      <c r="F213" s="248"/>
      <c r="G213" s="248"/>
      <c r="H213" s="248"/>
      <c r="I213" s="248"/>
      <c r="J213" s="248"/>
      <c r="K213" s="248"/>
    </row>
    <row r="214" spans="3:11" x14ac:dyDescent="0.2">
      <c r="C214" s="248"/>
      <c r="D214" s="248"/>
      <c r="E214" s="248"/>
      <c r="F214" s="248"/>
      <c r="G214" s="248"/>
      <c r="H214" s="248"/>
      <c r="I214" s="248"/>
      <c r="J214" s="248"/>
      <c r="K214" s="248"/>
    </row>
    <row r="215" spans="3:11" x14ac:dyDescent="0.2">
      <c r="C215" s="248"/>
      <c r="D215" s="248"/>
      <c r="E215" s="248"/>
      <c r="F215" s="248"/>
      <c r="G215" s="248"/>
      <c r="H215" s="248"/>
      <c r="I215" s="248"/>
      <c r="J215" s="248"/>
      <c r="K215" s="248"/>
    </row>
    <row r="216" spans="3:11" x14ac:dyDescent="0.2">
      <c r="C216" s="248"/>
      <c r="D216" s="248"/>
      <c r="E216" s="248"/>
      <c r="F216" s="248"/>
      <c r="G216" s="248"/>
      <c r="H216" s="248"/>
      <c r="I216" s="248"/>
      <c r="J216" s="248"/>
      <c r="K216" s="248"/>
    </row>
    <row r="217" spans="3:11" x14ac:dyDescent="0.2">
      <c r="C217" s="248"/>
      <c r="D217" s="248"/>
      <c r="E217" s="248"/>
      <c r="F217" s="248"/>
      <c r="G217" s="248"/>
      <c r="H217" s="248"/>
      <c r="I217" s="248"/>
      <c r="J217" s="248"/>
      <c r="K217" s="248"/>
    </row>
    <row r="218" spans="3:11" x14ac:dyDescent="0.2">
      <c r="C218" s="248"/>
      <c r="D218" s="248"/>
      <c r="E218" s="248"/>
      <c r="F218" s="248"/>
      <c r="G218" s="248"/>
      <c r="H218" s="248"/>
      <c r="I218" s="248"/>
      <c r="J218" s="248"/>
      <c r="K218" s="248"/>
    </row>
    <row r="219" spans="3:11" x14ac:dyDescent="0.2">
      <c r="C219" s="248"/>
      <c r="D219" s="248"/>
      <c r="E219" s="248"/>
      <c r="F219" s="248"/>
      <c r="G219" s="248"/>
      <c r="H219" s="248"/>
      <c r="I219" s="248"/>
      <c r="J219" s="248"/>
      <c r="K219" s="248"/>
    </row>
    <row r="220" spans="3:11" x14ac:dyDescent="0.2">
      <c r="C220" s="248"/>
      <c r="D220" s="248"/>
      <c r="E220" s="248"/>
      <c r="F220" s="248"/>
      <c r="G220" s="248"/>
      <c r="H220" s="248"/>
      <c r="I220" s="248"/>
      <c r="J220" s="248"/>
      <c r="K220" s="248"/>
    </row>
    <row r="221" spans="3:11" x14ac:dyDescent="0.2">
      <c r="C221" s="248"/>
      <c r="D221" s="248"/>
      <c r="E221" s="248"/>
      <c r="F221" s="248"/>
      <c r="G221" s="248"/>
      <c r="H221" s="248"/>
      <c r="I221" s="248"/>
      <c r="J221" s="248"/>
      <c r="K221" s="248"/>
    </row>
    <row r="222" spans="3:11" x14ac:dyDescent="0.2">
      <c r="C222" s="248"/>
      <c r="D222" s="248"/>
      <c r="E222" s="248"/>
      <c r="F222" s="248"/>
      <c r="G222" s="248"/>
      <c r="H222" s="248"/>
      <c r="I222" s="248"/>
      <c r="J222" s="248"/>
      <c r="K222" s="248"/>
    </row>
    <row r="223" spans="3:11" x14ac:dyDescent="0.2">
      <c r="C223" s="248"/>
      <c r="D223" s="248"/>
      <c r="E223" s="248"/>
      <c r="F223" s="248"/>
      <c r="G223" s="248"/>
      <c r="H223" s="248"/>
      <c r="I223" s="248"/>
      <c r="J223" s="248"/>
      <c r="K223" s="248"/>
    </row>
    <row r="224" spans="3:11" x14ac:dyDescent="0.2">
      <c r="C224" s="248"/>
      <c r="D224" s="248"/>
      <c r="E224" s="248"/>
      <c r="F224" s="248"/>
      <c r="G224" s="248"/>
      <c r="H224" s="248"/>
      <c r="I224" s="248"/>
      <c r="J224" s="248"/>
      <c r="K224" s="248"/>
    </row>
    <row r="225" spans="3:11" x14ac:dyDescent="0.2">
      <c r="C225" s="248"/>
      <c r="D225" s="248"/>
      <c r="E225" s="248"/>
      <c r="F225" s="248"/>
      <c r="G225" s="248"/>
      <c r="H225" s="248"/>
      <c r="I225" s="248"/>
      <c r="J225" s="248"/>
      <c r="K225" s="248"/>
    </row>
    <row r="226" spans="3:11" x14ac:dyDescent="0.2">
      <c r="C226" s="248"/>
      <c r="D226" s="248"/>
      <c r="E226" s="248"/>
      <c r="F226" s="248"/>
      <c r="G226" s="248"/>
      <c r="H226" s="248"/>
      <c r="I226" s="248"/>
      <c r="J226" s="248"/>
      <c r="K226" s="248"/>
    </row>
    <row r="227" spans="3:11" x14ac:dyDescent="0.2">
      <c r="C227" s="248"/>
      <c r="D227" s="248"/>
      <c r="E227" s="248"/>
      <c r="F227" s="248"/>
      <c r="G227" s="248"/>
      <c r="H227" s="248"/>
      <c r="I227" s="248"/>
      <c r="J227" s="248"/>
      <c r="K227" s="248"/>
    </row>
    <row r="228" spans="3:11" x14ac:dyDescent="0.2">
      <c r="C228" s="248"/>
      <c r="D228" s="248"/>
      <c r="E228" s="248"/>
      <c r="F228" s="248"/>
      <c r="G228" s="248"/>
      <c r="H228" s="248"/>
      <c r="I228" s="248"/>
      <c r="J228" s="248"/>
      <c r="K228" s="248"/>
    </row>
    <row r="229" spans="3:11" x14ac:dyDescent="0.2">
      <c r="C229" s="248"/>
      <c r="D229" s="248"/>
      <c r="E229" s="248"/>
      <c r="F229" s="248"/>
      <c r="G229" s="248"/>
      <c r="H229" s="248"/>
      <c r="I229" s="248"/>
      <c r="J229" s="248"/>
      <c r="K229" s="248"/>
    </row>
    <row r="230" spans="3:11" x14ac:dyDescent="0.2">
      <c r="C230" s="248"/>
      <c r="D230" s="248"/>
      <c r="E230" s="248"/>
      <c r="F230" s="248"/>
      <c r="G230" s="248"/>
      <c r="H230" s="248"/>
      <c r="I230" s="248"/>
      <c r="J230" s="248"/>
      <c r="K230" s="248"/>
    </row>
    <row r="231" spans="3:11" x14ac:dyDescent="0.2">
      <c r="C231" s="248"/>
      <c r="D231" s="248"/>
      <c r="E231" s="248"/>
      <c r="F231" s="248"/>
      <c r="G231" s="248"/>
      <c r="H231" s="248"/>
      <c r="I231" s="248"/>
      <c r="J231" s="248"/>
      <c r="K231" s="248"/>
    </row>
    <row r="232" spans="3:11" x14ac:dyDescent="0.2">
      <c r="C232" s="248"/>
      <c r="D232" s="248"/>
      <c r="E232" s="248"/>
      <c r="F232" s="248"/>
      <c r="G232" s="248"/>
      <c r="H232" s="248"/>
      <c r="I232" s="248"/>
      <c r="J232" s="248"/>
      <c r="K232" s="248"/>
    </row>
    <row r="233" spans="3:11" x14ac:dyDescent="0.2">
      <c r="C233" s="248"/>
      <c r="D233" s="248"/>
      <c r="E233" s="248"/>
      <c r="F233" s="248"/>
      <c r="G233" s="248"/>
      <c r="H233" s="248"/>
      <c r="I233" s="248"/>
      <c r="J233" s="248"/>
      <c r="K233" s="248"/>
    </row>
    <row r="234" spans="3:11" x14ac:dyDescent="0.2">
      <c r="C234" s="248"/>
      <c r="D234" s="248"/>
      <c r="E234" s="248"/>
      <c r="F234" s="248"/>
      <c r="G234" s="248"/>
      <c r="H234" s="248"/>
      <c r="I234" s="248"/>
      <c r="J234" s="248"/>
      <c r="K234" s="248"/>
    </row>
    <row r="235" spans="3:11" x14ac:dyDescent="0.2">
      <c r="C235" s="248"/>
      <c r="D235" s="248"/>
      <c r="E235" s="248"/>
      <c r="F235" s="248"/>
      <c r="G235" s="248"/>
      <c r="H235" s="248"/>
      <c r="I235" s="248"/>
      <c r="J235" s="248"/>
      <c r="K235" s="248"/>
    </row>
    <row r="236" spans="3:11" x14ac:dyDescent="0.2">
      <c r="C236" s="248"/>
      <c r="D236" s="248"/>
      <c r="E236" s="248"/>
      <c r="F236" s="248"/>
      <c r="G236" s="248"/>
      <c r="H236" s="248"/>
      <c r="I236" s="248"/>
      <c r="J236" s="248"/>
      <c r="K236" s="248"/>
    </row>
    <row r="237" spans="3:11" x14ac:dyDescent="0.2">
      <c r="C237" s="248"/>
      <c r="D237" s="248"/>
      <c r="E237" s="248"/>
      <c r="F237" s="248"/>
      <c r="G237" s="248"/>
      <c r="H237" s="248"/>
      <c r="I237" s="248"/>
      <c r="J237" s="248"/>
      <c r="K237" s="248"/>
    </row>
    <row r="238" spans="3:11" x14ac:dyDescent="0.2">
      <c r="C238" s="248"/>
      <c r="D238" s="248"/>
      <c r="E238" s="248"/>
      <c r="F238" s="248"/>
      <c r="G238" s="248"/>
      <c r="H238" s="248"/>
      <c r="I238" s="248"/>
      <c r="J238" s="248"/>
      <c r="K238" s="248"/>
    </row>
    <row r="239" spans="3:11" x14ac:dyDescent="0.2">
      <c r="C239" s="248"/>
      <c r="D239" s="248"/>
      <c r="E239" s="248"/>
      <c r="F239" s="248"/>
      <c r="G239" s="248"/>
      <c r="H239" s="248"/>
      <c r="I239" s="248"/>
      <c r="J239" s="248"/>
      <c r="K239" s="248"/>
    </row>
    <row r="240" spans="3:11" x14ac:dyDescent="0.2">
      <c r="C240" s="248"/>
      <c r="D240" s="248"/>
      <c r="E240" s="248"/>
      <c r="F240" s="248"/>
      <c r="G240" s="248"/>
      <c r="H240" s="248"/>
      <c r="I240" s="248"/>
      <c r="J240" s="248"/>
      <c r="K240" s="248"/>
    </row>
    <row r="241" spans="3:11" x14ac:dyDescent="0.2">
      <c r="C241" s="248"/>
      <c r="D241" s="248"/>
      <c r="E241" s="248"/>
      <c r="F241" s="248"/>
      <c r="G241" s="248"/>
      <c r="H241" s="248"/>
      <c r="I241" s="248"/>
      <c r="J241" s="248"/>
      <c r="K241" s="248"/>
    </row>
    <row r="242" spans="3:11" x14ac:dyDescent="0.2">
      <c r="C242" s="248"/>
      <c r="D242" s="248"/>
      <c r="E242" s="248"/>
      <c r="F242" s="248"/>
      <c r="G242" s="248"/>
      <c r="H242" s="248"/>
      <c r="I242" s="248"/>
      <c r="J242" s="248"/>
      <c r="K242" s="248"/>
    </row>
    <row r="243" spans="3:11" x14ac:dyDescent="0.2">
      <c r="C243" s="248"/>
      <c r="D243" s="248"/>
      <c r="E243" s="248"/>
      <c r="F243" s="248"/>
      <c r="G243" s="248"/>
      <c r="H243" s="248"/>
      <c r="I243" s="248"/>
      <c r="J243" s="248"/>
      <c r="K243" s="248"/>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31"/>
  <sheetViews>
    <sheetView tabSelected="1" zoomScale="110" zoomScaleNormal="110" workbookViewId="0">
      <pane ySplit="4" topLeftCell="A188" activePane="bottomLeft" state="frozen"/>
      <selection pane="bottomLeft" activeCell="D228" sqref="D228"/>
    </sheetView>
  </sheetViews>
  <sheetFormatPr defaultColWidth="9.140625" defaultRowHeight="12.75" customHeight="1" x14ac:dyDescent="0.2"/>
  <cols>
    <col min="1" max="1" width="3" style="246" bestFit="1" customWidth="1"/>
    <col min="2" max="2" width="7.28515625" style="246" customWidth="1"/>
    <col min="3" max="3" width="44.7109375" style="246" customWidth="1"/>
    <col min="4" max="4" width="18.7109375" style="246" customWidth="1"/>
    <col min="5" max="5" width="14.7109375" style="246" customWidth="1"/>
    <col min="6" max="6" width="12.7109375" style="553" customWidth="1"/>
    <col min="7" max="7" width="14.7109375" style="246" customWidth="1"/>
    <col min="8" max="8" width="4.28515625" style="553" customWidth="1"/>
    <col min="9" max="9" width="75.7109375" style="246" bestFit="1" customWidth="1"/>
    <col min="10" max="10" width="12.5703125" style="246" bestFit="1" customWidth="1"/>
    <col min="11" max="11" width="14.5703125" style="246" customWidth="1"/>
    <col min="12" max="16384" width="9.140625" style="246"/>
  </cols>
  <sheetData>
    <row r="1" spans="1:11" ht="15.75" x14ac:dyDescent="0.25">
      <c r="A1" s="551"/>
      <c r="B1" s="854" t="str">
        <f>TEXT(I1,"mmm")&amp;" 2026 - FY 2027 Charter School FTE Payment"</f>
        <v>Sep 2026 - FY 2027 Charter School FTE Payment</v>
      </c>
      <c r="C1" s="552"/>
      <c r="I1" s="848">
        <f>Consolidated!H4</f>
        <v>46266</v>
      </c>
    </row>
    <row r="2" spans="1:11" ht="15.75" x14ac:dyDescent="0.25">
      <c r="B2" s="854" t="str">
        <f>Consolidated!A3</f>
        <v>Based on the 2026-27 Second Calculation Worksheet</v>
      </c>
      <c r="C2" s="554"/>
      <c r="E2" s="555"/>
      <c r="F2" s="556"/>
      <c r="G2" s="555"/>
      <c r="I2" s="557"/>
    </row>
    <row r="3" spans="1:11" ht="12.75" customHeight="1" thickBot="1" x14ac:dyDescent="0.25">
      <c r="B3" s="558"/>
      <c r="C3" s="554"/>
      <c r="E3" s="555"/>
      <c r="F3" s="920"/>
      <c r="G3" s="920"/>
      <c r="I3" s="557"/>
    </row>
    <row r="4" spans="1:11" ht="12.75" customHeight="1" thickBot="1" x14ac:dyDescent="0.25">
      <c r="A4" s="247"/>
      <c r="B4" s="559" t="s">
        <v>528</v>
      </c>
      <c r="C4" s="560" t="s">
        <v>529</v>
      </c>
      <c r="D4" s="550" t="s">
        <v>530</v>
      </c>
      <c r="E4" s="297" t="s">
        <v>52</v>
      </c>
      <c r="F4" s="561" t="s">
        <v>531</v>
      </c>
      <c r="G4" s="297" t="s">
        <v>532</v>
      </c>
      <c r="I4" s="562" t="s">
        <v>533</v>
      </c>
      <c r="K4" s="905" t="s">
        <v>598</v>
      </c>
    </row>
    <row r="5" spans="1:11" ht="12.75" customHeight="1" x14ac:dyDescent="0.2">
      <c r="A5" s="563">
        <v>1</v>
      </c>
      <c r="B5" s="564" t="s">
        <v>269</v>
      </c>
      <c r="C5" s="565" t="s">
        <v>270</v>
      </c>
      <c r="D5" s="566" t="s">
        <v>710</v>
      </c>
      <c r="E5" s="567">
        <f>'0040'!$J$124</f>
        <v>0</v>
      </c>
      <c r="F5" s="568"/>
      <c r="G5" s="567">
        <f>SUBTOTAL(109,E5:F7)</f>
        <v>0</v>
      </c>
      <c r="I5" s="569"/>
      <c r="K5" s="665">
        <f>IF(E5&gt;0,E5,F5)</f>
        <v>0</v>
      </c>
    </row>
    <row r="6" spans="1:11" ht="12.75" hidden="1" customHeight="1" x14ac:dyDescent="0.2">
      <c r="A6" s="563"/>
      <c r="B6" s="564"/>
      <c r="C6" s="565"/>
      <c r="D6" s="566" t="s">
        <v>535</v>
      </c>
      <c r="E6" s="567"/>
      <c r="F6" s="568"/>
      <c r="G6" s="567"/>
      <c r="I6" s="570"/>
      <c r="K6" s="665">
        <f t="shared" ref="K6:K7" si="0">IF(G6&gt;0,G6,F6)</f>
        <v>0</v>
      </c>
    </row>
    <row r="7" spans="1:11" ht="12.75" hidden="1" customHeight="1" x14ac:dyDescent="0.2">
      <c r="A7" s="563"/>
      <c r="B7" s="564"/>
      <c r="C7" s="565"/>
      <c r="D7" s="566"/>
      <c r="E7" s="567"/>
      <c r="F7" s="568"/>
      <c r="G7" s="567"/>
      <c r="I7" s="571" t="s">
        <v>534</v>
      </c>
      <c r="K7" s="665">
        <f t="shared" si="0"/>
        <v>0</v>
      </c>
    </row>
    <row r="8" spans="1:11" ht="12.75" customHeight="1" x14ac:dyDescent="0.2">
      <c r="A8" s="823">
        <v>2</v>
      </c>
      <c r="B8" s="835" t="s">
        <v>582</v>
      </c>
      <c r="C8" s="836" t="s">
        <v>583</v>
      </c>
      <c r="D8" s="837" t="str">
        <f>D5</f>
        <v>FTE  Sep 2026</v>
      </c>
      <c r="E8" s="689">
        <f>'0571'!$J$124</f>
        <v>83079.759999999995</v>
      </c>
      <c r="F8" s="556"/>
      <c r="G8" s="689">
        <f>SUBTOTAL(109,E8:F8)</f>
        <v>83079.759999999995</v>
      </c>
      <c r="I8" s="571"/>
      <c r="K8" s="665">
        <f t="shared" ref="K8:K44" si="1">IF(E8&gt;0,E8,F8)</f>
        <v>83079.759999999995</v>
      </c>
    </row>
    <row r="9" spans="1:11" ht="12.75" hidden="1" customHeight="1" x14ac:dyDescent="0.2">
      <c r="A9" s="823"/>
      <c r="B9" s="835"/>
      <c r="C9" s="836"/>
      <c r="D9" s="837"/>
      <c r="E9" s="689"/>
      <c r="F9" s="556"/>
      <c r="G9" s="689"/>
      <c r="I9" s="571"/>
      <c r="K9" s="665">
        <f t="shared" si="1"/>
        <v>0</v>
      </c>
    </row>
    <row r="10" spans="1:11" ht="12.75" customHeight="1" x14ac:dyDescent="0.2">
      <c r="A10" s="563">
        <v>3</v>
      </c>
      <c r="B10" s="564" t="s">
        <v>271</v>
      </c>
      <c r="C10" s="565" t="s">
        <v>379</v>
      </c>
      <c r="D10" s="566" t="str">
        <f>D5</f>
        <v>FTE  Sep 2026</v>
      </c>
      <c r="E10" s="567">
        <f>'0100'!$J$124</f>
        <v>73194.289999999994</v>
      </c>
      <c r="F10" s="568"/>
      <c r="G10" s="567">
        <f>SUBTOTAL(109,E10:F12)</f>
        <v>73194.289999999994</v>
      </c>
      <c r="I10" s="573"/>
      <c r="K10" s="665">
        <f t="shared" si="1"/>
        <v>73194.289999999994</v>
      </c>
    </row>
    <row r="11" spans="1:11" ht="12.75" hidden="1" customHeight="1" x14ac:dyDescent="0.2">
      <c r="A11" s="563"/>
      <c r="B11" s="564"/>
      <c r="C11" s="565"/>
      <c r="D11" s="566" t="s">
        <v>535</v>
      </c>
      <c r="E11" s="567"/>
      <c r="F11" s="568"/>
      <c r="G11" s="567"/>
      <c r="I11" s="573"/>
      <c r="K11" s="665">
        <f t="shared" si="1"/>
        <v>0</v>
      </c>
    </row>
    <row r="12" spans="1:11" ht="12.75" hidden="1" customHeight="1" x14ac:dyDescent="0.2">
      <c r="A12" s="563"/>
      <c r="B12" s="564"/>
      <c r="C12" s="565"/>
      <c r="D12" s="566"/>
      <c r="E12" s="567"/>
      <c r="F12" s="568"/>
      <c r="G12" s="567"/>
      <c r="I12" s="570"/>
      <c r="K12" s="665">
        <f t="shared" si="1"/>
        <v>0</v>
      </c>
    </row>
    <row r="13" spans="1:11" ht="12.75" hidden="1" customHeight="1" x14ac:dyDescent="0.2">
      <c r="A13" s="563"/>
      <c r="B13" s="564"/>
      <c r="C13" s="565"/>
      <c r="D13" s="566"/>
      <c r="E13" s="567"/>
      <c r="F13" s="568"/>
      <c r="G13" s="567"/>
      <c r="I13" s="574"/>
      <c r="K13" s="665">
        <f t="shared" si="1"/>
        <v>0</v>
      </c>
    </row>
    <row r="14" spans="1:11" s="343" customFormat="1" ht="13.5" customHeight="1" x14ac:dyDescent="0.2">
      <c r="A14" s="823">
        <v>4</v>
      </c>
      <c r="B14" s="706" t="s">
        <v>273</v>
      </c>
      <c r="C14" s="707" t="s">
        <v>274</v>
      </c>
      <c r="D14" s="837" t="str">
        <f>D5</f>
        <v>FTE  Sep 2026</v>
      </c>
      <c r="E14" s="689">
        <f>'1461'!$J$124</f>
        <v>629061.48</v>
      </c>
      <c r="F14" s="592"/>
      <c r="G14" s="689">
        <f>SUBTOTAL(109,E14:F28)</f>
        <v>555732.08000000007</v>
      </c>
      <c r="H14" s="578"/>
      <c r="I14" s="574"/>
      <c r="J14" s="343">
        <v>1461</v>
      </c>
      <c r="K14" s="665">
        <f t="shared" si="1"/>
        <v>629061.48</v>
      </c>
    </row>
    <row r="15" spans="1:11" s="343" customFormat="1" ht="12.75" hidden="1" customHeight="1" x14ac:dyDescent="0.2">
      <c r="A15" s="823"/>
      <c r="B15" s="706"/>
      <c r="C15" s="707"/>
      <c r="D15" s="825" t="s">
        <v>535</v>
      </c>
      <c r="E15" s="689"/>
      <c r="F15" s="592"/>
      <c r="G15" s="689"/>
      <c r="H15" s="578"/>
      <c r="I15" s="571" t="s">
        <v>534</v>
      </c>
      <c r="K15" s="665">
        <f t="shared" si="1"/>
        <v>0</v>
      </c>
    </row>
    <row r="16" spans="1:11" s="343" customFormat="1" ht="12.75" hidden="1" customHeight="1" x14ac:dyDescent="0.2">
      <c r="A16" s="823"/>
      <c r="B16" s="706"/>
      <c r="C16" s="707"/>
      <c r="D16" s="826" t="s">
        <v>536</v>
      </c>
      <c r="E16" s="689"/>
      <c r="F16" s="592"/>
      <c r="G16" s="689"/>
      <c r="H16" s="578"/>
      <c r="I16" s="571"/>
      <c r="K16" s="665">
        <f t="shared" si="1"/>
        <v>0</v>
      </c>
    </row>
    <row r="17" spans="1:11" s="343" customFormat="1" ht="12.75" hidden="1" customHeight="1" x14ac:dyDescent="0.2">
      <c r="A17" s="823"/>
      <c r="B17" s="706"/>
      <c r="C17" s="707"/>
      <c r="D17" s="825" t="s">
        <v>537</v>
      </c>
      <c r="E17" s="689"/>
      <c r="F17" s="592"/>
      <c r="G17" s="689"/>
      <c r="H17" s="578"/>
      <c r="I17" s="571"/>
      <c r="K17" s="665">
        <f t="shared" si="1"/>
        <v>0</v>
      </c>
    </row>
    <row r="18" spans="1:11" s="343" customFormat="1" ht="12.75" hidden="1" customHeight="1" thickBot="1" x14ac:dyDescent="0.25">
      <c r="A18" s="823"/>
      <c r="B18" s="706"/>
      <c r="C18" s="707"/>
      <c r="D18" s="825" t="s">
        <v>538</v>
      </c>
      <c r="E18" s="689"/>
      <c r="F18" s="592"/>
      <c r="G18" s="689"/>
      <c r="H18" s="578"/>
      <c r="I18" s="581"/>
      <c r="K18" s="665">
        <f t="shared" si="1"/>
        <v>0</v>
      </c>
    </row>
    <row r="19" spans="1:11" s="343" customFormat="1" ht="12.75" hidden="1" customHeight="1" x14ac:dyDescent="0.2">
      <c r="A19" s="823"/>
      <c r="B19" s="706"/>
      <c r="C19" s="707"/>
      <c r="D19" s="825" t="s">
        <v>539</v>
      </c>
      <c r="E19" s="689"/>
      <c r="F19" s="592"/>
      <c r="G19" s="689"/>
      <c r="H19" s="578"/>
      <c r="I19" s="570"/>
      <c r="K19" s="665">
        <f t="shared" si="1"/>
        <v>0</v>
      </c>
    </row>
    <row r="20" spans="1:11" s="343" customFormat="1" ht="12.75" hidden="1" customHeight="1" x14ac:dyDescent="0.2">
      <c r="A20" s="823"/>
      <c r="B20" s="706"/>
      <c r="C20" s="707"/>
      <c r="D20" s="825" t="s">
        <v>540</v>
      </c>
      <c r="E20" s="689"/>
      <c r="F20" s="592"/>
      <c r="G20" s="689"/>
      <c r="H20" s="578"/>
      <c r="I20" s="574"/>
      <c r="K20" s="665">
        <f t="shared" si="1"/>
        <v>0</v>
      </c>
    </row>
    <row r="21" spans="1:11" s="343" customFormat="1" ht="12.75" customHeight="1" thickBot="1" x14ac:dyDescent="0.25">
      <c r="A21" s="823"/>
      <c r="B21" s="706"/>
      <c r="C21" s="828"/>
      <c r="D21" s="838" t="s">
        <v>541</v>
      </c>
      <c r="E21" s="689"/>
      <c r="F21" s="592">
        <f>-J28</f>
        <v>-57792.7</v>
      </c>
      <c r="G21" s="689"/>
      <c r="H21" s="578"/>
      <c r="I21" s="583"/>
      <c r="J21" s="345" t="s">
        <v>702</v>
      </c>
      <c r="K21" s="665">
        <f t="shared" si="1"/>
        <v>-57792.7</v>
      </c>
    </row>
    <row r="22" spans="1:11" s="343" customFormat="1" ht="12.75" customHeight="1" x14ac:dyDescent="0.2">
      <c r="A22" s="823"/>
      <c r="B22" s="706"/>
      <c r="C22" s="828"/>
      <c r="D22" s="838" t="s">
        <v>542</v>
      </c>
      <c r="E22" s="689"/>
      <c r="F22" s="592">
        <v>-14300</v>
      </c>
      <c r="G22" s="689"/>
      <c r="H22" s="578"/>
      <c r="I22" s="903"/>
      <c r="J22" s="899" t="s">
        <v>703</v>
      </c>
      <c r="K22" s="665">
        <f t="shared" si="1"/>
        <v>-14300</v>
      </c>
    </row>
    <row r="23" spans="1:11" s="343" customFormat="1" ht="12.75" customHeight="1" x14ac:dyDescent="0.2">
      <c r="A23" s="823"/>
      <c r="B23" s="706"/>
      <c r="C23" s="828"/>
      <c r="D23" s="838" t="s">
        <v>543</v>
      </c>
      <c r="E23" s="689"/>
      <c r="F23" s="592">
        <v>-264.72000000000003</v>
      </c>
      <c r="G23" s="689"/>
      <c r="H23" s="578"/>
      <c r="I23" s="903"/>
      <c r="J23" s="902">
        <v>1445</v>
      </c>
      <c r="K23" s="665">
        <f t="shared" si="1"/>
        <v>-264.72000000000003</v>
      </c>
    </row>
    <row r="24" spans="1:11" s="343" customFormat="1" ht="12.75" customHeight="1" x14ac:dyDescent="0.2">
      <c r="A24" s="823"/>
      <c r="B24" s="706"/>
      <c r="C24" s="828"/>
      <c r="D24" s="688" t="s">
        <v>544</v>
      </c>
      <c r="E24" s="689"/>
      <c r="F24" s="592">
        <v>-94.48</v>
      </c>
      <c r="G24" s="689"/>
      <c r="H24" s="578"/>
      <c r="I24" s="903"/>
      <c r="J24" s="900">
        <v>507.5</v>
      </c>
      <c r="K24" s="665">
        <f t="shared" si="1"/>
        <v>-94.48</v>
      </c>
    </row>
    <row r="25" spans="1:11" s="343" customFormat="1" ht="12.75" customHeight="1" x14ac:dyDescent="0.2">
      <c r="A25" s="823"/>
      <c r="B25" s="706"/>
      <c r="C25" s="828"/>
      <c r="D25" s="838" t="s">
        <v>545</v>
      </c>
      <c r="E25" s="689"/>
      <c r="F25" s="592">
        <v>-90</v>
      </c>
      <c r="G25" s="689"/>
      <c r="H25" s="578"/>
      <c r="I25" s="903"/>
      <c r="J25" s="900">
        <f>J23*J24</f>
        <v>733337.5</v>
      </c>
      <c r="K25" s="665">
        <f t="shared" si="1"/>
        <v>-90</v>
      </c>
    </row>
    <row r="26" spans="1:11" s="343" customFormat="1" ht="12.75" customHeight="1" x14ac:dyDescent="0.2">
      <c r="A26" s="823"/>
      <c r="B26" s="706"/>
      <c r="C26" s="828"/>
      <c r="D26" s="688" t="s">
        <v>706</v>
      </c>
      <c r="E26" s="689"/>
      <c r="F26" s="592">
        <v>-412.5</v>
      </c>
      <c r="G26" s="689"/>
      <c r="H26" s="578"/>
      <c r="I26" s="903" t="s">
        <v>705</v>
      </c>
      <c r="J26" s="904">
        <v>-97617.78</v>
      </c>
      <c r="K26" s="665">
        <f t="shared" si="1"/>
        <v>-412.5</v>
      </c>
    </row>
    <row r="27" spans="1:11" s="343" customFormat="1" ht="12.75" customHeight="1" x14ac:dyDescent="0.2">
      <c r="A27" s="823"/>
      <c r="B27" s="706"/>
      <c r="C27" s="828"/>
      <c r="D27" s="688" t="s">
        <v>707</v>
      </c>
      <c r="E27" s="689"/>
      <c r="F27" s="592">
        <v>-75</v>
      </c>
      <c r="G27" s="689"/>
      <c r="H27" s="578"/>
      <c r="I27" s="903"/>
      <c r="J27" s="900">
        <f>+J25+J26</f>
        <v>635719.72</v>
      </c>
      <c r="K27" s="665">
        <f t="shared" si="1"/>
        <v>-75</v>
      </c>
    </row>
    <row r="28" spans="1:11" s="343" customFormat="1" x14ac:dyDescent="0.2">
      <c r="A28" s="823"/>
      <c r="B28" s="706"/>
      <c r="C28" s="828"/>
      <c r="D28" s="688" t="s">
        <v>708</v>
      </c>
      <c r="E28" s="689"/>
      <c r="F28" s="592">
        <v>-300</v>
      </c>
      <c r="G28" s="689"/>
      <c r="H28" s="578"/>
      <c r="I28" s="589"/>
      <c r="J28" s="901">
        <f>ROUND(J27/11,2)</f>
        <v>57792.7</v>
      </c>
      <c r="K28" s="665">
        <f t="shared" si="1"/>
        <v>-300</v>
      </c>
    </row>
    <row r="29" spans="1:11" s="343" customFormat="1" ht="12.75" customHeight="1" x14ac:dyDescent="0.2">
      <c r="A29" s="563">
        <f>1+A14</f>
        <v>5</v>
      </c>
      <c r="B29" s="575" t="s">
        <v>275</v>
      </c>
      <c r="C29" s="576" t="s">
        <v>276</v>
      </c>
      <c r="D29" s="599" t="str">
        <f>$D$14</f>
        <v>FTE  Sep 2026</v>
      </c>
      <c r="E29" s="567">
        <f>'1571'!$J$124</f>
        <v>864367.77</v>
      </c>
      <c r="F29" s="577"/>
      <c r="G29" s="567">
        <f>SUBTOTAL(109,E29:F46)</f>
        <v>849601.21000000008</v>
      </c>
      <c r="H29" s="578"/>
      <c r="I29" s="903" t="s">
        <v>704</v>
      </c>
      <c r="J29" s="898">
        <f>ROUND(J27/11,2)</f>
        <v>57792.7</v>
      </c>
      <c r="K29" s="665">
        <f t="shared" si="1"/>
        <v>864367.77</v>
      </c>
    </row>
    <row r="30" spans="1:11" s="343" customFormat="1" ht="12.75" hidden="1" customHeight="1" x14ac:dyDescent="0.2">
      <c r="A30" s="563"/>
      <c r="B30" s="575"/>
      <c r="C30" s="839"/>
      <c r="D30" s="579" t="s">
        <v>535</v>
      </c>
      <c r="E30" s="567"/>
      <c r="F30" s="577"/>
      <c r="G30" s="567"/>
      <c r="H30" s="578"/>
      <c r="I30" s="586"/>
      <c r="J30" s="898"/>
      <c r="K30" s="665">
        <f t="shared" si="1"/>
        <v>0</v>
      </c>
    </row>
    <row r="31" spans="1:11" s="343" customFormat="1" ht="12.75" hidden="1" customHeight="1" x14ac:dyDescent="0.2">
      <c r="A31" s="563"/>
      <c r="B31" s="575"/>
      <c r="C31" s="576"/>
      <c r="D31" s="580" t="s">
        <v>536</v>
      </c>
      <c r="E31" s="567"/>
      <c r="F31" s="577"/>
      <c r="G31" s="567"/>
      <c r="H31" s="578"/>
      <c r="I31" s="586"/>
      <c r="J31" s="898"/>
      <c r="K31" s="665">
        <f t="shared" si="1"/>
        <v>0</v>
      </c>
    </row>
    <row r="32" spans="1:11" s="343" customFormat="1" ht="12.75" hidden="1" customHeight="1" x14ac:dyDescent="0.2">
      <c r="A32" s="563"/>
      <c r="B32" s="575"/>
      <c r="C32" s="840"/>
      <c r="D32" s="580" t="s">
        <v>548</v>
      </c>
      <c r="E32" s="567"/>
      <c r="F32" s="577"/>
      <c r="G32" s="567"/>
      <c r="H32" s="578"/>
      <c r="I32" s="586"/>
      <c r="J32" s="898"/>
      <c r="K32" s="665">
        <f t="shared" si="1"/>
        <v>0</v>
      </c>
    </row>
    <row r="33" spans="1:12" s="343" customFormat="1" ht="12.75" hidden="1" customHeight="1" x14ac:dyDescent="0.2">
      <c r="A33" s="563"/>
      <c r="B33" s="575"/>
      <c r="C33" s="576"/>
      <c r="D33" s="579" t="s">
        <v>537</v>
      </c>
      <c r="E33" s="567"/>
      <c r="F33" s="577"/>
      <c r="G33" s="567"/>
      <c r="H33" s="578"/>
      <c r="I33" s="586"/>
      <c r="J33" s="898"/>
      <c r="K33" s="665">
        <f t="shared" si="1"/>
        <v>0</v>
      </c>
      <c r="L33" s="595">
        <v>44630</v>
      </c>
    </row>
    <row r="34" spans="1:12" s="343" customFormat="1" ht="12.75" hidden="1" customHeight="1" x14ac:dyDescent="0.2">
      <c r="A34" s="563"/>
      <c r="B34" s="575"/>
      <c r="C34" s="576"/>
      <c r="D34" s="579" t="s">
        <v>538</v>
      </c>
      <c r="E34" s="567"/>
      <c r="F34" s="577"/>
      <c r="G34" s="567"/>
      <c r="H34" s="578"/>
      <c r="I34" s="586"/>
      <c r="J34" s="898"/>
      <c r="K34" s="665">
        <f t="shared" si="1"/>
        <v>0</v>
      </c>
      <c r="L34" s="595">
        <f>L33-60</f>
        <v>44570</v>
      </c>
    </row>
    <row r="35" spans="1:12" s="343" customFormat="1" ht="12.75" hidden="1" customHeight="1" x14ac:dyDescent="0.2">
      <c r="A35" s="563"/>
      <c r="B35" s="575"/>
      <c r="C35" s="576"/>
      <c r="D35" s="579" t="s">
        <v>539</v>
      </c>
      <c r="E35" s="567"/>
      <c r="F35" s="577"/>
      <c r="G35" s="567"/>
      <c r="H35" s="578"/>
      <c r="I35" s="586"/>
      <c r="J35" s="898"/>
      <c r="K35" s="665">
        <f t="shared" si="1"/>
        <v>0</v>
      </c>
    </row>
    <row r="36" spans="1:12" s="343" customFormat="1" ht="12.75" hidden="1" customHeight="1" x14ac:dyDescent="0.2">
      <c r="A36" s="563"/>
      <c r="B36" s="575"/>
      <c r="C36" s="576"/>
      <c r="D36" s="579" t="s">
        <v>540</v>
      </c>
      <c r="E36" s="567"/>
      <c r="F36" s="577"/>
      <c r="G36" s="567"/>
      <c r="H36" s="578"/>
      <c r="I36" s="586"/>
      <c r="J36" s="898"/>
      <c r="K36" s="665">
        <f t="shared" si="1"/>
        <v>0</v>
      </c>
    </row>
    <row r="37" spans="1:12" s="343" customFormat="1" ht="12.75" customHeight="1" x14ac:dyDescent="0.2">
      <c r="A37" s="563"/>
      <c r="B37" s="575"/>
      <c r="C37" s="582"/>
      <c r="D37" s="601" t="s">
        <v>542</v>
      </c>
      <c r="E37" s="567"/>
      <c r="F37" s="577">
        <f>F22</f>
        <v>-14300</v>
      </c>
      <c r="G37" s="567"/>
      <c r="H37" s="578"/>
      <c r="I37" s="586"/>
      <c r="J37" s="898"/>
      <c r="K37" s="665">
        <f t="shared" si="1"/>
        <v>-14300</v>
      </c>
    </row>
    <row r="38" spans="1:12" s="343" customFormat="1" ht="12.75" customHeight="1" x14ac:dyDescent="0.2">
      <c r="A38" s="563"/>
      <c r="B38" s="575"/>
      <c r="C38" s="582"/>
      <c r="D38" s="601" t="s">
        <v>543</v>
      </c>
      <c r="E38" s="567"/>
      <c r="F38" s="577">
        <v>-282.08</v>
      </c>
      <c r="G38" s="567"/>
      <c r="H38" s="578"/>
      <c r="I38" s="584"/>
      <c r="J38" s="898"/>
      <c r="K38" s="665">
        <f t="shared" si="1"/>
        <v>-282.08</v>
      </c>
    </row>
    <row r="39" spans="1:12" s="343" customFormat="1" ht="12.75" customHeight="1" x14ac:dyDescent="0.2">
      <c r="A39" s="563"/>
      <c r="B39" s="575"/>
      <c r="C39" s="582"/>
      <c r="D39" s="601" t="s">
        <v>544</v>
      </c>
      <c r="E39" s="567"/>
      <c r="F39" s="577">
        <v>-94.48</v>
      </c>
      <c r="G39" s="567"/>
      <c r="H39" s="578"/>
      <c r="I39" s="584"/>
      <c r="K39" s="665">
        <f t="shared" si="1"/>
        <v>-94.48</v>
      </c>
    </row>
    <row r="40" spans="1:12" s="343" customFormat="1" ht="12.75" customHeight="1" x14ac:dyDescent="0.2">
      <c r="A40" s="563"/>
      <c r="B40" s="575"/>
      <c r="C40" s="582"/>
      <c r="D40" s="601" t="s">
        <v>545</v>
      </c>
      <c r="E40" s="567"/>
      <c r="F40" s="577">
        <v>-90</v>
      </c>
      <c r="G40" s="567"/>
      <c r="H40" s="578"/>
      <c r="I40" s="584"/>
      <c r="K40" s="665">
        <f t="shared" si="1"/>
        <v>-90</v>
      </c>
    </row>
    <row r="41" spans="1:12" s="343" customFormat="1" ht="12.75" hidden="1" customHeight="1" x14ac:dyDescent="0.2">
      <c r="A41" s="563"/>
      <c r="B41" s="575"/>
      <c r="C41" s="841"/>
      <c r="D41" s="585" t="s">
        <v>549</v>
      </c>
      <c r="E41" s="567"/>
      <c r="F41" s="577">
        <v>0</v>
      </c>
      <c r="G41" s="567"/>
      <c r="H41" s="598"/>
      <c r="I41" s="584"/>
      <c r="K41" s="665">
        <f t="shared" si="1"/>
        <v>0</v>
      </c>
    </row>
    <row r="42" spans="1:12" s="343" customFormat="1" ht="12.75" hidden="1" customHeight="1" x14ac:dyDescent="0.2">
      <c r="A42" s="563"/>
      <c r="B42" s="575"/>
      <c r="C42" s="582"/>
      <c r="D42" s="585" t="s">
        <v>648</v>
      </c>
      <c r="E42" s="567"/>
      <c r="F42" s="577">
        <v>0</v>
      </c>
      <c r="G42" s="567"/>
      <c r="H42" s="578"/>
      <c r="I42" s="584"/>
      <c r="K42" s="665">
        <f t="shared" si="1"/>
        <v>0</v>
      </c>
    </row>
    <row r="43" spans="1:12" s="343" customFormat="1" hidden="1" x14ac:dyDescent="0.2">
      <c r="A43" s="563"/>
      <c r="B43" s="575"/>
      <c r="C43" s="582"/>
      <c r="D43" s="585" t="s">
        <v>647</v>
      </c>
      <c r="E43" s="567"/>
      <c r="F43" s="577">
        <v>0</v>
      </c>
      <c r="G43" s="567"/>
      <c r="H43" s="578"/>
      <c r="I43" s="584"/>
      <c r="K43" s="665">
        <f t="shared" si="1"/>
        <v>0</v>
      </c>
    </row>
    <row r="44" spans="1:12" s="343" customFormat="1" hidden="1" x14ac:dyDescent="0.2">
      <c r="A44" s="563"/>
      <c r="B44" s="575"/>
      <c r="C44" s="582"/>
      <c r="D44" s="601" t="s">
        <v>550</v>
      </c>
      <c r="E44" s="567"/>
      <c r="F44" s="577"/>
      <c r="G44" s="567"/>
      <c r="H44" s="578"/>
      <c r="I44" s="584"/>
      <c r="K44" s="665">
        <f t="shared" si="1"/>
        <v>0</v>
      </c>
    </row>
    <row r="45" spans="1:12" s="343" customFormat="1" hidden="1" x14ac:dyDescent="0.2">
      <c r="A45" s="563"/>
      <c r="B45" s="575"/>
      <c r="C45" s="582"/>
      <c r="D45" s="601" t="s">
        <v>550</v>
      </c>
      <c r="E45" s="567"/>
      <c r="F45" s="577"/>
      <c r="G45" s="567"/>
      <c r="H45" s="578"/>
      <c r="I45" s="584"/>
      <c r="K45" s="665">
        <f t="shared" ref="K45:K108" si="2">IF(E45&gt;0,E45,F45)</f>
        <v>0</v>
      </c>
    </row>
    <row r="46" spans="1:12" s="343" customFormat="1" hidden="1" x14ac:dyDescent="0.2">
      <c r="A46" s="563"/>
      <c r="B46" s="575"/>
      <c r="C46" s="582"/>
      <c r="D46" s="601" t="s">
        <v>550</v>
      </c>
      <c r="E46" s="567"/>
      <c r="F46" s="577"/>
      <c r="G46" s="567"/>
      <c r="H46" s="578"/>
      <c r="I46" s="584"/>
      <c r="K46" s="665">
        <f t="shared" si="2"/>
        <v>0</v>
      </c>
    </row>
    <row r="47" spans="1:12" s="833" customFormat="1" ht="12.75" customHeight="1" x14ac:dyDescent="0.2">
      <c r="A47" s="823">
        <f>1+A29</f>
        <v>6</v>
      </c>
      <c r="B47" s="706" t="s">
        <v>277</v>
      </c>
      <c r="C47" s="707" t="s">
        <v>278</v>
      </c>
      <c r="D47" s="824" t="str">
        <f>$D$14</f>
        <v>FTE  Sep 2026</v>
      </c>
      <c r="E47" s="689">
        <f>'2521'!$J$124</f>
        <v>110758.87</v>
      </c>
      <c r="F47" s="592"/>
      <c r="G47" s="689">
        <f>SUBTOTAL(109,E47:F53)</f>
        <v>110758.87</v>
      </c>
      <c r="H47" s="598"/>
      <c r="I47" s="842"/>
      <c r="K47" s="834">
        <f t="shared" si="2"/>
        <v>110758.87</v>
      </c>
    </row>
    <row r="48" spans="1:12" s="833" customFormat="1" ht="12.75" hidden="1" customHeight="1" x14ac:dyDescent="0.2">
      <c r="A48" s="823"/>
      <c r="B48" s="706"/>
      <c r="C48" s="707"/>
      <c r="D48" s="825" t="s">
        <v>535</v>
      </c>
      <c r="E48" s="689"/>
      <c r="F48" s="592"/>
      <c r="G48" s="689"/>
      <c r="H48" s="598"/>
      <c r="I48" s="842"/>
      <c r="K48" s="834">
        <f t="shared" si="2"/>
        <v>0</v>
      </c>
    </row>
    <row r="49" spans="1:13" s="833" customFormat="1" ht="12.75" hidden="1" customHeight="1" x14ac:dyDescent="0.2">
      <c r="A49" s="823"/>
      <c r="B49" s="706"/>
      <c r="C49" s="707"/>
      <c r="D49" s="825" t="s">
        <v>537</v>
      </c>
      <c r="E49" s="689"/>
      <c r="F49" s="592"/>
      <c r="G49" s="689"/>
      <c r="H49" s="598"/>
      <c r="I49" s="842"/>
      <c r="K49" s="834">
        <f t="shared" si="2"/>
        <v>0</v>
      </c>
    </row>
    <row r="50" spans="1:13" s="833" customFormat="1" ht="12.75" hidden="1" customHeight="1" x14ac:dyDescent="0.2">
      <c r="A50" s="823"/>
      <c r="B50" s="706"/>
      <c r="C50" s="707"/>
      <c r="D50" s="825" t="s">
        <v>538</v>
      </c>
      <c r="E50" s="689"/>
      <c r="F50" s="592"/>
      <c r="G50" s="689"/>
      <c r="H50" s="598"/>
      <c r="I50" s="842"/>
      <c r="K50" s="834">
        <f t="shared" si="2"/>
        <v>0</v>
      </c>
    </row>
    <row r="51" spans="1:13" s="833" customFormat="1" ht="12.75" hidden="1" customHeight="1" x14ac:dyDescent="0.2">
      <c r="A51" s="823"/>
      <c r="B51" s="706"/>
      <c r="C51" s="707"/>
      <c r="D51" s="825" t="s">
        <v>539</v>
      </c>
      <c r="E51" s="689"/>
      <c r="F51" s="592"/>
      <c r="G51" s="689"/>
      <c r="H51" s="598"/>
      <c r="I51" s="842"/>
      <c r="K51" s="834">
        <f t="shared" si="2"/>
        <v>0</v>
      </c>
      <c r="M51" s="843"/>
    </row>
    <row r="52" spans="1:13" s="793" customFormat="1" ht="12.75" hidden="1" customHeight="1" x14ac:dyDescent="0.2">
      <c r="A52" s="823"/>
      <c r="B52" s="706"/>
      <c r="C52" s="707"/>
      <c r="D52" s="825" t="s">
        <v>540</v>
      </c>
      <c r="E52" s="689"/>
      <c r="F52" s="592"/>
      <c r="G52" s="689"/>
      <c r="H52" s="602"/>
      <c r="I52" s="842"/>
      <c r="K52" s="834">
        <f t="shared" si="2"/>
        <v>0</v>
      </c>
      <c r="M52" s="844"/>
    </row>
    <row r="53" spans="1:13" s="793" customFormat="1" ht="12.75" hidden="1" customHeight="1" x14ac:dyDescent="0.2">
      <c r="A53" s="823"/>
      <c r="B53" s="706"/>
      <c r="C53" s="707"/>
      <c r="D53" s="688" t="s">
        <v>550</v>
      </c>
      <c r="E53" s="689"/>
      <c r="F53" s="592"/>
      <c r="G53" s="689"/>
      <c r="H53" s="602"/>
      <c r="I53" s="842"/>
      <c r="K53" s="834">
        <f t="shared" si="2"/>
        <v>0</v>
      </c>
      <c r="L53" s="844"/>
    </row>
    <row r="54" spans="1:13" s="343" customFormat="1" ht="12.75" customHeight="1" x14ac:dyDescent="0.2">
      <c r="A54" s="563">
        <f>1+A47</f>
        <v>7</v>
      </c>
      <c r="B54" s="575">
        <v>2531</v>
      </c>
      <c r="C54" s="576" t="s">
        <v>280</v>
      </c>
      <c r="D54" s="599" t="str">
        <f>$D$14</f>
        <v>FTE  Sep 2026</v>
      </c>
      <c r="E54" s="567">
        <f>'2531'!$J$124</f>
        <v>120376.14</v>
      </c>
      <c r="F54" s="577"/>
      <c r="G54" s="567">
        <f>SUBTOTAL(109,E54:F65)</f>
        <v>120376.14</v>
      </c>
      <c r="H54" s="598"/>
      <c r="I54" s="584"/>
      <c r="K54" s="665">
        <f t="shared" si="2"/>
        <v>120376.14</v>
      </c>
    </row>
    <row r="55" spans="1:13" ht="12.75" hidden="1" customHeight="1" x14ac:dyDescent="0.2">
      <c r="A55" s="563"/>
      <c r="B55" s="575"/>
      <c r="C55" s="576"/>
      <c r="D55" s="579" t="s">
        <v>551</v>
      </c>
      <c r="E55" s="567"/>
      <c r="F55" s="577"/>
      <c r="G55" s="567"/>
      <c r="I55" s="584"/>
      <c r="K55" s="665">
        <f t="shared" si="2"/>
        <v>0</v>
      </c>
    </row>
    <row r="56" spans="1:13" ht="12.75" hidden="1" customHeight="1" x14ac:dyDescent="0.2">
      <c r="A56" s="563"/>
      <c r="B56" s="575"/>
      <c r="C56" s="576"/>
      <c r="D56" s="579" t="s">
        <v>535</v>
      </c>
      <c r="E56" s="567"/>
      <c r="F56" s="577"/>
      <c r="G56" s="567"/>
      <c r="I56" s="584"/>
      <c r="K56" s="665">
        <f t="shared" si="2"/>
        <v>0</v>
      </c>
    </row>
    <row r="57" spans="1:13" s="343" customFormat="1" ht="12.75" hidden="1" customHeight="1" x14ac:dyDescent="0.2">
      <c r="A57" s="563"/>
      <c r="B57" s="575"/>
      <c r="C57" s="576"/>
      <c r="D57" s="579" t="s">
        <v>552</v>
      </c>
      <c r="E57" s="567"/>
      <c r="F57" s="577"/>
      <c r="G57" s="567"/>
      <c r="H57" s="578"/>
      <c r="I57" s="588"/>
      <c r="K57" s="665">
        <f t="shared" si="2"/>
        <v>0</v>
      </c>
    </row>
    <row r="58" spans="1:13" s="343" customFormat="1" ht="12.75" hidden="1" customHeight="1" x14ac:dyDescent="0.2">
      <c r="A58" s="563"/>
      <c r="B58" s="575"/>
      <c r="C58" s="576"/>
      <c r="D58" s="580" t="s">
        <v>548</v>
      </c>
      <c r="E58" s="567"/>
      <c r="F58" s="577"/>
      <c r="G58" s="567"/>
      <c r="H58" s="578"/>
      <c r="I58" s="590"/>
      <c r="K58" s="665">
        <f t="shared" si="2"/>
        <v>0</v>
      </c>
    </row>
    <row r="59" spans="1:13" s="343" customFormat="1" ht="12.75" hidden="1" customHeight="1" x14ac:dyDescent="0.2">
      <c r="A59" s="563"/>
      <c r="B59" s="575"/>
      <c r="C59" s="576"/>
      <c r="D59" s="579" t="s">
        <v>537</v>
      </c>
      <c r="E59" s="567"/>
      <c r="F59" s="577"/>
      <c r="G59" s="567"/>
      <c r="H59" s="578"/>
      <c r="I59" s="590"/>
      <c r="K59" s="665">
        <f t="shared" si="2"/>
        <v>0</v>
      </c>
    </row>
    <row r="60" spans="1:13" s="343" customFormat="1" ht="12.75" hidden="1" customHeight="1" x14ac:dyDescent="0.2">
      <c r="A60" s="563"/>
      <c r="B60" s="575"/>
      <c r="C60" s="576"/>
      <c r="D60" s="579" t="s">
        <v>538</v>
      </c>
      <c r="E60" s="567"/>
      <c r="F60" s="577"/>
      <c r="G60" s="567"/>
      <c r="H60" s="578"/>
      <c r="I60" s="590"/>
      <c r="K60" s="665">
        <f t="shared" si="2"/>
        <v>0</v>
      </c>
    </row>
    <row r="61" spans="1:13" s="343" customFormat="1" ht="12.75" hidden="1" customHeight="1" x14ac:dyDescent="0.2">
      <c r="A61" s="563"/>
      <c r="B61" s="575"/>
      <c r="C61" s="576"/>
      <c r="D61" s="579" t="s">
        <v>539</v>
      </c>
      <c r="E61" s="567"/>
      <c r="F61" s="577"/>
      <c r="G61" s="567"/>
      <c r="H61" s="598"/>
      <c r="I61" s="588"/>
      <c r="K61" s="665">
        <f t="shared" si="2"/>
        <v>0</v>
      </c>
    </row>
    <row r="62" spans="1:13" s="343" customFormat="1" ht="12.75" hidden="1" customHeight="1" x14ac:dyDescent="0.2">
      <c r="A62" s="563"/>
      <c r="B62" s="575"/>
      <c r="C62" s="576"/>
      <c r="D62" s="579" t="s">
        <v>540</v>
      </c>
      <c r="E62" s="567"/>
      <c r="F62" s="577"/>
      <c r="G62" s="567"/>
      <c r="H62" s="578"/>
      <c r="I62" s="588"/>
      <c r="K62" s="665">
        <f t="shared" si="2"/>
        <v>0</v>
      </c>
    </row>
    <row r="63" spans="1:13" s="343" customFormat="1" ht="12.75" hidden="1" customHeight="1" x14ac:dyDescent="0.2">
      <c r="A63" s="563"/>
      <c r="B63" s="575"/>
      <c r="C63" s="576"/>
      <c r="D63" s="579" t="s">
        <v>553</v>
      </c>
      <c r="E63" s="567"/>
      <c r="F63" s="577"/>
      <c r="G63" s="567"/>
      <c r="H63" s="578"/>
      <c r="I63" s="588"/>
      <c r="K63" s="665">
        <f t="shared" si="2"/>
        <v>0</v>
      </c>
    </row>
    <row r="64" spans="1:13" s="343" customFormat="1" ht="12.75" hidden="1" customHeight="1" x14ac:dyDescent="0.2">
      <c r="A64" s="563"/>
      <c r="B64" s="575"/>
      <c r="C64" s="582"/>
      <c r="D64" s="585" t="s">
        <v>547</v>
      </c>
      <c r="E64" s="567"/>
      <c r="F64" s="577"/>
      <c r="G64" s="567"/>
      <c r="H64" s="578"/>
      <c r="I64" s="584"/>
      <c r="K64" s="665">
        <f t="shared" si="2"/>
        <v>0</v>
      </c>
    </row>
    <row r="65" spans="1:11" s="343" customFormat="1" ht="12.75" hidden="1" customHeight="1" x14ac:dyDescent="0.2">
      <c r="A65" s="563"/>
      <c r="B65" s="575"/>
      <c r="C65" s="576"/>
      <c r="D65" s="601" t="s">
        <v>550</v>
      </c>
      <c r="E65" s="567"/>
      <c r="F65" s="577"/>
      <c r="G65" s="567"/>
      <c r="H65" s="578"/>
      <c r="I65" s="596"/>
      <c r="K65" s="665">
        <f t="shared" si="2"/>
        <v>0</v>
      </c>
    </row>
    <row r="66" spans="1:11" s="833" customFormat="1" ht="12.75" customHeight="1" x14ac:dyDescent="0.2">
      <c r="A66" s="823">
        <f>1+A54</f>
        <v>8</v>
      </c>
      <c r="B66" s="706" t="s">
        <v>281</v>
      </c>
      <c r="C66" s="829" t="s">
        <v>358</v>
      </c>
      <c r="D66" s="824" t="str">
        <f>$D$14</f>
        <v>FTE  Sep 2026</v>
      </c>
      <c r="E66" s="689">
        <f>'2791'!$J$124</f>
        <v>488761.33</v>
      </c>
      <c r="F66" s="592"/>
      <c r="G66" s="689">
        <f>SUBTOTAL(109,E66:F73)</f>
        <v>488761.33</v>
      </c>
      <c r="H66" s="598"/>
      <c r="I66" s="845"/>
      <c r="K66" s="834">
        <f t="shared" si="2"/>
        <v>488761.33</v>
      </c>
    </row>
    <row r="67" spans="1:11" s="833" customFormat="1" ht="12.75" hidden="1" customHeight="1" x14ac:dyDescent="0.2">
      <c r="A67" s="823"/>
      <c r="B67" s="706"/>
      <c r="C67" s="707"/>
      <c r="D67" s="825" t="s">
        <v>535</v>
      </c>
      <c r="E67" s="689"/>
      <c r="F67" s="592"/>
      <c r="G67" s="689"/>
      <c r="H67" s="598"/>
      <c r="I67" s="828"/>
      <c r="K67" s="834">
        <f t="shared" si="2"/>
        <v>0</v>
      </c>
    </row>
    <row r="68" spans="1:11" s="833" customFormat="1" ht="12.75" hidden="1" customHeight="1" x14ac:dyDescent="0.2">
      <c r="A68" s="823"/>
      <c r="B68" s="706"/>
      <c r="C68" s="707"/>
      <c r="D68" s="826" t="s">
        <v>536</v>
      </c>
      <c r="E68" s="689"/>
      <c r="F68" s="592"/>
      <c r="G68" s="689"/>
      <c r="H68" s="598"/>
      <c r="I68" s="828"/>
      <c r="K68" s="834">
        <f t="shared" si="2"/>
        <v>0</v>
      </c>
    </row>
    <row r="69" spans="1:11" s="833" customFormat="1" ht="12.75" hidden="1" customHeight="1" x14ac:dyDescent="0.2">
      <c r="A69" s="823"/>
      <c r="B69" s="706"/>
      <c r="C69" s="707"/>
      <c r="D69" s="825" t="s">
        <v>537</v>
      </c>
      <c r="E69" s="689"/>
      <c r="F69" s="592"/>
      <c r="G69" s="689"/>
      <c r="H69" s="598"/>
      <c r="I69" s="828"/>
      <c r="K69" s="834">
        <f t="shared" si="2"/>
        <v>0</v>
      </c>
    </row>
    <row r="70" spans="1:11" s="833" customFormat="1" ht="12.75" hidden="1" customHeight="1" x14ac:dyDescent="0.2">
      <c r="A70" s="823"/>
      <c r="B70" s="706"/>
      <c r="C70" s="707"/>
      <c r="D70" s="825" t="s">
        <v>538</v>
      </c>
      <c r="E70" s="689"/>
      <c r="F70" s="592"/>
      <c r="G70" s="689"/>
      <c r="H70" s="598"/>
      <c r="I70" s="828"/>
      <c r="K70" s="834">
        <f t="shared" si="2"/>
        <v>0</v>
      </c>
    </row>
    <row r="71" spans="1:11" s="833" customFormat="1" ht="12.75" hidden="1" customHeight="1" x14ac:dyDescent="0.2">
      <c r="A71" s="823"/>
      <c r="B71" s="706"/>
      <c r="C71" s="707"/>
      <c r="D71" s="825"/>
      <c r="E71" s="689"/>
      <c r="F71" s="592"/>
      <c r="G71" s="689"/>
      <c r="H71" s="598"/>
      <c r="I71" s="842"/>
      <c r="K71" s="834">
        <f t="shared" si="2"/>
        <v>0</v>
      </c>
    </row>
    <row r="72" spans="1:11" s="833" customFormat="1" ht="12.75" hidden="1" customHeight="1" x14ac:dyDescent="0.2">
      <c r="A72" s="823"/>
      <c r="B72" s="706"/>
      <c r="C72" s="707"/>
      <c r="D72" s="825" t="s">
        <v>540</v>
      </c>
      <c r="E72" s="689"/>
      <c r="F72" s="592"/>
      <c r="G72" s="689"/>
      <c r="H72" s="598"/>
      <c r="I72" s="842"/>
      <c r="K72" s="834">
        <f t="shared" si="2"/>
        <v>0</v>
      </c>
    </row>
    <row r="73" spans="1:11" s="833" customFormat="1" ht="12.75" hidden="1" customHeight="1" x14ac:dyDescent="0.2">
      <c r="A73" s="823"/>
      <c r="B73" s="706"/>
      <c r="C73" s="707"/>
      <c r="D73" s="688" t="s">
        <v>550</v>
      </c>
      <c r="E73" s="689"/>
      <c r="F73" s="592"/>
      <c r="G73" s="689"/>
      <c r="H73" s="598"/>
      <c r="I73" s="842"/>
      <c r="K73" s="834">
        <f t="shared" si="2"/>
        <v>0</v>
      </c>
    </row>
    <row r="74" spans="1:11" s="343" customFormat="1" ht="12.75" customHeight="1" x14ac:dyDescent="0.2">
      <c r="A74" s="563">
        <f>A66+1</f>
        <v>9</v>
      </c>
      <c r="B74" s="575" t="s">
        <v>283</v>
      </c>
      <c r="C74" s="600" t="s">
        <v>284</v>
      </c>
      <c r="D74" s="599" t="str">
        <f>$D$14</f>
        <v>FTE  Sep 2026</v>
      </c>
      <c r="E74" s="567">
        <f>'2801'!$J$124</f>
        <v>426595.58</v>
      </c>
      <c r="F74" s="577"/>
      <c r="G74" s="567">
        <f>SUBTOTAL(109,E74:F83)</f>
        <v>426595.58</v>
      </c>
      <c r="H74" s="598"/>
      <c r="I74" s="586"/>
      <c r="K74" s="665">
        <f t="shared" si="2"/>
        <v>426595.58</v>
      </c>
    </row>
    <row r="75" spans="1:11" s="343" customFormat="1" ht="12.75" hidden="1" customHeight="1" x14ac:dyDescent="0.2">
      <c r="A75" s="563"/>
      <c r="B75" s="575"/>
      <c r="C75" s="576"/>
      <c r="D75" s="579" t="s">
        <v>551</v>
      </c>
      <c r="E75" s="567"/>
      <c r="F75" s="577"/>
      <c r="G75" s="567"/>
      <c r="H75" s="578"/>
      <c r="I75" s="584"/>
      <c r="K75" s="665">
        <f t="shared" si="2"/>
        <v>0</v>
      </c>
    </row>
    <row r="76" spans="1:11" s="343" customFormat="1" ht="12.75" hidden="1" customHeight="1" x14ac:dyDescent="0.2">
      <c r="A76" s="563"/>
      <c r="B76" s="575"/>
      <c r="C76" s="576"/>
      <c r="D76" s="580" t="s">
        <v>536</v>
      </c>
      <c r="E76" s="567"/>
      <c r="F76" s="577"/>
      <c r="G76" s="567"/>
      <c r="H76" s="598"/>
      <c r="I76" s="588"/>
      <c r="K76" s="665">
        <f t="shared" si="2"/>
        <v>0</v>
      </c>
    </row>
    <row r="77" spans="1:11" s="343" customFormat="1" ht="12.75" hidden="1" customHeight="1" x14ac:dyDescent="0.2">
      <c r="A77" s="563"/>
      <c r="B77" s="575"/>
      <c r="C77" s="576"/>
      <c r="D77" s="579" t="s">
        <v>537</v>
      </c>
      <c r="E77" s="567"/>
      <c r="F77" s="577"/>
      <c r="G77" s="567"/>
      <c r="H77" s="598"/>
      <c r="I77" s="590"/>
      <c r="K77" s="665">
        <f t="shared" si="2"/>
        <v>0</v>
      </c>
    </row>
    <row r="78" spans="1:11" s="343" customFormat="1" ht="12.75" hidden="1" customHeight="1" x14ac:dyDescent="0.2">
      <c r="A78" s="563"/>
      <c r="B78" s="575"/>
      <c r="C78" s="576"/>
      <c r="D78" s="579" t="s">
        <v>554</v>
      </c>
      <c r="E78" s="567"/>
      <c r="F78" s="577"/>
      <c r="G78" s="567"/>
      <c r="H78" s="578"/>
      <c r="I78" s="596"/>
      <c r="K78" s="665">
        <f t="shared" si="2"/>
        <v>0</v>
      </c>
    </row>
    <row r="79" spans="1:11" s="343" customFormat="1" ht="12.75" hidden="1" customHeight="1" x14ac:dyDescent="0.2">
      <c r="A79" s="563"/>
      <c r="B79" s="575"/>
      <c r="C79" s="576"/>
      <c r="D79" s="579" t="s">
        <v>539</v>
      </c>
      <c r="E79" s="567"/>
      <c r="F79" s="577"/>
      <c r="G79" s="567"/>
      <c r="H79" s="598"/>
      <c r="I79" s="590"/>
      <c r="K79" s="665">
        <f t="shared" si="2"/>
        <v>0</v>
      </c>
    </row>
    <row r="80" spans="1:11" s="343" customFormat="1" ht="12.75" hidden="1" customHeight="1" x14ac:dyDescent="0.2">
      <c r="A80" s="563"/>
      <c r="B80" s="575"/>
      <c r="C80" s="576"/>
      <c r="D80" s="579" t="s">
        <v>540</v>
      </c>
      <c r="E80" s="567"/>
      <c r="F80" s="577"/>
      <c r="G80" s="567"/>
      <c r="H80" s="598"/>
      <c r="I80" s="590"/>
      <c r="K80" s="665">
        <f t="shared" si="2"/>
        <v>0</v>
      </c>
    </row>
    <row r="81" spans="1:11" s="343" customFormat="1" ht="12.75" hidden="1" customHeight="1" x14ac:dyDescent="0.2">
      <c r="A81" s="563"/>
      <c r="B81" s="575"/>
      <c r="C81" s="576"/>
      <c r="D81" s="579" t="s">
        <v>555</v>
      </c>
      <c r="E81" s="567"/>
      <c r="F81" s="577"/>
      <c r="G81" s="567"/>
      <c r="H81" s="598"/>
      <c r="I81" s="588"/>
      <c r="K81" s="665">
        <f t="shared" si="2"/>
        <v>0</v>
      </c>
    </row>
    <row r="82" spans="1:11" s="343" customFormat="1" ht="12.75" hidden="1" customHeight="1" x14ac:dyDescent="0.2">
      <c r="A82" s="563"/>
      <c r="B82" s="575"/>
      <c r="C82" s="576"/>
      <c r="D82" s="579" t="s">
        <v>553</v>
      </c>
      <c r="E82" s="567"/>
      <c r="F82" s="577"/>
      <c r="G82" s="567"/>
      <c r="H82" s="578"/>
      <c r="I82" s="588"/>
      <c r="K82" s="665">
        <f t="shared" si="2"/>
        <v>0</v>
      </c>
    </row>
    <row r="83" spans="1:11" s="343" customFormat="1" ht="12.75" hidden="1" customHeight="1" x14ac:dyDescent="0.2">
      <c r="A83" s="563"/>
      <c r="B83" s="575"/>
      <c r="C83" s="576"/>
      <c r="D83" s="601" t="s">
        <v>556</v>
      </c>
      <c r="E83" s="567"/>
      <c r="F83" s="577"/>
      <c r="G83" s="567"/>
      <c r="H83" s="578"/>
      <c r="I83" s="588"/>
      <c r="K83" s="665">
        <f t="shared" si="2"/>
        <v>0</v>
      </c>
    </row>
    <row r="84" spans="1:11" s="833" customFormat="1" ht="12.75" customHeight="1" x14ac:dyDescent="0.2">
      <c r="A84" s="823">
        <f>A74+1</f>
        <v>10</v>
      </c>
      <c r="B84" s="706" t="s">
        <v>285</v>
      </c>
      <c r="C84" s="707" t="s">
        <v>286</v>
      </c>
      <c r="D84" s="824" t="str">
        <f>$D$14</f>
        <v>FTE  Sep 2026</v>
      </c>
      <c r="E84" s="689">
        <f>'2911'!$J$124</f>
        <v>577409.68000000005</v>
      </c>
      <c r="F84" s="592"/>
      <c r="G84" s="689">
        <f>SUBTOTAL(109,E84:F94)</f>
        <v>577409.68000000005</v>
      </c>
      <c r="H84" s="598"/>
      <c r="I84" s="706"/>
      <c r="K84" s="834">
        <f t="shared" si="2"/>
        <v>577409.68000000005</v>
      </c>
    </row>
    <row r="85" spans="1:11" s="833" customFormat="1" ht="12.75" hidden="1" customHeight="1" x14ac:dyDescent="0.2">
      <c r="A85" s="823"/>
      <c r="B85" s="706"/>
      <c r="C85" s="707"/>
      <c r="D85" s="825" t="s">
        <v>535</v>
      </c>
      <c r="E85" s="689"/>
      <c r="F85" s="592"/>
      <c r="G85" s="689"/>
      <c r="H85" s="598"/>
      <c r="I85" s="706"/>
      <c r="K85" s="834">
        <f t="shared" si="2"/>
        <v>0</v>
      </c>
    </row>
    <row r="86" spans="1:11" s="833" customFormat="1" ht="12.75" hidden="1" customHeight="1" x14ac:dyDescent="0.2">
      <c r="A86" s="823"/>
      <c r="B86" s="706"/>
      <c r="C86" s="707"/>
      <c r="D86" s="826" t="s">
        <v>548</v>
      </c>
      <c r="E86" s="689"/>
      <c r="F86" s="592"/>
      <c r="G86" s="689"/>
      <c r="H86" s="598"/>
      <c r="I86" s="828"/>
      <c r="K86" s="834">
        <f t="shared" si="2"/>
        <v>0</v>
      </c>
    </row>
    <row r="87" spans="1:11" s="833" customFormat="1" ht="12.75" hidden="1" customHeight="1" x14ac:dyDescent="0.2">
      <c r="A87" s="823"/>
      <c r="B87" s="706"/>
      <c r="C87" s="707"/>
      <c r="D87" s="825" t="s">
        <v>537</v>
      </c>
      <c r="E87" s="689"/>
      <c r="F87" s="592"/>
      <c r="G87" s="689"/>
      <c r="H87" s="598"/>
      <c r="I87" s="706"/>
      <c r="K87" s="834">
        <f t="shared" si="2"/>
        <v>0</v>
      </c>
    </row>
    <row r="88" spans="1:11" s="833" customFormat="1" ht="12.75" hidden="1" customHeight="1" x14ac:dyDescent="0.2">
      <c r="A88" s="823"/>
      <c r="B88" s="706"/>
      <c r="C88" s="707"/>
      <c r="D88" s="825" t="s">
        <v>538</v>
      </c>
      <c r="E88" s="689"/>
      <c r="F88" s="592"/>
      <c r="G88" s="689"/>
      <c r="H88" s="598"/>
      <c r="I88" s="706"/>
      <c r="K88" s="834">
        <f t="shared" si="2"/>
        <v>0</v>
      </c>
    </row>
    <row r="89" spans="1:11" s="833" customFormat="1" ht="12.75" hidden="1" customHeight="1" x14ac:dyDescent="0.2">
      <c r="A89" s="823"/>
      <c r="B89" s="706"/>
      <c r="C89" s="707"/>
      <c r="D89" s="825" t="s">
        <v>539</v>
      </c>
      <c r="E89" s="689"/>
      <c r="F89" s="592"/>
      <c r="G89" s="689"/>
      <c r="H89" s="598"/>
      <c r="I89" s="706"/>
      <c r="K89" s="834">
        <f t="shared" si="2"/>
        <v>0</v>
      </c>
    </row>
    <row r="90" spans="1:11" s="833" customFormat="1" ht="12.75" hidden="1" customHeight="1" x14ac:dyDescent="0.2">
      <c r="A90" s="823"/>
      <c r="B90" s="706"/>
      <c r="C90" s="707"/>
      <c r="D90" s="825" t="s">
        <v>540</v>
      </c>
      <c r="E90" s="689"/>
      <c r="F90" s="592"/>
      <c r="G90" s="689"/>
      <c r="H90" s="598"/>
      <c r="I90" s="832"/>
      <c r="K90" s="834">
        <f t="shared" si="2"/>
        <v>0</v>
      </c>
    </row>
    <row r="91" spans="1:11" s="833" customFormat="1" ht="12.75" hidden="1" customHeight="1" x14ac:dyDescent="0.2">
      <c r="A91" s="823"/>
      <c r="B91" s="706"/>
      <c r="C91" s="707"/>
      <c r="D91" s="825" t="s">
        <v>555</v>
      </c>
      <c r="E91" s="689"/>
      <c r="F91" s="592"/>
      <c r="G91" s="689"/>
      <c r="H91" s="598"/>
      <c r="K91" s="834">
        <f t="shared" si="2"/>
        <v>0</v>
      </c>
    </row>
    <row r="92" spans="1:11" s="833" customFormat="1" ht="12.75" hidden="1" customHeight="1" x14ac:dyDescent="0.2">
      <c r="A92" s="823"/>
      <c r="B92" s="706"/>
      <c r="C92" s="828"/>
      <c r="D92" s="688" t="s">
        <v>557</v>
      </c>
      <c r="E92" s="689"/>
      <c r="F92" s="592"/>
      <c r="G92" s="689"/>
      <c r="H92" s="598"/>
      <c r="I92" s="706"/>
      <c r="K92" s="834">
        <f t="shared" si="2"/>
        <v>0</v>
      </c>
    </row>
    <row r="93" spans="1:11" s="833" customFormat="1" ht="12.75" hidden="1" customHeight="1" x14ac:dyDescent="0.2">
      <c r="A93" s="823"/>
      <c r="B93" s="706"/>
      <c r="C93" s="828"/>
      <c r="D93" s="688" t="s">
        <v>550</v>
      </c>
      <c r="E93" s="689"/>
      <c r="F93" s="592"/>
      <c r="G93" s="689"/>
      <c r="H93" s="598"/>
      <c r="I93" s="846"/>
      <c r="K93" s="834">
        <f t="shared" si="2"/>
        <v>0</v>
      </c>
    </row>
    <row r="94" spans="1:11" s="833" customFormat="1" ht="12.75" hidden="1" customHeight="1" x14ac:dyDescent="0.2">
      <c r="A94" s="823"/>
      <c r="B94" s="706"/>
      <c r="C94" s="828"/>
      <c r="D94" s="827"/>
      <c r="E94" s="689"/>
      <c r="F94" s="592"/>
      <c r="G94" s="689"/>
      <c r="H94" s="598"/>
      <c r="I94" s="846"/>
      <c r="K94" s="834">
        <f t="shared" si="2"/>
        <v>0</v>
      </c>
    </row>
    <row r="95" spans="1:11" s="343" customFormat="1" ht="12.75" customHeight="1" x14ac:dyDescent="0.2">
      <c r="A95" s="563">
        <f>A84+1</f>
        <v>11</v>
      </c>
      <c r="B95" s="575" t="s">
        <v>287</v>
      </c>
      <c r="C95" s="576" t="s">
        <v>288</v>
      </c>
      <c r="D95" s="599" t="str">
        <f>$D$14</f>
        <v>FTE  Sep 2026</v>
      </c>
      <c r="E95" s="567">
        <f>'2941'!$J$124</f>
        <v>932786.67</v>
      </c>
      <c r="F95" s="577"/>
      <c r="G95" s="567">
        <f>SUBTOTAL(109,E95:F103)</f>
        <v>932786.67</v>
      </c>
      <c r="H95" s="598"/>
      <c r="I95" s="590"/>
      <c r="K95" s="665">
        <f t="shared" si="2"/>
        <v>932786.67</v>
      </c>
    </row>
    <row r="96" spans="1:11" s="343" customFormat="1" ht="12.75" hidden="1" customHeight="1" x14ac:dyDescent="0.2">
      <c r="A96" s="563"/>
      <c r="B96" s="575"/>
      <c r="C96" s="576"/>
      <c r="D96" s="579" t="s">
        <v>551</v>
      </c>
      <c r="E96" s="567"/>
      <c r="F96" s="577"/>
      <c r="G96" s="567"/>
      <c r="H96" s="598"/>
      <c r="I96" s="590"/>
      <c r="K96" s="665">
        <f t="shared" si="2"/>
        <v>0</v>
      </c>
    </row>
    <row r="97" spans="1:12" s="343" customFormat="1" ht="12.75" hidden="1" customHeight="1" x14ac:dyDescent="0.2">
      <c r="A97" s="563"/>
      <c r="B97" s="575"/>
      <c r="C97" s="576"/>
      <c r="D97" s="580" t="s">
        <v>536</v>
      </c>
      <c r="E97" s="567"/>
      <c r="F97" s="577"/>
      <c r="G97" s="567"/>
      <c r="H97" s="578"/>
      <c r="I97" s="596"/>
      <c r="K97" s="665">
        <f t="shared" si="2"/>
        <v>0</v>
      </c>
    </row>
    <row r="98" spans="1:12" s="343" customFormat="1" ht="12.75" hidden="1" customHeight="1" x14ac:dyDescent="0.2">
      <c r="A98" s="563"/>
      <c r="B98" s="575"/>
      <c r="C98" s="576"/>
      <c r="D98" s="579" t="s">
        <v>537</v>
      </c>
      <c r="E98" s="567"/>
      <c r="F98" s="577"/>
      <c r="G98" s="567"/>
      <c r="H98" s="598"/>
      <c r="I98" s="590"/>
      <c r="K98" s="665">
        <f t="shared" si="2"/>
        <v>0</v>
      </c>
    </row>
    <row r="99" spans="1:12" s="343" customFormat="1" ht="12.75" hidden="1" customHeight="1" x14ac:dyDescent="0.2">
      <c r="A99" s="563"/>
      <c r="B99" s="575"/>
      <c r="C99" s="576"/>
      <c r="D99" s="579" t="s">
        <v>538</v>
      </c>
      <c r="E99" s="567"/>
      <c r="F99" s="577"/>
      <c r="G99" s="567"/>
      <c r="H99" s="598"/>
      <c r="I99" s="590"/>
      <c r="K99" s="665">
        <f t="shared" si="2"/>
        <v>0</v>
      </c>
    </row>
    <row r="100" spans="1:12" s="343" customFormat="1" ht="12.75" hidden="1" customHeight="1" x14ac:dyDescent="0.2">
      <c r="A100" s="563"/>
      <c r="B100" s="575"/>
      <c r="C100" s="576"/>
      <c r="D100" s="579" t="s">
        <v>539</v>
      </c>
      <c r="E100" s="567"/>
      <c r="F100" s="577"/>
      <c r="G100" s="567"/>
      <c r="H100" s="598"/>
      <c r="I100" s="590"/>
      <c r="K100" s="665">
        <f t="shared" si="2"/>
        <v>0</v>
      </c>
    </row>
    <row r="101" spans="1:12" s="343" customFormat="1" ht="12.75" hidden="1" customHeight="1" x14ac:dyDescent="0.2">
      <c r="A101" s="563"/>
      <c r="B101" s="575"/>
      <c r="C101" s="576"/>
      <c r="D101" s="580" t="s">
        <v>558</v>
      </c>
      <c r="E101" s="567"/>
      <c r="F101" s="577"/>
      <c r="G101" s="567"/>
      <c r="H101" s="578"/>
      <c r="I101" s="587"/>
      <c r="K101" s="665">
        <f t="shared" si="2"/>
        <v>0</v>
      </c>
    </row>
    <row r="102" spans="1:12" s="343" customFormat="1" ht="12.75" hidden="1" customHeight="1" x14ac:dyDescent="0.2">
      <c r="A102" s="563"/>
      <c r="B102" s="575"/>
      <c r="C102" s="576"/>
      <c r="D102" s="579" t="s">
        <v>553</v>
      </c>
      <c r="E102" s="567"/>
      <c r="F102" s="577"/>
      <c r="G102" s="567"/>
      <c r="H102" s="598"/>
      <c r="I102" s="588"/>
      <c r="K102" s="665">
        <f t="shared" si="2"/>
        <v>0</v>
      </c>
    </row>
    <row r="103" spans="1:12" s="343" customFormat="1" ht="12.75" hidden="1" customHeight="1" x14ac:dyDescent="0.2">
      <c r="A103" s="563"/>
      <c r="B103" s="575"/>
      <c r="C103" s="576"/>
      <c r="D103" s="601"/>
      <c r="E103" s="567"/>
      <c r="F103" s="577"/>
      <c r="G103" s="567"/>
      <c r="H103" s="578"/>
      <c r="I103" s="588"/>
      <c r="J103" s="597"/>
      <c r="K103" s="665">
        <f t="shared" si="2"/>
        <v>0</v>
      </c>
      <c r="L103" s="594"/>
    </row>
    <row r="104" spans="1:12" s="833" customFormat="1" ht="12.75" customHeight="1" x14ac:dyDescent="0.2">
      <c r="A104" s="823">
        <f>A95+1</f>
        <v>12</v>
      </c>
      <c r="B104" s="706" t="s">
        <v>289</v>
      </c>
      <c r="C104" s="829" t="s">
        <v>362</v>
      </c>
      <c r="D104" s="824" t="str">
        <f>$D$14</f>
        <v>FTE  Sep 2026</v>
      </c>
      <c r="E104" s="689">
        <f>'3083'!$J$124</f>
        <v>552656</v>
      </c>
      <c r="F104" s="592"/>
      <c r="G104" s="689">
        <f>SUBTOTAL(109,E104:F111)</f>
        <v>552656</v>
      </c>
      <c r="H104" s="598"/>
      <c r="I104" s="846"/>
      <c r="J104" s="688"/>
      <c r="K104" s="834">
        <f t="shared" si="2"/>
        <v>552656</v>
      </c>
      <c r="L104" s="594"/>
    </row>
    <row r="105" spans="1:12" s="833" customFormat="1" ht="12.75" hidden="1" customHeight="1" x14ac:dyDescent="0.2">
      <c r="A105" s="823"/>
      <c r="B105" s="706"/>
      <c r="C105" s="707"/>
      <c r="D105" s="825" t="s">
        <v>558</v>
      </c>
      <c r="E105" s="689"/>
      <c r="F105" s="592"/>
      <c r="G105" s="689"/>
      <c r="H105" s="598"/>
      <c r="I105" s="706"/>
      <c r="K105" s="834">
        <f t="shared" si="2"/>
        <v>0</v>
      </c>
    </row>
    <row r="106" spans="1:12" s="833" customFormat="1" ht="12.75" hidden="1" customHeight="1" x14ac:dyDescent="0.2">
      <c r="A106" s="823"/>
      <c r="B106" s="706"/>
      <c r="C106" s="707"/>
      <c r="D106" s="826" t="s">
        <v>536</v>
      </c>
      <c r="E106" s="689"/>
      <c r="F106" s="592"/>
      <c r="G106" s="689"/>
      <c r="H106" s="598"/>
      <c r="I106" s="706"/>
      <c r="K106" s="834">
        <f t="shared" si="2"/>
        <v>0</v>
      </c>
    </row>
    <row r="107" spans="1:12" s="833" customFormat="1" ht="12.75" hidden="1" customHeight="1" x14ac:dyDescent="0.2">
      <c r="A107" s="823"/>
      <c r="B107" s="706"/>
      <c r="C107" s="707"/>
      <c r="D107" s="825" t="s">
        <v>537</v>
      </c>
      <c r="E107" s="689"/>
      <c r="F107" s="592"/>
      <c r="G107" s="689"/>
      <c r="H107" s="598"/>
      <c r="I107" s="828"/>
      <c r="K107" s="834">
        <f t="shared" si="2"/>
        <v>0</v>
      </c>
    </row>
    <row r="108" spans="1:12" s="833" customFormat="1" ht="12.75" hidden="1" customHeight="1" x14ac:dyDescent="0.2">
      <c r="A108" s="823"/>
      <c r="B108" s="706"/>
      <c r="C108" s="707"/>
      <c r="D108" s="825" t="s">
        <v>538</v>
      </c>
      <c r="E108" s="689"/>
      <c r="F108" s="592"/>
      <c r="G108" s="689"/>
      <c r="H108" s="598"/>
      <c r="I108" s="706"/>
      <c r="K108" s="834">
        <f t="shared" si="2"/>
        <v>0</v>
      </c>
    </row>
    <row r="109" spans="1:12" s="833" customFormat="1" ht="12.75" hidden="1" customHeight="1" x14ac:dyDescent="0.2">
      <c r="A109" s="823"/>
      <c r="B109" s="706"/>
      <c r="C109" s="707"/>
      <c r="D109" s="827" t="s">
        <v>539</v>
      </c>
      <c r="E109" s="689"/>
      <c r="F109" s="592"/>
      <c r="G109" s="689"/>
      <c r="H109" s="598"/>
      <c r="I109" s="706"/>
      <c r="K109" s="834">
        <f t="shared" ref="K109:K171" si="3">IF(E109&gt;0,E109,F109)</f>
        <v>0</v>
      </c>
    </row>
    <row r="110" spans="1:12" s="833" customFormat="1" ht="12.75" hidden="1" customHeight="1" x14ac:dyDescent="0.2">
      <c r="A110" s="823"/>
      <c r="B110" s="706"/>
      <c r="C110" s="707"/>
      <c r="D110" s="825" t="s">
        <v>540</v>
      </c>
      <c r="E110" s="689"/>
      <c r="F110" s="592"/>
      <c r="G110" s="689"/>
      <c r="H110" s="598"/>
      <c r="I110" s="706"/>
      <c r="K110" s="834">
        <f t="shared" si="3"/>
        <v>0</v>
      </c>
    </row>
    <row r="111" spans="1:12" s="833" customFormat="1" ht="12.75" hidden="1" customHeight="1" x14ac:dyDescent="0.2">
      <c r="A111" s="823"/>
      <c r="B111" s="706"/>
      <c r="C111" s="707"/>
      <c r="D111" s="825" t="s">
        <v>535</v>
      </c>
      <c r="E111" s="689"/>
      <c r="F111" s="592"/>
      <c r="G111" s="689"/>
      <c r="H111" s="598"/>
      <c r="I111" s="832"/>
      <c r="K111" s="834">
        <f t="shared" si="3"/>
        <v>0</v>
      </c>
    </row>
    <row r="112" spans="1:12" s="343" customFormat="1" ht="12.75" customHeight="1" x14ac:dyDescent="0.2">
      <c r="A112" s="563">
        <f>A104+1</f>
        <v>13</v>
      </c>
      <c r="B112" s="575" t="s">
        <v>291</v>
      </c>
      <c r="C112" s="600" t="s">
        <v>292</v>
      </c>
      <c r="D112" s="599" t="str">
        <f>$D$14</f>
        <v>FTE  Sep 2026</v>
      </c>
      <c r="E112" s="567">
        <f>'3345'!$J$124</f>
        <v>93448.16</v>
      </c>
      <c r="F112" s="577"/>
      <c r="G112" s="567">
        <f>SUBTOTAL(109,E112:F118)</f>
        <v>93448.16</v>
      </c>
      <c r="H112" s="578"/>
      <c r="I112" s="587"/>
      <c r="K112" s="665">
        <f t="shared" si="3"/>
        <v>93448.16</v>
      </c>
    </row>
    <row r="113" spans="1:11" s="343" customFormat="1" ht="12.75" hidden="1" customHeight="1" x14ac:dyDescent="0.2">
      <c r="A113" s="563"/>
      <c r="B113" s="575"/>
      <c r="C113" s="600"/>
      <c r="D113" s="579" t="s">
        <v>551</v>
      </c>
      <c r="E113" s="567"/>
      <c r="F113" s="577"/>
      <c r="G113" s="567"/>
      <c r="H113" s="578"/>
      <c r="I113" s="587"/>
      <c r="K113" s="665">
        <f t="shared" si="3"/>
        <v>0</v>
      </c>
    </row>
    <row r="114" spans="1:11" s="343" customFormat="1" ht="12.75" hidden="1" customHeight="1" x14ac:dyDescent="0.2">
      <c r="A114" s="563"/>
      <c r="B114" s="575"/>
      <c r="C114" s="600"/>
      <c r="D114" s="579" t="s">
        <v>536</v>
      </c>
      <c r="E114" s="567"/>
      <c r="F114" s="577"/>
      <c r="G114" s="567"/>
      <c r="H114" s="598"/>
      <c r="I114" s="590"/>
      <c r="K114" s="665">
        <f t="shared" si="3"/>
        <v>0</v>
      </c>
    </row>
    <row r="115" spans="1:11" s="343" customFormat="1" ht="12.75" hidden="1" customHeight="1" x14ac:dyDescent="0.2">
      <c r="A115" s="563"/>
      <c r="B115" s="575"/>
      <c r="C115" s="576"/>
      <c r="D115" s="579" t="s">
        <v>538</v>
      </c>
      <c r="E115" s="567"/>
      <c r="F115" s="577"/>
      <c r="G115" s="567"/>
      <c r="H115" s="598"/>
      <c r="I115" s="590"/>
      <c r="K115" s="665">
        <f t="shared" si="3"/>
        <v>0</v>
      </c>
    </row>
    <row r="116" spans="1:11" s="343" customFormat="1" ht="12.75" hidden="1" customHeight="1" x14ac:dyDescent="0.2">
      <c r="A116" s="563"/>
      <c r="B116" s="575"/>
      <c r="C116" s="576"/>
      <c r="D116" s="579" t="s">
        <v>539</v>
      </c>
      <c r="E116" s="567"/>
      <c r="F116" s="577"/>
      <c r="G116" s="567"/>
      <c r="H116" s="578"/>
      <c r="I116" s="596"/>
      <c r="K116" s="665">
        <f t="shared" si="3"/>
        <v>0</v>
      </c>
    </row>
    <row r="117" spans="1:11" s="343" customFormat="1" ht="12.75" hidden="1" customHeight="1" x14ac:dyDescent="0.2">
      <c r="A117" s="563"/>
      <c r="B117" s="575"/>
      <c r="C117" s="576"/>
      <c r="D117" s="579" t="s">
        <v>540</v>
      </c>
      <c r="E117" s="567"/>
      <c r="F117" s="577"/>
      <c r="G117" s="567"/>
      <c r="H117" s="598"/>
      <c r="I117" s="590"/>
      <c r="K117" s="665">
        <f t="shared" si="3"/>
        <v>0</v>
      </c>
    </row>
    <row r="118" spans="1:11" s="343" customFormat="1" ht="12.75" hidden="1" customHeight="1" x14ac:dyDescent="0.2">
      <c r="A118" s="563"/>
      <c r="B118" s="575"/>
      <c r="C118" s="576"/>
      <c r="D118" s="601" t="s">
        <v>550</v>
      </c>
      <c r="E118" s="567"/>
      <c r="F118" s="577"/>
      <c r="G118" s="567"/>
      <c r="H118" s="598"/>
      <c r="I118" s="590"/>
      <c r="K118" s="665">
        <f t="shared" si="3"/>
        <v>0</v>
      </c>
    </row>
    <row r="119" spans="1:11" s="833" customFormat="1" ht="12.75" customHeight="1" x14ac:dyDescent="0.2">
      <c r="A119" s="823">
        <v>14</v>
      </c>
      <c r="B119" s="706">
        <v>3362</v>
      </c>
      <c r="C119" s="707" t="s">
        <v>364</v>
      </c>
      <c r="D119" s="824" t="str">
        <f>$D$14</f>
        <v>FTE  Sep 2026</v>
      </c>
      <c r="E119" s="689">
        <f>'3362'!$J$124</f>
        <v>118496.38</v>
      </c>
      <c r="F119" s="592"/>
      <c r="G119" s="689">
        <f>SUBTOTAL(109,E119:F119)</f>
        <v>118496.38</v>
      </c>
      <c r="H119" s="598"/>
      <c r="I119" s="832"/>
      <c r="K119" s="834">
        <f t="shared" si="3"/>
        <v>118496.38</v>
      </c>
    </row>
    <row r="120" spans="1:11" s="343" customFormat="1" ht="12.75" customHeight="1" x14ac:dyDescent="0.2">
      <c r="A120" s="563">
        <v>15</v>
      </c>
      <c r="B120" s="575" t="s">
        <v>293</v>
      </c>
      <c r="C120" s="576" t="s">
        <v>294</v>
      </c>
      <c r="D120" s="599" t="str">
        <f>$D$14</f>
        <v>FTE  Sep 2026</v>
      </c>
      <c r="E120" s="567">
        <f>'3381'!$J$124</f>
        <v>778883.11</v>
      </c>
      <c r="F120" s="577"/>
      <c r="G120" s="567">
        <f>SUBTOTAL(109,E120:F128)</f>
        <v>778883.11</v>
      </c>
      <c r="H120" s="598"/>
      <c r="I120" s="590"/>
      <c r="K120" s="665">
        <f t="shared" si="3"/>
        <v>778883.11</v>
      </c>
    </row>
    <row r="121" spans="1:11" s="343" customFormat="1" ht="12.75" hidden="1" customHeight="1" x14ac:dyDescent="0.2">
      <c r="A121" s="563"/>
      <c r="B121" s="575"/>
      <c r="C121" s="576"/>
      <c r="D121" s="579" t="s">
        <v>535</v>
      </c>
      <c r="E121" s="567"/>
      <c r="F121" s="577"/>
      <c r="G121" s="567"/>
      <c r="H121" s="578"/>
      <c r="I121" s="587"/>
      <c r="K121" s="665">
        <f t="shared" si="3"/>
        <v>0</v>
      </c>
    </row>
    <row r="122" spans="1:11" ht="12.75" hidden="1" customHeight="1" x14ac:dyDescent="0.2">
      <c r="A122" s="563"/>
      <c r="B122" s="575"/>
      <c r="C122" s="576"/>
      <c r="D122" s="580" t="s">
        <v>536</v>
      </c>
      <c r="E122" s="567"/>
      <c r="F122" s="577"/>
      <c r="G122" s="567"/>
      <c r="H122" s="602"/>
      <c r="I122" s="590"/>
      <c r="K122" s="665">
        <f t="shared" si="3"/>
        <v>0</v>
      </c>
    </row>
    <row r="123" spans="1:11" s="343" customFormat="1" ht="12.75" hidden="1" customHeight="1" x14ac:dyDescent="0.2">
      <c r="A123" s="563"/>
      <c r="B123" s="575"/>
      <c r="C123" s="576"/>
      <c r="D123" s="579" t="s">
        <v>537</v>
      </c>
      <c r="E123" s="567"/>
      <c r="F123" s="577"/>
      <c r="G123" s="567"/>
      <c r="H123" s="598"/>
      <c r="I123" s="590"/>
      <c r="K123" s="665">
        <f t="shared" si="3"/>
        <v>0</v>
      </c>
    </row>
    <row r="124" spans="1:11" s="343" customFormat="1" ht="12.75" hidden="1" customHeight="1" x14ac:dyDescent="0.2">
      <c r="A124" s="563"/>
      <c r="B124" s="575"/>
      <c r="C124" s="576"/>
      <c r="D124" s="579" t="s">
        <v>538</v>
      </c>
      <c r="E124" s="567"/>
      <c r="F124" s="577"/>
      <c r="G124" s="567"/>
      <c r="H124" s="598"/>
      <c r="I124" s="590"/>
      <c r="K124" s="665">
        <f t="shared" si="3"/>
        <v>0</v>
      </c>
    </row>
    <row r="125" spans="1:11" s="343" customFormat="1" ht="12.75" hidden="1" customHeight="1" x14ac:dyDescent="0.2">
      <c r="A125" s="563"/>
      <c r="B125" s="575"/>
      <c r="C125" s="576"/>
      <c r="D125" s="579" t="s">
        <v>539</v>
      </c>
      <c r="E125" s="567"/>
      <c r="F125" s="577"/>
      <c r="G125" s="567"/>
      <c r="H125" s="598"/>
      <c r="I125" s="590"/>
      <c r="K125" s="665">
        <f t="shared" si="3"/>
        <v>0</v>
      </c>
    </row>
    <row r="126" spans="1:11" s="343" customFormat="1" ht="12.75" hidden="1" customHeight="1" x14ac:dyDescent="0.2">
      <c r="A126" s="563"/>
      <c r="B126" s="575"/>
      <c r="C126" s="576"/>
      <c r="D126" s="579" t="s">
        <v>540</v>
      </c>
      <c r="E126" s="567"/>
      <c r="F126" s="577"/>
      <c r="G126" s="567"/>
      <c r="H126" s="598"/>
      <c r="I126" s="590"/>
      <c r="K126" s="665">
        <f t="shared" si="3"/>
        <v>0</v>
      </c>
    </row>
    <row r="127" spans="1:11" s="343" customFormat="1" ht="12.75" hidden="1" customHeight="1" x14ac:dyDescent="0.2">
      <c r="A127" s="563"/>
      <c r="B127" s="575"/>
      <c r="C127" s="576"/>
      <c r="D127" s="579" t="s">
        <v>559</v>
      </c>
      <c r="E127" s="567"/>
      <c r="F127" s="577"/>
      <c r="G127" s="567"/>
      <c r="H127" s="598"/>
      <c r="I127" s="590"/>
      <c r="K127" s="665">
        <f t="shared" si="3"/>
        <v>0</v>
      </c>
    </row>
    <row r="128" spans="1:11" s="343" customFormat="1" ht="12.75" hidden="1" customHeight="1" x14ac:dyDescent="0.2">
      <c r="A128" s="563"/>
      <c r="B128" s="575"/>
      <c r="C128" s="576"/>
      <c r="D128" s="601" t="s">
        <v>550</v>
      </c>
      <c r="E128" s="567"/>
      <c r="F128" s="577"/>
      <c r="G128" s="567"/>
      <c r="H128" s="578"/>
      <c r="I128" s="587"/>
      <c r="K128" s="665">
        <f t="shared" si="3"/>
        <v>0</v>
      </c>
    </row>
    <row r="129" spans="1:16" s="833" customFormat="1" ht="12.75" customHeight="1" x14ac:dyDescent="0.2">
      <c r="A129" s="823">
        <v>16</v>
      </c>
      <c r="B129" s="706" t="s">
        <v>295</v>
      </c>
      <c r="C129" s="707" t="s">
        <v>296</v>
      </c>
      <c r="D129" s="824" t="str">
        <f>$D$14</f>
        <v>FTE  Sep 2026</v>
      </c>
      <c r="E129" s="689">
        <f>'3382'!$J$124</f>
        <v>195261.53</v>
      </c>
      <c r="F129" s="592"/>
      <c r="G129" s="689">
        <f>SUBTOTAL(109,E129:F137)</f>
        <v>195261.53</v>
      </c>
      <c r="H129" s="598"/>
      <c r="I129" s="832"/>
      <c r="K129" s="834">
        <f t="shared" si="3"/>
        <v>195261.53</v>
      </c>
    </row>
    <row r="130" spans="1:16" s="833" customFormat="1" ht="12.75" hidden="1" customHeight="1" x14ac:dyDescent="0.2">
      <c r="A130" s="823"/>
      <c r="B130" s="706"/>
      <c r="C130" s="707"/>
      <c r="D130" s="825" t="s">
        <v>551</v>
      </c>
      <c r="E130" s="689"/>
      <c r="F130" s="592"/>
      <c r="G130" s="689"/>
      <c r="H130" s="598"/>
      <c r="I130" s="706"/>
      <c r="K130" s="834">
        <f t="shared" si="3"/>
        <v>0</v>
      </c>
    </row>
    <row r="131" spans="1:16" s="833" customFormat="1" ht="12.75" hidden="1" customHeight="1" x14ac:dyDescent="0.2">
      <c r="A131" s="823"/>
      <c r="B131" s="706"/>
      <c r="C131" s="707"/>
      <c r="D131" s="826" t="s">
        <v>536</v>
      </c>
      <c r="E131" s="689"/>
      <c r="F131" s="592"/>
      <c r="G131" s="689"/>
      <c r="H131" s="598"/>
      <c r="I131" s="706"/>
      <c r="K131" s="834">
        <f t="shared" si="3"/>
        <v>0</v>
      </c>
    </row>
    <row r="132" spans="1:16" s="833" customFormat="1" ht="12.75" hidden="1" customHeight="1" x14ac:dyDescent="0.2">
      <c r="A132" s="823"/>
      <c r="B132" s="706"/>
      <c r="C132" s="707"/>
      <c r="D132" s="825" t="s">
        <v>537</v>
      </c>
      <c r="E132" s="689"/>
      <c r="F132" s="592"/>
      <c r="G132" s="689"/>
      <c r="H132" s="598"/>
      <c r="I132" s="828"/>
      <c r="K132" s="834">
        <f t="shared" si="3"/>
        <v>0</v>
      </c>
    </row>
    <row r="133" spans="1:16" s="833" customFormat="1" ht="12.75" hidden="1" customHeight="1" x14ac:dyDescent="0.2">
      <c r="A133" s="823"/>
      <c r="B133" s="706"/>
      <c r="C133" s="707"/>
      <c r="D133" s="825" t="s">
        <v>538</v>
      </c>
      <c r="E133" s="689"/>
      <c r="F133" s="592"/>
      <c r="G133" s="689"/>
      <c r="H133" s="598"/>
      <c r="I133" s="706"/>
      <c r="K133" s="834">
        <f t="shared" si="3"/>
        <v>0</v>
      </c>
    </row>
    <row r="134" spans="1:16" s="833" customFormat="1" ht="12.75" hidden="1" customHeight="1" x14ac:dyDescent="0.2">
      <c r="A134" s="823"/>
      <c r="B134" s="706"/>
      <c r="C134" s="707"/>
      <c r="D134" s="825" t="s">
        <v>539</v>
      </c>
      <c r="E134" s="689"/>
      <c r="F134" s="592"/>
      <c r="G134" s="689"/>
      <c r="H134" s="598"/>
      <c r="I134" s="706"/>
      <c r="K134" s="834">
        <f t="shared" si="3"/>
        <v>0</v>
      </c>
    </row>
    <row r="135" spans="1:16" s="833" customFormat="1" ht="12.75" hidden="1" customHeight="1" x14ac:dyDescent="0.2">
      <c r="A135" s="823"/>
      <c r="B135" s="706"/>
      <c r="C135" s="707"/>
      <c r="D135" s="825" t="s">
        <v>540</v>
      </c>
      <c r="E135" s="689"/>
      <c r="F135" s="592"/>
      <c r="G135" s="689"/>
      <c r="H135" s="598"/>
      <c r="I135" s="706"/>
      <c r="K135" s="834">
        <f t="shared" si="3"/>
        <v>0</v>
      </c>
    </row>
    <row r="136" spans="1:16" s="833" customFormat="1" ht="12.75" hidden="1" customHeight="1" x14ac:dyDescent="0.2">
      <c r="A136" s="823"/>
      <c r="B136" s="706"/>
      <c r="C136" s="707"/>
      <c r="D136" s="825" t="s">
        <v>553</v>
      </c>
      <c r="E136" s="689"/>
      <c r="F136" s="592"/>
      <c r="G136" s="689"/>
      <c r="H136" s="598"/>
      <c r="I136" s="832"/>
      <c r="K136" s="834">
        <f t="shared" si="3"/>
        <v>0</v>
      </c>
    </row>
    <row r="137" spans="1:16" s="833" customFormat="1" ht="12.75" hidden="1" customHeight="1" x14ac:dyDescent="0.2">
      <c r="A137" s="823"/>
      <c r="B137" s="706"/>
      <c r="C137" s="828"/>
      <c r="D137" s="827" t="s">
        <v>550</v>
      </c>
      <c r="E137" s="689"/>
      <c r="F137" s="592"/>
      <c r="G137" s="689"/>
      <c r="H137" s="598"/>
      <c r="I137" s="842"/>
      <c r="K137" s="834">
        <f t="shared" si="3"/>
        <v>0</v>
      </c>
    </row>
    <row r="138" spans="1:16" ht="12.75" hidden="1" customHeight="1" x14ac:dyDescent="0.2">
      <c r="A138" s="563"/>
      <c r="B138" s="575" t="s">
        <v>297</v>
      </c>
      <c r="C138" s="576" t="s">
        <v>298</v>
      </c>
      <c r="D138" s="599" t="str">
        <f>$D$14</f>
        <v>FTE  Sep 2026</v>
      </c>
      <c r="E138" s="567">
        <f>'3391'!$J$124</f>
        <v>0</v>
      </c>
      <c r="F138" s="577"/>
      <c r="G138" s="567">
        <f>SUBTOTAL(109,E138:F146)</f>
        <v>0</v>
      </c>
      <c r="H138" s="602"/>
      <c r="I138" s="590"/>
      <c r="K138" s="665">
        <f t="shared" si="3"/>
        <v>0</v>
      </c>
    </row>
    <row r="139" spans="1:16" s="343" customFormat="1" ht="12" hidden="1" customHeight="1" x14ac:dyDescent="0.2">
      <c r="A139" s="563"/>
      <c r="B139" s="575"/>
      <c r="C139" s="576"/>
      <c r="D139" s="579" t="s">
        <v>535</v>
      </c>
      <c r="E139" s="567"/>
      <c r="F139" s="577"/>
      <c r="G139" s="567"/>
      <c r="H139" s="598"/>
      <c r="I139" s="590"/>
      <c r="K139" s="665">
        <f t="shared" si="3"/>
        <v>0</v>
      </c>
      <c r="P139" s="595"/>
    </row>
    <row r="140" spans="1:16" s="343" customFormat="1" ht="12.75" hidden="1" customHeight="1" x14ac:dyDescent="0.2">
      <c r="A140" s="563"/>
      <c r="B140" s="575"/>
      <c r="C140" s="576"/>
      <c r="D140" s="579" t="s">
        <v>536</v>
      </c>
      <c r="E140" s="567"/>
      <c r="F140" s="577"/>
      <c r="G140" s="567"/>
      <c r="H140" s="598"/>
      <c r="I140" s="590"/>
      <c r="K140" s="665">
        <f t="shared" si="3"/>
        <v>0</v>
      </c>
    </row>
    <row r="141" spans="1:16" s="343" customFormat="1" ht="12.75" hidden="1" customHeight="1" x14ac:dyDescent="0.2">
      <c r="A141" s="563"/>
      <c r="B141" s="575"/>
      <c r="C141" s="576"/>
      <c r="D141" s="580" t="s">
        <v>548</v>
      </c>
      <c r="E141" s="567"/>
      <c r="F141" s="577"/>
      <c r="G141" s="567"/>
      <c r="H141" s="578"/>
      <c r="I141" s="596"/>
      <c r="K141" s="665">
        <f t="shared" si="3"/>
        <v>0</v>
      </c>
    </row>
    <row r="142" spans="1:16" s="343" customFormat="1" ht="12.75" hidden="1" customHeight="1" x14ac:dyDescent="0.2">
      <c r="A142" s="563"/>
      <c r="B142" s="575"/>
      <c r="C142" s="576"/>
      <c r="D142" s="579" t="s">
        <v>537</v>
      </c>
      <c r="E142" s="567"/>
      <c r="F142" s="577"/>
      <c r="G142" s="567"/>
      <c r="H142" s="598"/>
      <c r="I142" s="590"/>
      <c r="K142" s="665">
        <f t="shared" si="3"/>
        <v>0</v>
      </c>
    </row>
    <row r="143" spans="1:16" s="343" customFormat="1" ht="12.75" hidden="1" customHeight="1" x14ac:dyDescent="0.2">
      <c r="A143" s="563"/>
      <c r="B143" s="575"/>
      <c r="C143" s="576"/>
      <c r="D143" s="579" t="s">
        <v>538</v>
      </c>
      <c r="E143" s="567"/>
      <c r="F143" s="577"/>
      <c r="G143" s="567"/>
      <c r="H143" s="598"/>
      <c r="I143" s="590"/>
      <c r="K143" s="665">
        <f t="shared" si="3"/>
        <v>0</v>
      </c>
    </row>
    <row r="144" spans="1:16" s="343" customFormat="1" ht="12.75" hidden="1" customHeight="1" x14ac:dyDescent="0.2">
      <c r="A144" s="563"/>
      <c r="B144" s="575"/>
      <c r="C144" s="576"/>
      <c r="D144" s="579" t="s">
        <v>539</v>
      </c>
      <c r="E144" s="567"/>
      <c r="F144" s="577"/>
      <c r="G144" s="567"/>
      <c r="H144" s="598"/>
      <c r="I144" s="590"/>
      <c r="K144" s="665">
        <f t="shared" si="3"/>
        <v>0</v>
      </c>
    </row>
    <row r="145" spans="1:11" s="343" customFormat="1" ht="12.75" hidden="1" customHeight="1" x14ac:dyDescent="0.2">
      <c r="A145" s="563"/>
      <c r="B145" s="575"/>
      <c r="C145" s="576"/>
      <c r="D145" s="579" t="s">
        <v>540</v>
      </c>
      <c r="E145" s="567"/>
      <c r="F145" s="577"/>
      <c r="G145" s="567"/>
      <c r="H145" s="578"/>
      <c r="I145" s="587"/>
      <c r="K145" s="665">
        <f t="shared" si="3"/>
        <v>0</v>
      </c>
    </row>
    <row r="146" spans="1:11" s="343" customFormat="1" ht="12.75" hidden="1" customHeight="1" x14ac:dyDescent="0.2">
      <c r="A146" s="563"/>
      <c r="B146" s="575"/>
      <c r="C146" s="576"/>
      <c r="D146" s="601"/>
      <c r="E146" s="567"/>
      <c r="F146" s="577"/>
      <c r="G146" s="567"/>
      <c r="H146" s="598"/>
      <c r="I146" s="587"/>
      <c r="K146" s="665">
        <f t="shared" si="3"/>
        <v>0</v>
      </c>
    </row>
    <row r="147" spans="1:11" s="793" customFormat="1" ht="12.75" customHeight="1" x14ac:dyDescent="0.2">
      <c r="A147" s="563">
        <v>17</v>
      </c>
      <c r="B147" s="575" t="s">
        <v>299</v>
      </c>
      <c r="C147" s="576" t="s">
        <v>300</v>
      </c>
      <c r="D147" s="599" t="str">
        <f>$D$14</f>
        <v>FTE  Sep 2026</v>
      </c>
      <c r="E147" s="567">
        <f>'3394'!$J$124</f>
        <v>142110.34</v>
      </c>
      <c r="F147" s="577" t="s">
        <v>50</v>
      </c>
      <c r="G147" s="567">
        <f>SUBTOTAL(109,E147:F156)</f>
        <v>142110.34</v>
      </c>
      <c r="H147" s="602"/>
      <c r="I147" s="706"/>
      <c r="K147" s="834">
        <f t="shared" si="3"/>
        <v>142110.34</v>
      </c>
    </row>
    <row r="148" spans="1:11" s="833" customFormat="1" ht="12.75" hidden="1" customHeight="1" x14ac:dyDescent="0.2">
      <c r="A148" s="563"/>
      <c r="B148" s="575"/>
      <c r="C148" s="576"/>
      <c r="D148" s="579" t="s">
        <v>551</v>
      </c>
      <c r="E148" s="567"/>
      <c r="F148" s="577"/>
      <c r="G148" s="567"/>
      <c r="H148" s="598"/>
      <c r="I148" s="847"/>
      <c r="K148" s="834">
        <f t="shared" si="3"/>
        <v>0</v>
      </c>
    </row>
    <row r="149" spans="1:11" s="833" customFormat="1" ht="12.75" hidden="1" customHeight="1" x14ac:dyDescent="0.2">
      <c r="A149" s="563"/>
      <c r="B149" s="575"/>
      <c r="C149" s="576"/>
      <c r="D149" s="580" t="s">
        <v>536</v>
      </c>
      <c r="E149" s="567"/>
      <c r="F149" s="577"/>
      <c r="G149" s="567"/>
      <c r="H149" s="598"/>
      <c r="I149" s="847"/>
      <c r="K149" s="834">
        <f t="shared" si="3"/>
        <v>0</v>
      </c>
    </row>
    <row r="150" spans="1:11" s="833" customFormat="1" ht="12.75" hidden="1" customHeight="1" x14ac:dyDescent="0.2">
      <c r="A150" s="563"/>
      <c r="B150" s="575"/>
      <c r="C150" s="576"/>
      <c r="D150" s="579" t="s">
        <v>537</v>
      </c>
      <c r="E150" s="567"/>
      <c r="F150" s="577"/>
      <c r="G150" s="567"/>
      <c r="H150" s="598"/>
      <c r="I150" s="828"/>
      <c r="K150" s="834">
        <f t="shared" si="3"/>
        <v>0</v>
      </c>
    </row>
    <row r="151" spans="1:11" s="833" customFormat="1" ht="12.75" hidden="1" customHeight="1" x14ac:dyDescent="0.2">
      <c r="A151" s="563"/>
      <c r="B151" s="575"/>
      <c r="C151" s="576"/>
      <c r="D151" s="579" t="s">
        <v>538</v>
      </c>
      <c r="E151" s="567"/>
      <c r="F151" s="577"/>
      <c r="G151" s="567"/>
      <c r="H151" s="598"/>
      <c r="I151" s="828"/>
      <c r="K151" s="834">
        <f t="shared" si="3"/>
        <v>0</v>
      </c>
    </row>
    <row r="152" spans="1:11" s="833" customFormat="1" ht="12.75" hidden="1" customHeight="1" x14ac:dyDescent="0.2">
      <c r="A152" s="563"/>
      <c r="B152" s="575"/>
      <c r="C152" s="576"/>
      <c r="D152" s="579" t="s">
        <v>539</v>
      </c>
      <c r="E152" s="567"/>
      <c r="F152" s="577"/>
      <c r="G152" s="567"/>
      <c r="H152" s="598"/>
      <c r="I152" s="847"/>
      <c r="K152" s="834">
        <f t="shared" si="3"/>
        <v>0</v>
      </c>
    </row>
    <row r="153" spans="1:11" s="833" customFormat="1" ht="12.75" hidden="1" customHeight="1" x14ac:dyDescent="0.2">
      <c r="A153" s="563"/>
      <c r="B153" s="575"/>
      <c r="C153" s="576"/>
      <c r="D153" s="579" t="s">
        <v>540</v>
      </c>
      <c r="E153" s="567"/>
      <c r="F153" s="577"/>
      <c r="G153" s="567"/>
      <c r="H153" s="598"/>
      <c r="I153" s="847"/>
      <c r="K153" s="834">
        <f t="shared" si="3"/>
        <v>0</v>
      </c>
    </row>
    <row r="154" spans="1:11" s="833" customFormat="1" ht="12.75" hidden="1" customHeight="1" x14ac:dyDescent="0.2">
      <c r="A154" s="563"/>
      <c r="B154" s="575"/>
      <c r="C154" s="576"/>
      <c r="D154" s="579" t="s">
        <v>559</v>
      </c>
      <c r="E154" s="567"/>
      <c r="F154" s="577"/>
      <c r="G154" s="567"/>
      <c r="H154" s="598"/>
      <c r="I154" s="847"/>
      <c r="K154" s="834">
        <f t="shared" si="3"/>
        <v>0</v>
      </c>
    </row>
    <row r="155" spans="1:11" s="833" customFormat="1" ht="12.75" hidden="1" customHeight="1" x14ac:dyDescent="0.2">
      <c r="A155" s="563"/>
      <c r="B155" s="575"/>
      <c r="C155" s="576"/>
      <c r="D155" s="601" t="s">
        <v>560</v>
      </c>
      <c r="E155" s="567"/>
      <c r="F155" s="577"/>
      <c r="G155" s="567"/>
      <c r="H155" s="598"/>
      <c r="I155" s="832"/>
      <c r="K155" s="834">
        <f t="shared" si="3"/>
        <v>0</v>
      </c>
    </row>
    <row r="156" spans="1:11" s="833" customFormat="1" ht="12.75" hidden="1" customHeight="1" x14ac:dyDescent="0.2">
      <c r="A156" s="563"/>
      <c r="B156" s="575"/>
      <c r="C156" s="576"/>
      <c r="D156" s="601" t="s">
        <v>561</v>
      </c>
      <c r="E156" s="567"/>
      <c r="F156" s="577"/>
      <c r="G156" s="567"/>
      <c r="H156" s="598"/>
      <c r="I156" s="832"/>
      <c r="K156" s="834">
        <f t="shared" si="3"/>
        <v>0</v>
      </c>
    </row>
    <row r="157" spans="1:11" s="343" customFormat="1" ht="12" customHeight="1" x14ac:dyDescent="0.2">
      <c r="A157" s="823">
        <v>18</v>
      </c>
      <c r="B157" s="706" t="s">
        <v>301</v>
      </c>
      <c r="C157" s="829" t="s">
        <v>365</v>
      </c>
      <c r="D157" s="824" t="str">
        <f>$D$14</f>
        <v>FTE  Sep 2026</v>
      </c>
      <c r="E157" s="689">
        <f>'3395'!$J$124</f>
        <v>392347.75</v>
      </c>
      <c r="F157" s="592"/>
      <c r="G157" s="689">
        <f>SUBTOTAL(109,E157:F164)</f>
        <v>392347.75</v>
      </c>
      <c r="H157" s="598"/>
      <c r="I157" s="603"/>
      <c r="K157" s="665">
        <f t="shared" si="3"/>
        <v>392347.75</v>
      </c>
    </row>
    <row r="158" spans="1:11" s="343" customFormat="1" ht="12.75" hidden="1" customHeight="1" x14ac:dyDescent="0.2">
      <c r="A158" s="823"/>
      <c r="B158" s="706"/>
      <c r="C158" s="707"/>
      <c r="D158" s="825" t="s">
        <v>535</v>
      </c>
      <c r="E158" s="689"/>
      <c r="F158" s="592"/>
      <c r="G158" s="689"/>
      <c r="H158" s="598"/>
      <c r="I158" s="603"/>
      <c r="K158" s="665">
        <f t="shared" si="3"/>
        <v>0</v>
      </c>
    </row>
    <row r="159" spans="1:11" s="343" customFormat="1" ht="12.75" hidden="1" customHeight="1" x14ac:dyDescent="0.2">
      <c r="A159" s="823"/>
      <c r="B159" s="706"/>
      <c r="C159" s="707"/>
      <c r="D159" s="826" t="s">
        <v>536</v>
      </c>
      <c r="E159" s="689"/>
      <c r="F159" s="592"/>
      <c r="G159" s="689"/>
      <c r="H159" s="578"/>
      <c r="I159" s="596"/>
      <c r="K159" s="665">
        <f t="shared" si="3"/>
        <v>0</v>
      </c>
    </row>
    <row r="160" spans="1:11" s="343" customFormat="1" ht="12.75" hidden="1" customHeight="1" x14ac:dyDescent="0.2">
      <c r="A160" s="823"/>
      <c r="B160" s="706"/>
      <c r="C160" s="707"/>
      <c r="D160" s="825" t="s">
        <v>537</v>
      </c>
      <c r="E160" s="689"/>
      <c r="F160" s="592"/>
      <c r="G160" s="689"/>
      <c r="H160" s="598"/>
      <c r="I160" s="603"/>
      <c r="K160" s="665">
        <f t="shared" si="3"/>
        <v>0</v>
      </c>
    </row>
    <row r="161" spans="1:11" s="343" customFormat="1" ht="12.75" hidden="1" customHeight="1" x14ac:dyDescent="0.2">
      <c r="A161" s="823"/>
      <c r="B161" s="706"/>
      <c r="C161" s="707"/>
      <c r="D161" s="825" t="s">
        <v>538</v>
      </c>
      <c r="E161" s="689"/>
      <c r="F161" s="592"/>
      <c r="G161" s="689"/>
      <c r="H161" s="598"/>
      <c r="I161" s="603"/>
      <c r="K161" s="665">
        <f t="shared" si="3"/>
        <v>0</v>
      </c>
    </row>
    <row r="162" spans="1:11" s="343" customFormat="1" ht="12.75" hidden="1" customHeight="1" x14ac:dyDescent="0.2">
      <c r="A162" s="823"/>
      <c r="B162" s="706"/>
      <c r="C162" s="707"/>
      <c r="D162" s="825" t="s">
        <v>539</v>
      </c>
      <c r="E162" s="689"/>
      <c r="F162" s="592"/>
      <c r="G162" s="689"/>
      <c r="H162" s="598"/>
      <c r="I162" s="603"/>
      <c r="K162" s="665">
        <f t="shared" si="3"/>
        <v>0</v>
      </c>
    </row>
    <row r="163" spans="1:11" s="343" customFormat="1" ht="12.75" hidden="1" customHeight="1" x14ac:dyDescent="0.2">
      <c r="A163" s="823"/>
      <c r="B163" s="706"/>
      <c r="C163" s="707"/>
      <c r="D163" s="688" t="s">
        <v>599</v>
      </c>
      <c r="E163" s="689"/>
      <c r="F163" s="592"/>
      <c r="G163" s="689"/>
      <c r="H163" s="598"/>
      <c r="I163" s="703" t="s">
        <v>600</v>
      </c>
      <c r="K163" s="665">
        <f t="shared" si="3"/>
        <v>0</v>
      </c>
    </row>
    <row r="164" spans="1:11" s="343" customFormat="1" ht="12.75" hidden="1" customHeight="1" x14ac:dyDescent="0.2">
      <c r="A164" s="823"/>
      <c r="B164" s="706"/>
      <c r="C164" s="707"/>
      <c r="D164" s="688"/>
      <c r="E164" s="830"/>
      <c r="F164" s="592"/>
      <c r="G164" s="689"/>
      <c r="H164" s="598"/>
      <c r="I164" s="584"/>
      <c r="K164" s="665">
        <f t="shared" si="3"/>
        <v>0</v>
      </c>
    </row>
    <row r="165" spans="1:11" s="833" customFormat="1" ht="12.75" customHeight="1" x14ac:dyDescent="0.2">
      <c r="A165" s="563">
        <v>19</v>
      </c>
      <c r="B165" s="575" t="s">
        <v>303</v>
      </c>
      <c r="C165" s="600" t="s">
        <v>304</v>
      </c>
      <c r="D165" s="599" t="str">
        <f>$D$14</f>
        <v>FTE  Sep 2026</v>
      </c>
      <c r="E165" s="567">
        <f>'3396'!$J$124</f>
        <v>518439.3</v>
      </c>
      <c r="F165" s="577"/>
      <c r="G165" s="567">
        <f>SUBTOTAL(109,E165:F172)</f>
        <v>518439.3</v>
      </c>
      <c r="H165" s="598"/>
      <c r="I165" s="847"/>
      <c r="K165" s="834">
        <f t="shared" si="3"/>
        <v>518439.3</v>
      </c>
    </row>
    <row r="166" spans="1:11" s="833" customFormat="1" ht="12.75" hidden="1" customHeight="1" x14ac:dyDescent="0.2">
      <c r="A166" s="563"/>
      <c r="B166" s="575"/>
      <c r="C166" s="600"/>
      <c r="D166" s="579" t="s">
        <v>551</v>
      </c>
      <c r="E166" s="567"/>
      <c r="F166" s="577"/>
      <c r="G166" s="567"/>
      <c r="H166" s="598"/>
      <c r="I166" s="847"/>
      <c r="K166" s="834">
        <f t="shared" si="3"/>
        <v>0</v>
      </c>
    </row>
    <row r="167" spans="1:11" s="833" customFormat="1" ht="12.75" hidden="1" customHeight="1" x14ac:dyDescent="0.2">
      <c r="A167" s="563"/>
      <c r="B167" s="575"/>
      <c r="C167" s="600"/>
      <c r="D167" s="579" t="s">
        <v>536</v>
      </c>
      <c r="E167" s="567"/>
      <c r="F167" s="577"/>
      <c r="G167" s="567"/>
      <c r="H167" s="598"/>
      <c r="I167" s="847"/>
      <c r="K167" s="834">
        <f t="shared" si="3"/>
        <v>0</v>
      </c>
    </row>
    <row r="168" spans="1:11" s="833" customFormat="1" ht="12.75" hidden="1" customHeight="1" x14ac:dyDescent="0.2">
      <c r="A168" s="563"/>
      <c r="B168" s="575"/>
      <c r="C168" s="600"/>
      <c r="D168" s="579" t="s">
        <v>538</v>
      </c>
      <c r="E168" s="567"/>
      <c r="F168" s="577"/>
      <c r="G168" s="567"/>
      <c r="H168" s="598"/>
      <c r="I168" s="828"/>
      <c r="K168" s="834">
        <f t="shared" si="3"/>
        <v>0</v>
      </c>
    </row>
    <row r="169" spans="1:11" s="833" customFormat="1" ht="12.75" hidden="1" customHeight="1" x14ac:dyDescent="0.2">
      <c r="A169" s="563"/>
      <c r="B169" s="575"/>
      <c r="C169" s="600"/>
      <c r="D169" s="579" t="s">
        <v>539</v>
      </c>
      <c r="E169" s="567"/>
      <c r="F169" s="577"/>
      <c r="G169" s="567"/>
      <c r="H169" s="598"/>
      <c r="I169" s="847"/>
      <c r="K169" s="834">
        <f t="shared" si="3"/>
        <v>0</v>
      </c>
    </row>
    <row r="170" spans="1:11" s="833" customFormat="1" ht="12.75" hidden="1" customHeight="1" x14ac:dyDescent="0.2">
      <c r="A170" s="563"/>
      <c r="B170" s="575"/>
      <c r="C170" s="576"/>
      <c r="D170" s="579" t="s">
        <v>540</v>
      </c>
      <c r="E170" s="567"/>
      <c r="F170" s="577"/>
      <c r="G170" s="567"/>
      <c r="H170" s="598"/>
      <c r="I170" s="847"/>
      <c r="K170" s="834">
        <f t="shared" si="3"/>
        <v>0</v>
      </c>
    </row>
    <row r="171" spans="1:11" s="833" customFormat="1" ht="12.75" hidden="1" customHeight="1" x14ac:dyDescent="0.2">
      <c r="A171" s="563"/>
      <c r="B171" s="575"/>
      <c r="C171" s="576"/>
      <c r="D171" s="579" t="s">
        <v>559</v>
      </c>
      <c r="E171" s="567"/>
      <c r="F171" s="577"/>
      <c r="G171" s="567"/>
      <c r="H171" s="598"/>
      <c r="I171" s="847"/>
      <c r="K171" s="834">
        <f t="shared" si="3"/>
        <v>0</v>
      </c>
    </row>
    <row r="172" spans="1:11" s="833" customFormat="1" ht="12.75" hidden="1" customHeight="1" x14ac:dyDescent="0.2">
      <c r="A172" s="563"/>
      <c r="B172" s="575"/>
      <c r="C172" s="576"/>
      <c r="D172" s="601" t="s">
        <v>550</v>
      </c>
      <c r="E172" s="567"/>
      <c r="F172" s="577"/>
      <c r="G172" s="567"/>
      <c r="H172" s="598"/>
      <c r="I172" s="832"/>
      <c r="K172" s="834">
        <f t="shared" ref="K172:K235" si="4">IF(E172&gt;0,E172,F172)</f>
        <v>0</v>
      </c>
    </row>
    <row r="173" spans="1:11" s="343" customFormat="1" ht="12.75" customHeight="1" x14ac:dyDescent="0.2">
      <c r="A173" s="823">
        <f>A165+1</f>
        <v>20</v>
      </c>
      <c r="B173" s="706" t="s">
        <v>305</v>
      </c>
      <c r="C173" s="707" t="s">
        <v>306</v>
      </c>
      <c r="D173" s="824" t="str">
        <f>$D$14</f>
        <v>FTE  Sep 2026</v>
      </c>
      <c r="E173" s="689">
        <f>'3398'!$J$124</f>
        <v>71814.87</v>
      </c>
      <c r="F173" s="592"/>
      <c r="G173" s="689">
        <f>SUBTOTAL(109,E173:F179)</f>
        <v>71814.87</v>
      </c>
      <c r="H173" s="598"/>
      <c r="I173" s="584"/>
      <c r="K173" s="665">
        <f t="shared" si="4"/>
        <v>71814.87</v>
      </c>
    </row>
    <row r="174" spans="1:11" ht="12.75" hidden="1" customHeight="1" x14ac:dyDescent="0.2">
      <c r="A174" s="823"/>
      <c r="B174" s="706"/>
      <c r="C174" s="707"/>
      <c r="D174" s="825" t="s">
        <v>535</v>
      </c>
      <c r="E174" s="689"/>
      <c r="F174" s="592"/>
      <c r="G174" s="689"/>
      <c r="H174" s="602"/>
      <c r="I174" s="605"/>
      <c r="K174" s="665">
        <f t="shared" si="4"/>
        <v>0</v>
      </c>
    </row>
    <row r="175" spans="1:11" s="343" customFormat="1" ht="12.75" hidden="1" customHeight="1" x14ac:dyDescent="0.2">
      <c r="A175" s="823"/>
      <c r="B175" s="706"/>
      <c r="C175" s="707"/>
      <c r="D175" s="825" t="s">
        <v>536</v>
      </c>
      <c r="E175" s="689"/>
      <c r="F175" s="592"/>
      <c r="G175" s="689"/>
      <c r="H175" s="598"/>
      <c r="I175" s="603"/>
      <c r="K175" s="665">
        <f t="shared" si="4"/>
        <v>0</v>
      </c>
    </row>
    <row r="176" spans="1:11" s="343" customFormat="1" ht="12.75" hidden="1" customHeight="1" x14ac:dyDescent="0.2">
      <c r="A176" s="823"/>
      <c r="B176" s="706"/>
      <c r="C176" s="707"/>
      <c r="D176" s="825" t="s">
        <v>538</v>
      </c>
      <c r="E176" s="689"/>
      <c r="F176" s="592"/>
      <c r="G176" s="689"/>
      <c r="H176" s="598"/>
      <c r="I176" s="603"/>
      <c r="K176" s="665">
        <f t="shared" si="4"/>
        <v>0</v>
      </c>
    </row>
    <row r="177" spans="1:11" s="343" customFormat="1" ht="12.75" hidden="1" customHeight="1" x14ac:dyDescent="0.2">
      <c r="A177" s="823"/>
      <c r="B177" s="706"/>
      <c r="C177" s="828"/>
      <c r="D177" s="825" t="s">
        <v>539</v>
      </c>
      <c r="E177" s="689"/>
      <c r="F177" s="592"/>
      <c r="G177" s="689"/>
      <c r="H177" s="598"/>
      <c r="K177" s="665">
        <f t="shared" si="4"/>
        <v>0</v>
      </c>
    </row>
    <row r="178" spans="1:11" s="343" customFormat="1" ht="12.75" hidden="1" customHeight="1" x14ac:dyDescent="0.2">
      <c r="A178" s="823"/>
      <c r="B178" s="706"/>
      <c r="C178" s="707"/>
      <c r="D178" s="825" t="s">
        <v>540</v>
      </c>
      <c r="E178" s="689"/>
      <c r="F178" s="592"/>
      <c r="G178" s="689"/>
      <c r="H178" s="598"/>
      <c r="K178" s="665">
        <f t="shared" si="4"/>
        <v>0</v>
      </c>
    </row>
    <row r="179" spans="1:11" s="343" customFormat="1" ht="12.75" hidden="1" customHeight="1" x14ac:dyDescent="0.2">
      <c r="A179" s="823"/>
      <c r="B179" s="706"/>
      <c r="C179" s="828"/>
      <c r="D179" s="827" t="s">
        <v>550</v>
      </c>
      <c r="E179" s="689"/>
      <c r="F179" s="592"/>
      <c r="G179" s="689"/>
      <c r="H179" s="598"/>
      <c r="K179" s="665">
        <f t="shared" si="4"/>
        <v>0</v>
      </c>
    </row>
    <row r="180" spans="1:11" s="833" customFormat="1" ht="12.75" customHeight="1" x14ac:dyDescent="0.2">
      <c r="A180" s="563">
        <f>A173+1</f>
        <v>21</v>
      </c>
      <c r="B180" s="575" t="s">
        <v>307</v>
      </c>
      <c r="C180" s="576" t="s">
        <v>308</v>
      </c>
      <c r="D180" s="599" t="str">
        <f>$D$14</f>
        <v>FTE  Sep 2026</v>
      </c>
      <c r="E180" s="567">
        <f>'3400'!$J$124</f>
        <v>91709.02</v>
      </c>
      <c r="F180" s="577"/>
      <c r="G180" s="567">
        <f>SUBTOTAL(109,E180:F187)</f>
        <v>91709.02</v>
      </c>
      <c r="H180" s="598"/>
      <c r="I180" s="832"/>
      <c r="K180" s="834">
        <f t="shared" si="4"/>
        <v>91709.02</v>
      </c>
    </row>
    <row r="181" spans="1:11" s="833" customFormat="1" ht="12.75" hidden="1" customHeight="1" x14ac:dyDescent="0.2">
      <c r="A181" s="563"/>
      <c r="B181" s="575"/>
      <c r="C181" s="576"/>
      <c r="D181" s="579" t="s">
        <v>551</v>
      </c>
      <c r="E181" s="567"/>
      <c r="F181" s="577"/>
      <c r="G181" s="567"/>
      <c r="H181" s="598"/>
      <c r="I181" s="842"/>
      <c r="K181" s="834">
        <f t="shared" si="4"/>
        <v>0</v>
      </c>
    </row>
    <row r="182" spans="1:11" s="833" customFormat="1" ht="12.75" hidden="1" customHeight="1" x14ac:dyDescent="0.2">
      <c r="A182" s="563"/>
      <c r="B182" s="575"/>
      <c r="C182" s="576"/>
      <c r="D182" s="580" t="s">
        <v>558</v>
      </c>
      <c r="E182" s="567"/>
      <c r="F182" s="577"/>
      <c r="G182" s="567"/>
      <c r="H182" s="598"/>
      <c r="I182" s="847"/>
      <c r="K182" s="834">
        <f t="shared" si="4"/>
        <v>0</v>
      </c>
    </row>
    <row r="183" spans="1:11" s="833" customFormat="1" ht="12.75" hidden="1" customHeight="1" x14ac:dyDescent="0.2">
      <c r="A183" s="563"/>
      <c r="B183" s="575"/>
      <c r="C183" s="576"/>
      <c r="D183" s="579" t="s">
        <v>537</v>
      </c>
      <c r="E183" s="567"/>
      <c r="F183" s="577"/>
      <c r="G183" s="567"/>
      <c r="H183" s="598"/>
      <c r="I183" s="847"/>
      <c r="K183" s="834">
        <f t="shared" si="4"/>
        <v>0</v>
      </c>
    </row>
    <row r="184" spans="1:11" s="833" customFormat="1" ht="12.75" hidden="1" customHeight="1" x14ac:dyDescent="0.2">
      <c r="A184" s="563"/>
      <c r="B184" s="575"/>
      <c r="C184" s="576"/>
      <c r="D184" s="579" t="s">
        <v>538</v>
      </c>
      <c r="E184" s="567"/>
      <c r="F184" s="577"/>
      <c r="G184" s="567"/>
      <c r="H184" s="598"/>
      <c r="I184" s="847"/>
      <c r="K184" s="834">
        <f t="shared" si="4"/>
        <v>0</v>
      </c>
    </row>
    <row r="185" spans="1:11" s="833" customFormat="1" ht="12.75" hidden="1" customHeight="1" x14ac:dyDescent="0.2">
      <c r="A185" s="563"/>
      <c r="B185" s="575"/>
      <c r="C185" s="576"/>
      <c r="D185" s="579" t="s">
        <v>539</v>
      </c>
      <c r="E185" s="567"/>
      <c r="F185" s="577"/>
      <c r="G185" s="567"/>
      <c r="H185" s="598"/>
      <c r="K185" s="834">
        <f t="shared" si="4"/>
        <v>0</v>
      </c>
    </row>
    <row r="186" spans="1:11" s="833" customFormat="1" ht="12.75" hidden="1" customHeight="1" x14ac:dyDescent="0.2">
      <c r="A186" s="563"/>
      <c r="B186" s="575"/>
      <c r="C186" s="576"/>
      <c r="D186" s="579" t="s">
        <v>540</v>
      </c>
      <c r="E186" s="567"/>
      <c r="F186" s="577"/>
      <c r="G186" s="567"/>
      <c r="H186" s="598"/>
      <c r="I186" s="793"/>
      <c r="K186" s="834">
        <f t="shared" si="4"/>
        <v>0</v>
      </c>
    </row>
    <row r="187" spans="1:11" s="793" customFormat="1" ht="12.75" hidden="1" customHeight="1" x14ac:dyDescent="0.2">
      <c r="A187" s="563"/>
      <c r="B187" s="575"/>
      <c r="C187" s="576"/>
      <c r="D187" s="601" t="s">
        <v>550</v>
      </c>
      <c r="E187" s="567"/>
      <c r="F187" s="577"/>
      <c r="G187" s="567"/>
      <c r="H187" s="602"/>
      <c r="K187" s="834">
        <f t="shared" si="4"/>
        <v>0</v>
      </c>
    </row>
    <row r="188" spans="1:11" s="343" customFormat="1" ht="12.75" customHeight="1" x14ac:dyDescent="0.2">
      <c r="A188" s="823">
        <f>A180+1</f>
        <v>22</v>
      </c>
      <c r="B188" s="706" t="s">
        <v>309</v>
      </c>
      <c r="C188" s="707" t="s">
        <v>310</v>
      </c>
      <c r="D188" s="824" t="str">
        <f>$D$14</f>
        <v>FTE  Sep 2026</v>
      </c>
      <c r="E188" s="689">
        <f>'3401'!$J$124</f>
        <v>272864.13</v>
      </c>
      <c r="F188" s="592"/>
      <c r="G188" s="689">
        <f>SUBTOTAL(109,E188:F198)</f>
        <v>272864.13</v>
      </c>
      <c r="H188" s="578"/>
      <c r="I188" s="587"/>
      <c r="K188" s="665">
        <f t="shared" si="4"/>
        <v>272864.13</v>
      </c>
    </row>
    <row r="189" spans="1:11" ht="12.75" hidden="1" customHeight="1" x14ac:dyDescent="0.2">
      <c r="A189" s="823"/>
      <c r="B189" s="706"/>
      <c r="C189" s="707"/>
      <c r="D189" s="825" t="s">
        <v>535</v>
      </c>
      <c r="E189" s="689"/>
      <c r="F189" s="592"/>
      <c r="G189" s="689"/>
      <c r="H189" s="602"/>
      <c r="I189" s="603"/>
      <c r="K189" s="665">
        <f t="shared" si="4"/>
        <v>0</v>
      </c>
    </row>
    <row r="190" spans="1:11" s="343" customFormat="1" ht="12.75" hidden="1" customHeight="1" x14ac:dyDescent="0.2">
      <c r="A190" s="823"/>
      <c r="B190" s="706"/>
      <c r="C190" s="707"/>
      <c r="D190" s="826" t="s">
        <v>536</v>
      </c>
      <c r="E190" s="689"/>
      <c r="F190" s="592"/>
      <c r="G190" s="689"/>
      <c r="H190" s="598"/>
      <c r="I190" s="603"/>
      <c r="K190" s="665">
        <f t="shared" si="4"/>
        <v>0</v>
      </c>
    </row>
    <row r="191" spans="1:11" s="343" customFormat="1" ht="12.75" hidden="1" customHeight="1" x14ac:dyDescent="0.2">
      <c r="A191" s="823"/>
      <c r="B191" s="706"/>
      <c r="C191" s="707"/>
      <c r="D191" s="825" t="s">
        <v>552</v>
      </c>
      <c r="E191" s="689"/>
      <c r="F191" s="592"/>
      <c r="G191" s="689"/>
      <c r="H191" s="598"/>
      <c r="I191" s="603"/>
      <c r="K191" s="665">
        <f t="shared" si="4"/>
        <v>0</v>
      </c>
    </row>
    <row r="192" spans="1:11" s="343" customFormat="1" ht="12.75" hidden="1" customHeight="1" x14ac:dyDescent="0.2">
      <c r="A192" s="823"/>
      <c r="B192" s="706"/>
      <c r="C192" s="707"/>
      <c r="D192" s="825" t="s">
        <v>562</v>
      </c>
      <c r="E192" s="689"/>
      <c r="F192" s="592"/>
      <c r="G192" s="689"/>
      <c r="H192" s="578"/>
      <c r="I192" s="596"/>
      <c r="K192" s="665">
        <f t="shared" si="4"/>
        <v>0</v>
      </c>
    </row>
    <row r="193" spans="1:11" s="343" customFormat="1" ht="12.75" hidden="1" customHeight="1" x14ac:dyDescent="0.2">
      <c r="A193" s="823"/>
      <c r="B193" s="706"/>
      <c r="C193" s="707"/>
      <c r="D193" s="825" t="s">
        <v>537</v>
      </c>
      <c r="E193" s="689"/>
      <c r="F193" s="592"/>
      <c r="G193" s="689"/>
      <c r="H193" s="598"/>
      <c r="K193" s="665">
        <f t="shared" si="4"/>
        <v>0</v>
      </c>
    </row>
    <row r="194" spans="1:11" s="343" customFormat="1" ht="12.75" hidden="1" customHeight="1" x14ac:dyDescent="0.2">
      <c r="A194" s="823"/>
      <c r="B194" s="706"/>
      <c r="C194" s="707"/>
      <c r="D194" s="825" t="s">
        <v>538</v>
      </c>
      <c r="E194" s="689"/>
      <c r="F194" s="592"/>
      <c r="G194" s="689"/>
      <c r="H194" s="598"/>
      <c r="K194" s="665">
        <f t="shared" si="4"/>
        <v>0</v>
      </c>
    </row>
    <row r="195" spans="1:11" s="343" customFormat="1" ht="12.75" hidden="1" customHeight="1" x14ac:dyDescent="0.2">
      <c r="A195" s="823"/>
      <c r="B195" s="706"/>
      <c r="C195" s="707"/>
      <c r="D195" s="825" t="s">
        <v>539</v>
      </c>
      <c r="E195" s="689"/>
      <c r="F195" s="592"/>
      <c r="G195" s="689"/>
      <c r="H195" s="598"/>
      <c r="I195" s="590"/>
      <c r="K195" s="665">
        <f t="shared" si="4"/>
        <v>0</v>
      </c>
    </row>
    <row r="196" spans="1:11" s="343" customFormat="1" ht="12.75" hidden="1" customHeight="1" x14ac:dyDescent="0.2">
      <c r="A196" s="823"/>
      <c r="B196" s="706"/>
      <c r="C196" s="707"/>
      <c r="D196" s="825" t="s">
        <v>540</v>
      </c>
      <c r="E196" s="689"/>
      <c r="F196" s="592"/>
      <c r="G196" s="689"/>
      <c r="H196" s="578"/>
      <c r="I196" s="587"/>
      <c r="K196" s="665">
        <f t="shared" si="4"/>
        <v>0</v>
      </c>
    </row>
    <row r="197" spans="1:11" s="343" customFormat="1" ht="12.75" hidden="1" customHeight="1" x14ac:dyDescent="0.2">
      <c r="A197" s="823"/>
      <c r="B197" s="706"/>
      <c r="C197" s="828"/>
      <c r="D197" s="688" t="s">
        <v>547</v>
      </c>
      <c r="E197" s="689"/>
      <c r="F197" s="592"/>
      <c r="G197" s="689"/>
      <c r="H197" s="578"/>
      <c r="I197" s="587"/>
      <c r="K197" s="665">
        <f t="shared" si="4"/>
        <v>0</v>
      </c>
    </row>
    <row r="198" spans="1:11" s="343" customFormat="1" ht="12.75" hidden="1" customHeight="1" x14ac:dyDescent="0.2">
      <c r="A198" s="823"/>
      <c r="B198" s="706"/>
      <c r="C198" s="707"/>
      <c r="D198" s="827" t="s">
        <v>550</v>
      </c>
      <c r="E198" s="689"/>
      <c r="F198" s="592"/>
      <c r="G198" s="689"/>
      <c r="H198" s="598"/>
      <c r="I198" s="590"/>
      <c r="K198" s="665">
        <f t="shared" si="4"/>
        <v>0</v>
      </c>
    </row>
    <row r="199" spans="1:11" s="833" customFormat="1" ht="12.75" customHeight="1" x14ac:dyDescent="0.2">
      <c r="A199" s="563">
        <f>A188+1</f>
        <v>23</v>
      </c>
      <c r="B199" s="575" t="s">
        <v>311</v>
      </c>
      <c r="C199" s="576" t="s">
        <v>312</v>
      </c>
      <c r="D199" s="599" t="str">
        <f>$D$14</f>
        <v>FTE  Sep 2026</v>
      </c>
      <c r="E199" s="567">
        <f>'3413'!$J$124</f>
        <v>295168.63</v>
      </c>
      <c r="F199" s="577"/>
      <c r="G199" s="567">
        <f>SUBTOTAL(109,E199:F206)</f>
        <v>295168.63</v>
      </c>
      <c r="H199" s="598"/>
      <c r="I199" s="706"/>
      <c r="K199" s="834">
        <f t="shared" si="4"/>
        <v>295168.63</v>
      </c>
    </row>
    <row r="200" spans="1:11" s="833" customFormat="1" ht="12.75" hidden="1" customHeight="1" x14ac:dyDescent="0.2">
      <c r="A200" s="563"/>
      <c r="B200" s="575"/>
      <c r="C200" s="576"/>
      <c r="D200" s="579" t="s">
        <v>551</v>
      </c>
      <c r="E200" s="567"/>
      <c r="F200" s="577"/>
      <c r="G200" s="567"/>
      <c r="H200" s="598"/>
      <c r="I200" s="706"/>
      <c r="K200" s="834">
        <f t="shared" si="4"/>
        <v>0</v>
      </c>
    </row>
    <row r="201" spans="1:11" s="833" customFormat="1" ht="12.75" hidden="1" customHeight="1" x14ac:dyDescent="0.2">
      <c r="A201" s="563"/>
      <c r="B201" s="575"/>
      <c r="C201" s="576"/>
      <c r="D201" s="580" t="s">
        <v>536</v>
      </c>
      <c r="E201" s="567"/>
      <c r="F201" s="577"/>
      <c r="G201" s="567"/>
      <c r="H201" s="598"/>
      <c r="I201" s="706"/>
      <c r="K201" s="834">
        <f t="shared" si="4"/>
        <v>0</v>
      </c>
    </row>
    <row r="202" spans="1:11" s="833" customFormat="1" ht="12.75" hidden="1" customHeight="1" x14ac:dyDescent="0.2">
      <c r="A202" s="563"/>
      <c r="B202" s="575"/>
      <c r="C202" s="576"/>
      <c r="D202" s="579" t="s">
        <v>537</v>
      </c>
      <c r="E202" s="567"/>
      <c r="F202" s="577"/>
      <c r="G202" s="567"/>
      <c r="H202" s="598"/>
      <c r="I202" s="706"/>
      <c r="K202" s="834">
        <f t="shared" si="4"/>
        <v>0</v>
      </c>
    </row>
    <row r="203" spans="1:11" s="833" customFormat="1" ht="12.75" hidden="1" customHeight="1" x14ac:dyDescent="0.2">
      <c r="A203" s="563"/>
      <c r="B203" s="575"/>
      <c r="C203" s="576"/>
      <c r="D203" s="579" t="s">
        <v>538</v>
      </c>
      <c r="E203" s="567"/>
      <c r="F203" s="577"/>
      <c r="G203" s="567"/>
      <c r="H203" s="598"/>
      <c r="I203" s="706"/>
      <c r="K203" s="834">
        <f t="shared" si="4"/>
        <v>0</v>
      </c>
    </row>
    <row r="204" spans="1:11" s="833" customFormat="1" ht="12.75" hidden="1" customHeight="1" x14ac:dyDescent="0.2">
      <c r="A204" s="563"/>
      <c r="B204" s="575"/>
      <c r="C204" s="576"/>
      <c r="D204" s="579" t="s">
        <v>539</v>
      </c>
      <c r="E204" s="567"/>
      <c r="F204" s="577"/>
      <c r="G204" s="567"/>
      <c r="H204" s="598"/>
      <c r="I204" s="706"/>
      <c r="K204" s="834">
        <f t="shared" si="4"/>
        <v>0</v>
      </c>
    </row>
    <row r="205" spans="1:11" s="833" customFormat="1" ht="12.75" hidden="1" customHeight="1" x14ac:dyDescent="0.2">
      <c r="A205" s="563"/>
      <c r="B205" s="575"/>
      <c r="C205" s="576"/>
      <c r="D205" s="579" t="s">
        <v>540</v>
      </c>
      <c r="E205" s="567"/>
      <c r="F205" s="577"/>
      <c r="G205" s="567"/>
      <c r="H205" s="598"/>
      <c r="I205" s="706"/>
      <c r="K205" s="834">
        <f t="shared" si="4"/>
        <v>0</v>
      </c>
    </row>
    <row r="206" spans="1:11" s="833" customFormat="1" ht="12.75" hidden="1" customHeight="1" x14ac:dyDescent="0.2">
      <c r="A206" s="563"/>
      <c r="B206" s="575"/>
      <c r="C206" s="576"/>
      <c r="D206" s="601" t="s">
        <v>550</v>
      </c>
      <c r="E206" s="567"/>
      <c r="F206" s="577"/>
      <c r="G206" s="567"/>
      <c r="H206" s="598"/>
      <c r="I206" s="832"/>
      <c r="K206" s="834">
        <f t="shared" si="4"/>
        <v>0</v>
      </c>
    </row>
    <row r="207" spans="1:11" s="343" customFormat="1" ht="12.75" customHeight="1" x14ac:dyDescent="0.2">
      <c r="A207" s="823">
        <f>A199+1</f>
        <v>24</v>
      </c>
      <c r="B207" s="706" t="s">
        <v>313</v>
      </c>
      <c r="C207" s="707" t="s">
        <v>314</v>
      </c>
      <c r="D207" s="824" t="str">
        <f>$D$14</f>
        <v>FTE  Sep 2026</v>
      </c>
      <c r="E207" s="689">
        <f>'3421'!$J$124</f>
        <v>403828.21</v>
      </c>
      <c r="F207" s="592"/>
      <c r="G207" s="689">
        <f>SUBTOTAL(109,E207:F217)</f>
        <v>403828.21</v>
      </c>
      <c r="H207" s="598"/>
      <c r="I207" s="586"/>
      <c r="K207" s="665">
        <f t="shared" si="4"/>
        <v>403828.21</v>
      </c>
    </row>
    <row r="208" spans="1:11" s="343" customFormat="1" ht="12.75" hidden="1" customHeight="1" x14ac:dyDescent="0.2">
      <c r="A208" s="823"/>
      <c r="B208" s="706"/>
      <c r="C208" s="707"/>
      <c r="D208" s="825" t="s">
        <v>535</v>
      </c>
      <c r="E208" s="689"/>
      <c r="F208" s="592"/>
      <c r="G208" s="689"/>
      <c r="H208" s="578"/>
      <c r="I208" s="587"/>
      <c r="K208" s="665">
        <f t="shared" si="4"/>
        <v>0</v>
      </c>
    </row>
    <row r="209" spans="1:11" s="343" customFormat="1" ht="12.75" hidden="1" customHeight="1" x14ac:dyDescent="0.2">
      <c r="A209" s="823"/>
      <c r="B209" s="706"/>
      <c r="C209" s="707"/>
      <c r="D209" s="826" t="s">
        <v>563</v>
      </c>
      <c r="E209" s="689"/>
      <c r="F209" s="592"/>
      <c r="G209" s="689"/>
      <c r="H209" s="598"/>
      <c r="I209" s="590"/>
      <c r="K209" s="665">
        <f t="shared" si="4"/>
        <v>0</v>
      </c>
    </row>
    <row r="210" spans="1:11" s="343" customFormat="1" ht="12.75" hidden="1" customHeight="1" x14ac:dyDescent="0.2">
      <c r="A210" s="823"/>
      <c r="B210" s="706"/>
      <c r="C210" s="707"/>
      <c r="D210" s="825" t="s">
        <v>552</v>
      </c>
      <c r="E210" s="689"/>
      <c r="F210" s="592"/>
      <c r="G210" s="689"/>
      <c r="H210" s="598"/>
      <c r="I210" s="590"/>
      <c r="K210" s="665">
        <f t="shared" si="4"/>
        <v>0</v>
      </c>
    </row>
    <row r="211" spans="1:11" s="343" customFormat="1" ht="12.75" hidden="1" customHeight="1" x14ac:dyDescent="0.2">
      <c r="A211" s="823"/>
      <c r="B211" s="706"/>
      <c r="C211" s="707"/>
      <c r="D211" s="825" t="s">
        <v>562</v>
      </c>
      <c r="E211" s="689"/>
      <c r="F211" s="592"/>
      <c r="G211" s="689"/>
      <c r="H211" s="578"/>
      <c r="I211" s="596"/>
      <c r="K211" s="665">
        <f t="shared" si="4"/>
        <v>0</v>
      </c>
    </row>
    <row r="212" spans="1:11" s="343" customFormat="1" ht="12.75" hidden="1" customHeight="1" x14ac:dyDescent="0.2">
      <c r="A212" s="823"/>
      <c r="B212" s="706"/>
      <c r="C212" s="707"/>
      <c r="D212" s="825" t="s">
        <v>537</v>
      </c>
      <c r="E212" s="689"/>
      <c r="F212" s="592"/>
      <c r="G212" s="689"/>
      <c r="H212" s="598"/>
      <c r="K212" s="665">
        <f t="shared" si="4"/>
        <v>0</v>
      </c>
    </row>
    <row r="213" spans="1:11" s="343" customFormat="1" ht="12.75" hidden="1" customHeight="1" x14ac:dyDescent="0.2">
      <c r="A213" s="823"/>
      <c r="B213" s="706"/>
      <c r="C213" s="707"/>
      <c r="D213" s="825" t="s">
        <v>538</v>
      </c>
      <c r="E213" s="689"/>
      <c r="F213" s="592"/>
      <c r="G213" s="689"/>
      <c r="H213" s="598"/>
      <c r="K213" s="665">
        <f t="shared" si="4"/>
        <v>0</v>
      </c>
    </row>
    <row r="214" spans="1:11" s="343" customFormat="1" ht="12.75" hidden="1" customHeight="1" x14ac:dyDescent="0.2">
      <c r="A214" s="823"/>
      <c r="B214" s="706"/>
      <c r="C214" s="707"/>
      <c r="D214" s="825" t="s">
        <v>539</v>
      </c>
      <c r="E214" s="689"/>
      <c r="F214" s="592"/>
      <c r="G214" s="689"/>
      <c r="H214" s="598"/>
      <c r="K214" s="665">
        <f t="shared" si="4"/>
        <v>0</v>
      </c>
    </row>
    <row r="215" spans="1:11" s="343" customFormat="1" ht="12.75" hidden="1" customHeight="1" x14ac:dyDescent="0.2">
      <c r="A215" s="823"/>
      <c r="B215" s="706"/>
      <c r="C215" s="707"/>
      <c r="D215" s="825" t="s">
        <v>540</v>
      </c>
      <c r="E215" s="689"/>
      <c r="F215" s="592"/>
      <c r="G215" s="689"/>
      <c r="H215" s="578"/>
      <c r="I215" s="587"/>
      <c r="K215" s="665">
        <f t="shared" si="4"/>
        <v>0</v>
      </c>
    </row>
    <row r="216" spans="1:11" s="343" customFormat="1" ht="12.75" hidden="1" customHeight="1" x14ac:dyDescent="0.2">
      <c r="A216" s="823"/>
      <c r="B216" s="706"/>
      <c r="C216" s="828"/>
      <c r="D216" s="688" t="s">
        <v>547</v>
      </c>
      <c r="E216" s="689"/>
      <c r="F216" s="592"/>
      <c r="G216" s="689"/>
      <c r="H216" s="578"/>
      <c r="I216" s="587"/>
      <c r="K216" s="665">
        <f t="shared" si="4"/>
        <v>0</v>
      </c>
    </row>
    <row r="217" spans="1:11" s="343" customFormat="1" ht="12.75" hidden="1" customHeight="1" x14ac:dyDescent="0.2">
      <c r="A217" s="823"/>
      <c r="B217" s="706"/>
      <c r="C217" s="707"/>
      <c r="D217" s="827" t="s">
        <v>550</v>
      </c>
      <c r="E217" s="689"/>
      <c r="F217" s="592"/>
      <c r="G217" s="689"/>
      <c r="H217" s="598"/>
      <c r="K217" s="665">
        <f t="shared" si="4"/>
        <v>0</v>
      </c>
    </row>
    <row r="218" spans="1:11" s="833" customFormat="1" ht="12.75" customHeight="1" x14ac:dyDescent="0.2">
      <c r="A218" s="563">
        <f>A207+1</f>
        <v>25</v>
      </c>
      <c r="B218" s="575" t="s">
        <v>315</v>
      </c>
      <c r="C218" s="576" t="s">
        <v>316</v>
      </c>
      <c r="D218" s="599" t="str">
        <f>$D$14</f>
        <v>FTE  Sep 2026</v>
      </c>
      <c r="E218" s="567">
        <f>'3431'!$J$124</f>
        <v>740549.13</v>
      </c>
      <c r="F218" s="577"/>
      <c r="G218" s="567">
        <f>SUBTOTAL(109,E218:F227)</f>
        <v>740549.13</v>
      </c>
      <c r="H218" s="598"/>
      <c r="K218" s="834">
        <f t="shared" si="4"/>
        <v>740549.13</v>
      </c>
    </row>
    <row r="219" spans="1:11" s="833" customFormat="1" ht="12.75" hidden="1" customHeight="1" x14ac:dyDescent="0.2">
      <c r="A219" s="563"/>
      <c r="B219" s="575"/>
      <c r="C219" s="576"/>
      <c r="D219" s="579" t="s">
        <v>551</v>
      </c>
      <c r="E219" s="567"/>
      <c r="F219" s="577"/>
      <c r="G219" s="567"/>
      <c r="H219" s="598"/>
      <c r="I219" s="706"/>
      <c r="K219" s="834">
        <f t="shared" si="4"/>
        <v>0</v>
      </c>
    </row>
    <row r="220" spans="1:11" s="833" customFormat="1" ht="12.75" hidden="1" customHeight="1" x14ac:dyDescent="0.2">
      <c r="A220" s="563"/>
      <c r="B220" s="575"/>
      <c r="C220" s="576"/>
      <c r="D220" s="580" t="s">
        <v>536</v>
      </c>
      <c r="E220" s="567"/>
      <c r="F220" s="577"/>
      <c r="G220" s="567"/>
      <c r="H220" s="598"/>
      <c r="I220" s="706"/>
      <c r="K220" s="834">
        <f t="shared" si="4"/>
        <v>0</v>
      </c>
    </row>
    <row r="221" spans="1:11" s="833" customFormat="1" ht="12.75" hidden="1" customHeight="1" x14ac:dyDescent="0.2">
      <c r="A221" s="563"/>
      <c r="B221" s="575"/>
      <c r="C221" s="576"/>
      <c r="D221" s="579" t="s">
        <v>537</v>
      </c>
      <c r="E221" s="567"/>
      <c r="F221" s="577"/>
      <c r="G221" s="567"/>
      <c r="H221" s="598"/>
      <c r="I221" s="706"/>
      <c r="K221" s="834">
        <f t="shared" si="4"/>
        <v>0</v>
      </c>
    </row>
    <row r="222" spans="1:11" s="833" customFormat="1" ht="12.75" hidden="1" customHeight="1" x14ac:dyDescent="0.2">
      <c r="A222" s="563"/>
      <c r="B222" s="575"/>
      <c r="C222" s="576"/>
      <c r="D222" s="579" t="s">
        <v>554</v>
      </c>
      <c r="E222" s="567"/>
      <c r="F222" s="577"/>
      <c r="G222" s="567"/>
      <c r="H222" s="598"/>
      <c r="K222" s="834">
        <f t="shared" si="4"/>
        <v>0</v>
      </c>
    </row>
    <row r="223" spans="1:11" s="833" customFormat="1" ht="12.75" hidden="1" customHeight="1" x14ac:dyDescent="0.2">
      <c r="A223" s="563"/>
      <c r="B223" s="575"/>
      <c r="C223" s="576"/>
      <c r="D223" s="579" t="s">
        <v>539</v>
      </c>
      <c r="E223" s="567"/>
      <c r="F223" s="577"/>
      <c r="G223" s="567"/>
      <c r="H223" s="598"/>
      <c r="I223" s="706"/>
      <c r="K223" s="834">
        <f t="shared" si="4"/>
        <v>0</v>
      </c>
    </row>
    <row r="224" spans="1:11" s="833" customFormat="1" ht="12.75" hidden="1" customHeight="1" x14ac:dyDescent="0.2">
      <c r="A224" s="563"/>
      <c r="B224" s="575"/>
      <c r="C224" s="576"/>
      <c r="D224" s="579" t="s">
        <v>540</v>
      </c>
      <c r="E224" s="567"/>
      <c r="F224" s="577"/>
      <c r="G224" s="567"/>
      <c r="H224" s="598"/>
      <c r="K224" s="834">
        <f t="shared" si="4"/>
        <v>0</v>
      </c>
    </row>
    <row r="225" spans="1:11" s="833" customFormat="1" ht="12.75" hidden="1" customHeight="1" x14ac:dyDescent="0.2">
      <c r="A225" s="563"/>
      <c r="B225" s="575"/>
      <c r="C225" s="576"/>
      <c r="D225" s="579" t="s">
        <v>555</v>
      </c>
      <c r="E225" s="567"/>
      <c r="F225" s="577"/>
      <c r="G225" s="567"/>
      <c r="H225" s="598"/>
      <c r="I225" s="832"/>
      <c r="K225" s="834">
        <f t="shared" si="4"/>
        <v>0</v>
      </c>
    </row>
    <row r="226" spans="1:11" s="833" customFormat="1" ht="12.75" hidden="1" customHeight="1" x14ac:dyDescent="0.2">
      <c r="A226" s="563"/>
      <c r="B226" s="575"/>
      <c r="C226" s="582"/>
      <c r="D226" s="585" t="s">
        <v>547</v>
      </c>
      <c r="E226" s="567"/>
      <c r="F226" s="577"/>
      <c r="G226" s="567"/>
      <c r="H226" s="598"/>
      <c r="I226" s="845"/>
      <c r="K226" s="834">
        <f t="shared" si="4"/>
        <v>0</v>
      </c>
    </row>
    <row r="227" spans="1:11" s="833" customFormat="1" ht="12.75" hidden="1" customHeight="1" x14ac:dyDescent="0.2">
      <c r="A227" s="563"/>
      <c r="B227" s="575"/>
      <c r="C227" s="576"/>
      <c r="D227" s="601" t="s">
        <v>564</v>
      </c>
      <c r="E227" s="567"/>
      <c r="F227" s="577"/>
      <c r="G227" s="567"/>
      <c r="H227" s="598"/>
      <c r="I227" s="832"/>
      <c r="K227" s="834">
        <f t="shared" si="4"/>
        <v>0</v>
      </c>
    </row>
    <row r="228" spans="1:11" s="343" customFormat="1" ht="12.75" customHeight="1" x14ac:dyDescent="0.2">
      <c r="A228" s="823">
        <f>A218+1</f>
        <v>26</v>
      </c>
      <c r="B228" s="706">
        <v>3441</v>
      </c>
      <c r="C228" s="829" t="s">
        <v>317</v>
      </c>
      <c r="D228" s="824" t="str">
        <f>$D$14</f>
        <v>FTE  Sep 2026</v>
      </c>
      <c r="E228" s="689">
        <f>'3441'!$J$124</f>
        <v>387198.96</v>
      </c>
      <c r="F228" s="592"/>
      <c r="G228" s="689">
        <f>SUBTOTAL(109,E228:F236)</f>
        <v>387198.96</v>
      </c>
      <c r="H228" s="598"/>
      <c r="K228" s="665">
        <f t="shared" si="4"/>
        <v>387198.96</v>
      </c>
    </row>
    <row r="229" spans="1:11" s="343" customFormat="1" ht="12.75" hidden="1" customHeight="1" x14ac:dyDescent="0.2">
      <c r="A229" s="823"/>
      <c r="B229" s="706"/>
      <c r="C229" s="829"/>
      <c r="D229" s="825" t="s">
        <v>535</v>
      </c>
      <c r="E229" s="689"/>
      <c r="F229" s="592"/>
      <c r="G229" s="689"/>
      <c r="H229" s="598"/>
      <c r="K229" s="665">
        <f t="shared" si="4"/>
        <v>0</v>
      </c>
    </row>
    <row r="230" spans="1:11" s="343" customFormat="1" ht="12.75" hidden="1" customHeight="1" x14ac:dyDescent="0.2">
      <c r="A230" s="823"/>
      <c r="B230" s="706"/>
      <c r="C230" s="707"/>
      <c r="D230" s="826" t="s">
        <v>536</v>
      </c>
      <c r="E230" s="689"/>
      <c r="F230" s="592"/>
      <c r="G230" s="689"/>
      <c r="H230" s="598"/>
      <c r="I230" s="590"/>
      <c r="K230" s="665">
        <f t="shared" si="4"/>
        <v>0</v>
      </c>
    </row>
    <row r="231" spans="1:11" s="343" customFormat="1" ht="12.75" hidden="1" customHeight="1" x14ac:dyDescent="0.2">
      <c r="A231" s="823"/>
      <c r="B231" s="706"/>
      <c r="C231" s="829"/>
      <c r="D231" s="825" t="s">
        <v>537</v>
      </c>
      <c r="E231" s="689"/>
      <c r="F231" s="592"/>
      <c r="G231" s="689"/>
      <c r="H231" s="598"/>
      <c r="K231" s="665">
        <f t="shared" si="4"/>
        <v>0</v>
      </c>
    </row>
    <row r="232" spans="1:11" s="343" customFormat="1" ht="12.75" hidden="1" customHeight="1" x14ac:dyDescent="0.2">
      <c r="A232" s="823"/>
      <c r="B232" s="706"/>
      <c r="C232" s="707"/>
      <c r="D232" s="825" t="s">
        <v>538</v>
      </c>
      <c r="E232" s="689"/>
      <c r="F232" s="592"/>
      <c r="G232" s="689"/>
      <c r="H232" s="598"/>
      <c r="I232" s="590"/>
      <c r="K232" s="665">
        <f t="shared" si="4"/>
        <v>0</v>
      </c>
    </row>
    <row r="233" spans="1:11" s="343" customFormat="1" ht="12.75" hidden="1" customHeight="1" x14ac:dyDescent="0.2">
      <c r="A233" s="823"/>
      <c r="B233" s="706"/>
      <c r="C233" s="707"/>
      <c r="D233" s="825" t="s">
        <v>539</v>
      </c>
      <c r="E233" s="689"/>
      <c r="F233" s="592"/>
      <c r="G233" s="689"/>
      <c r="H233" s="598"/>
      <c r="I233" s="590"/>
      <c r="K233" s="665">
        <f t="shared" si="4"/>
        <v>0</v>
      </c>
    </row>
    <row r="234" spans="1:11" s="343" customFormat="1" ht="12.75" hidden="1" customHeight="1" x14ac:dyDescent="0.2">
      <c r="A234" s="823"/>
      <c r="B234" s="706"/>
      <c r="C234" s="707"/>
      <c r="D234" s="825" t="s">
        <v>540</v>
      </c>
      <c r="E234" s="689"/>
      <c r="F234" s="592"/>
      <c r="G234" s="689"/>
      <c r="H234" s="598"/>
      <c r="I234" s="587"/>
      <c r="K234" s="665">
        <f t="shared" si="4"/>
        <v>0</v>
      </c>
    </row>
    <row r="235" spans="1:11" s="343" customFormat="1" ht="12.75" hidden="1" customHeight="1" x14ac:dyDescent="0.2">
      <c r="A235" s="823"/>
      <c r="B235" s="706"/>
      <c r="C235" s="707"/>
      <c r="D235" s="825" t="s">
        <v>555</v>
      </c>
      <c r="E235" s="689"/>
      <c r="F235" s="592"/>
      <c r="G235" s="689"/>
      <c r="H235" s="598"/>
      <c r="I235" s="603"/>
      <c r="K235" s="665">
        <f t="shared" si="4"/>
        <v>0</v>
      </c>
    </row>
    <row r="236" spans="1:11" s="343" customFormat="1" ht="12.75" hidden="1" customHeight="1" x14ac:dyDescent="0.2">
      <c r="A236" s="823"/>
      <c r="B236" s="706"/>
      <c r="C236" s="707"/>
      <c r="D236" s="827" t="s">
        <v>550</v>
      </c>
      <c r="E236" s="689"/>
      <c r="F236" s="592"/>
      <c r="G236" s="689"/>
      <c r="H236" s="598"/>
      <c r="I236" s="586"/>
      <c r="K236" s="665">
        <f t="shared" ref="K236:K299" si="5">IF(E236&gt;0,E236,F236)</f>
        <v>0</v>
      </c>
    </row>
    <row r="237" spans="1:11" s="833" customFormat="1" ht="12.75" customHeight="1" x14ac:dyDescent="0.2">
      <c r="A237" s="563">
        <f>A228+1</f>
        <v>27</v>
      </c>
      <c r="B237" s="575">
        <v>3924</v>
      </c>
      <c r="C237" s="600" t="s">
        <v>318</v>
      </c>
      <c r="D237" s="599" t="str">
        <f>$D$14</f>
        <v>FTE  Sep 2026</v>
      </c>
      <c r="E237" s="567">
        <f>'3924'!$J$124</f>
        <v>289378.23</v>
      </c>
      <c r="F237" s="577"/>
      <c r="G237" s="567">
        <f>SUBTOTAL(109,E237:F246)</f>
        <v>289378.23</v>
      </c>
      <c r="H237" s="598"/>
      <c r="K237" s="834">
        <f t="shared" si="5"/>
        <v>289378.23</v>
      </c>
    </row>
    <row r="238" spans="1:11" s="833" customFormat="1" ht="12.75" hidden="1" customHeight="1" x14ac:dyDescent="0.2">
      <c r="A238" s="563"/>
      <c r="B238" s="575"/>
      <c r="C238" s="576"/>
      <c r="D238" s="579" t="s">
        <v>551</v>
      </c>
      <c r="E238" s="567"/>
      <c r="F238" s="577"/>
      <c r="G238" s="567"/>
      <c r="H238" s="598"/>
      <c r="K238" s="834">
        <f t="shared" si="5"/>
        <v>0</v>
      </c>
    </row>
    <row r="239" spans="1:11" s="833" customFormat="1" ht="12.75" hidden="1" customHeight="1" x14ac:dyDescent="0.2">
      <c r="A239" s="563"/>
      <c r="B239" s="575"/>
      <c r="C239" s="576"/>
      <c r="D239" s="580" t="s">
        <v>536</v>
      </c>
      <c r="E239" s="567"/>
      <c r="F239" s="577"/>
      <c r="G239" s="567"/>
      <c r="H239" s="598"/>
      <c r="K239" s="834">
        <f t="shared" si="5"/>
        <v>0</v>
      </c>
    </row>
    <row r="240" spans="1:11" s="833" customFormat="1" ht="12.75" hidden="1" customHeight="1" x14ac:dyDescent="0.2">
      <c r="A240" s="563"/>
      <c r="B240" s="575"/>
      <c r="C240" s="576"/>
      <c r="D240" s="580" t="s">
        <v>548</v>
      </c>
      <c r="E240" s="567"/>
      <c r="F240" s="577"/>
      <c r="G240" s="567"/>
      <c r="H240" s="598"/>
      <c r="I240" s="828"/>
      <c r="K240" s="834">
        <f t="shared" si="5"/>
        <v>0</v>
      </c>
    </row>
    <row r="241" spans="1:11" s="833" customFormat="1" ht="12.75" hidden="1" customHeight="1" x14ac:dyDescent="0.2">
      <c r="A241" s="563"/>
      <c r="B241" s="575"/>
      <c r="C241" s="576"/>
      <c r="D241" s="579" t="s">
        <v>537</v>
      </c>
      <c r="E241" s="567"/>
      <c r="F241" s="577"/>
      <c r="G241" s="567"/>
      <c r="H241" s="598"/>
      <c r="K241" s="834">
        <f t="shared" si="5"/>
        <v>0</v>
      </c>
    </row>
    <row r="242" spans="1:11" s="833" customFormat="1" ht="12.75" hidden="1" customHeight="1" x14ac:dyDescent="0.2">
      <c r="A242" s="563"/>
      <c r="B242" s="575"/>
      <c r="C242" s="576"/>
      <c r="D242" s="579" t="s">
        <v>538</v>
      </c>
      <c r="E242" s="567"/>
      <c r="F242" s="577"/>
      <c r="G242" s="567"/>
      <c r="H242" s="598"/>
      <c r="K242" s="834">
        <f t="shared" si="5"/>
        <v>0</v>
      </c>
    </row>
    <row r="243" spans="1:11" s="833" customFormat="1" ht="12.75" hidden="1" customHeight="1" x14ac:dyDescent="0.2">
      <c r="A243" s="563"/>
      <c r="B243" s="575"/>
      <c r="C243" s="576"/>
      <c r="D243" s="579" t="s">
        <v>539</v>
      </c>
      <c r="E243" s="567"/>
      <c r="F243" s="577"/>
      <c r="G243" s="567"/>
      <c r="H243" s="598"/>
      <c r="I243" s="706"/>
      <c r="K243" s="834">
        <f t="shared" si="5"/>
        <v>0</v>
      </c>
    </row>
    <row r="244" spans="1:11" s="833" customFormat="1" ht="12.75" hidden="1" customHeight="1" x14ac:dyDescent="0.2">
      <c r="A244" s="563"/>
      <c r="B244" s="575"/>
      <c r="C244" s="576"/>
      <c r="D244" s="579" t="s">
        <v>540</v>
      </c>
      <c r="E244" s="567"/>
      <c r="F244" s="577"/>
      <c r="G244" s="567"/>
      <c r="H244" s="598"/>
      <c r="I244" s="832"/>
      <c r="K244" s="834">
        <f t="shared" si="5"/>
        <v>0</v>
      </c>
    </row>
    <row r="245" spans="1:11" s="833" customFormat="1" ht="12.75" hidden="1" customHeight="1" x14ac:dyDescent="0.2">
      <c r="A245" s="563"/>
      <c r="B245" s="575"/>
      <c r="C245" s="582"/>
      <c r="D245" s="585" t="s">
        <v>547</v>
      </c>
      <c r="E245" s="567"/>
      <c r="F245" s="577"/>
      <c r="G245" s="567"/>
      <c r="H245" s="598"/>
      <c r="K245" s="834">
        <f t="shared" si="5"/>
        <v>0</v>
      </c>
    </row>
    <row r="246" spans="1:11" s="833" customFormat="1" ht="12.75" hidden="1" customHeight="1" x14ac:dyDescent="0.2">
      <c r="A246" s="563"/>
      <c r="B246" s="575"/>
      <c r="C246" s="576"/>
      <c r="D246" s="601" t="s">
        <v>565</v>
      </c>
      <c r="E246" s="567"/>
      <c r="F246" s="577"/>
      <c r="G246" s="567"/>
      <c r="H246" s="598"/>
      <c r="K246" s="834">
        <f t="shared" si="5"/>
        <v>0</v>
      </c>
    </row>
    <row r="247" spans="1:11" s="833" customFormat="1" ht="12.75" customHeight="1" x14ac:dyDescent="0.2">
      <c r="A247" s="823">
        <f>A237+1</f>
        <v>28</v>
      </c>
      <c r="B247" s="706" t="s">
        <v>319</v>
      </c>
      <c r="C247" s="707" t="s">
        <v>320</v>
      </c>
      <c r="D247" s="824" t="str">
        <f>$D$14</f>
        <v>FTE  Sep 2026</v>
      </c>
      <c r="E247" s="689">
        <f>'3941'!$J$124</f>
        <v>167870.46</v>
      </c>
      <c r="F247" s="592"/>
      <c r="G247" s="689">
        <f>SUBTOTAL(109,E247:F256)</f>
        <v>167870.46</v>
      </c>
      <c r="H247" s="598"/>
      <c r="K247" s="834">
        <f t="shared" si="5"/>
        <v>167870.46</v>
      </c>
    </row>
    <row r="248" spans="1:11" s="833" customFormat="1" ht="12.75" hidden="1" customHeight="1" x14ac:dyDescent="0.2">
      <c r="A248" s="823"/>
      <c r="B248" s="706"/>
      <c r="C248" s="707"/>
      <c r="D248" s="825" t="s">
        <v>535</v>
      </c>
      <c r="E248" s="689"/>
      <c r="F248" s="592"/>
      <c r="G248" s="689"/>
      <c r="H248" s="598"/>
      <c r="K248" s="834">
        <f t="shared" si="5"/>
        <v>0</v>
      </c>
    </row>
    <row r="249" spans="1:11" s="833" customFormat="1" ht="12.75" hidden="1" customHeight="1" x14ac:dyDescent="0.2">
      <c r="A249" s="823"/>
      <c r="B249" s="706"/>
      <c r="C249" s="707"/>
      <c r="D249" s="826" t="s">
        <v>536</v>
      </c>
      <c r="E249" s="689"/>
      <c r="F249" s="592"/>
      <c r="G249" s="689"/>
      <c r="H249" s="598"/>
      <c r="I249" s="706"/>
      <c r="K249" s="834">
        <f t="shared" si="5"/>
        <v>0</v>
      </c>
    </row>
    <row r="250" spans="1:11" s="833" customFormat="1" ht="12.75" hidden="1" customHeight="1" x14ac:dyDescent="0.2">
      <c r="A250" s="823"/>
      <c r="B250" s="706"/>
      <c r="C250" s="707"/>
      <c r="D250" s="825" t="s">
        <v>537</v>
      </c>
      <c r="E250" s="689"/>
      <c r="F250" s="592"/>
      <c r="G250" s="689"/>
      <c r="H250" s="598"/>
      <c r="I250" s="706"/>
      <c r="K250" s="834">
        <f t="shared" si="5"/>
        <v>0</v>
      </c>
    </row>
    <row r="251" spans="1:11" s="833" customFormat="1" ht="12.75" hidden="1" customHeight="1" x14ac:dyDescent="0.2">
      <c r="A251" s="823"/>
      <c r="B251" s="706"/>
      <c r="C251" s="707"/>
      <c r="D251" s="825" t="s">
        <v>538</v>
      </c>
      <c r="E251" s="689"/>
      <c r="F251" s="592"/>
      <c r="G251" s="689"/>
      <c r="H251" s="598"/>
      <c r="K251" s="834">
        <f t="shared" si="5"/>
        <v>0</v>
      </c>
    </row>
    <row r="252" spans="1:11" s="833" customFormat="1" ht="12.75" hidden="1" customHeight="1" x14ac:dyDescent="0.2">
      <c r="A252" s="823"/>
      <c r="B252" s="706"/>
      <c r="C252" s="707"/>
      <c r="D252" s="825" t="s">
        <v>539</v>
      </c>
      <c r="E252" s="689"/>
      <c r="F252" s="592"/>
      <c r="G252" s="689"/>
      <c r="H252" s="598"/>
      <c r="K252" s="834">
        <f t="shared" si="5"/>
        <v>0</v>
      </c>
    </row>
    <row r="253" spans="1:11" s="833" customFormat="1" ht="12.75" hidden="1" customHeight="1" x14ac:dyDescent="0.2">
      <c r="A253" s="823"/>
      <c r="B253" s="706"/>
      <c r="C253" s="707"/>
      <c r="D253" s="825" t="s">
        <v>540</v>
      </c>
      <c r="E253" s="689"/>
      <c r="F253" s="592"/>
      <c r="G253" s="689"/>
      <c r="H253" s="598"/>
      <c r="K253" s="834">
        <f t="shared" si="5"/>
        <v>0</v>
      </c>
    </row>
    <row r="254" spans="1:11" s="833" customFormat="1" ht="12.75" hidden="1" customHeight="1" x14ac:dyDescent="0.2">
      <c r="A254" s="823"/>
      <c r="B254" s="706"/>
      <c r="C254" s="707"/>
      <c r="D254" s="825" t="s">
        <v>566</v>
      </c>
      <c r="E254" s="689"/>
      <c r="F254" s="592"/>
      <c r="G254" s="689"/>
      <c r="H254" s="598"/>
      <c r="I254" s="832"/>
      <c r="K254" s="834">
        <f t="shared" si="5"/>
        <v>0</v>
      </c>
    </row>
    <row r="255" spans="1:11" s="833" customFormat="1" ht="12.75" hidden="1" customHeight="1" x14ac:dyDescent="0.2">
      <c r="A255" s="823"/>
      <c r="B255" s="706"/>
      <c r="C255" s="707"/>
      <c r="D255" s="825" t="s">
        <v>547</v>
      </c>
      <c r="E255" s="689"/>
      <c r="F255" s="592"/>
      <c r="G255" s="689"/>
      <c r="H255" s="598"/>
      <c r="I255" s="845"/>
      <c r="K255" s="834">
        <f t="shared" si="5"/>
        <v>0</v>
      </c>
    </row>
    <row r="256" spans="1:11" s="833" customFormat="1" ht="12.75" hidden="1" customHeight="1" x14ac:dyDescent="0.2">
      <c r="A256" s="823"/>
      <c r="B256" s="706"/>
      <c r="C256" s="707"/>
      <c r="D256" s="825"/>
      <c r="E256" s="689"/>
      <c r="F256" s="592"/>
      <c r="G256" s="689"/>
      <c r="H256" s="598"/>
      <c r="I256" s="832"/>
      <c r="K256" s="834">
        <f t="shared" si="5"/>
        <v>0</v>
      </c>
    </row>
    <row r="257" spans="1:11" s="833" customFormat="1" ht="12.75" hidden="1" customHeight="1" x14ac:dyDescent="0.2">
      <c r="A257" s="823"/>
      <c r="B257" s="706" t="s">
        <v>321</v>
      </c>
      <c r="C257" s="707" t="s">
        <v>322</v>
      </c>
      <c r="D257" s="824" t="str">
        <f>$D$14</f>
        <v>FTE  Sep 2026</v>
      </c>
      <c r="E257" s="689">
        <f>'3961'!$J$124</f>
        <v>0</v>
      </c>
      <c r="F257" s="592"/>
      <c r="G257" s="689">
        <f>SUBTOTAL(109,E257:F264)</f>
        <v>0</v>
      </c>
      <c r="H257" s="598"/>
      <c r="K257" s="834">
        <f t="shared" si="5"/>
        <v>0</v>
      </c>
    </row>
    <row r="258" spans="1:11" s="833" customFormat="1" ht="12.75" hidden="1" customHeight="1" x14ac:dyDescent="0.2">
      <c r="A258" s="823"/>
      <c r="B258" s="706"/>
      <c r="C258" s="707"/>
      <c r="D258" s="825" t="s">
        <v>551</v>
      </c>
      <c r="E258" s="689"/>
      <c r="F258" s="592"/>
      <c r="G258" s="689"/>
      <c r="H258" s="598"/>
      <c r="K258" s="834">
        <f t="shared" si="5"/>
        <v>0</v>
      </c>
    </row>
    <row r="259" spans="1:11" s="833" customFormat="1" ht="12.75" hidden="1" customHeight="1" x14ac:dyDescent="0.2">
      <c r="A259" s="823"/>
      <c r="B259" s="706"/>
      <c r="C259" s="707"/>
      <c r="D259" s="826" t="s">
        <v>536</v>
      </c>
      <c r="E259" s="689"/>
      <c r="F259" s="592"/>
      <c r="G259" s="689"/>
      <c r="H259" s="598"/>
      <c r="I259" s="706"/>
      <c r="K259" s="834">
        <f t="shared" si="5"/>
        <v>0</v>
      </c>
    </row>
    <row r="260" spans="1:11" s="833" customFormat="1" ht="12.75" hidden="1" customHeight="1" x14ac:dyDescent="0.2">
      <c r="A260" s="823"/>
      <c r="B260" s="706"/>
      <c r="C260" s="707"/>
      <c r="D260" s="825" t="s">
        <v>537</v>
      </c>
      <c r="E260" s="689"/>
      <c r="F260" s="592"/>
      <c r="G260" s="689"/>
      <c r="H260" s="598"/>
      <c r="K260" s="834">
        <f t="shared" si="5"/>
        <v>0</v>
      </c>
    </row>
    <row r="261" spans="1:11" s="833" customFormat="1" ht="12.75" hidden="1" customHeight="1" x14ac:dyDescent="0.2">
      <c r="A261" s="823"/>
      <c r="B261" s="706"/>
      <c r="C261" s="707"/>
      <c r="D261" s="825" t="s">
        <v>538</v>
      </c>
      <c r="E261" s="689"/>
      <c r="F261" s="592"/>
      <c r="G261" s="689"/>
      <c r="H261" s="598"/>
      <c r="K261" s="834">
        <f t="shared" si="5"/>
        <v>0</v>
      </c>
    </row>
    <row r="262" spans="1:11" s="833" customFormat="1" ht="12.75" hidden="1" customHeight="1" x14ac:dyDescent="0.2">
      <c r="A262" s="823"/>
      <c r="B262" s="706"/>
      <c r="C262" s="707"/>
      <c r="D262" s="825" t="s">
        <v>539</v>
      </c>
      <c r="E262" s="689"/>
      <c r="F262" s="592"/>
      <c r="G262" s="689"/>
      <c r="H262" s="598"/>
      <c r="K262" s="834">
        <f t="shared" si="5"/>
        <v>0</v>
      </c>
    </row>
    <row r="263" spans="1:11" s="833" customFormat="1" ht="12.75" hidden="1" customHeight="1" x14ac:dyDescent="0.2">
      <c r="A263" s="823"/>
      <c r="B263" s="706"/>
      <c r="C263" s="707"/>
      <c r="D263" s="825" t="s">
        <v>540</v>
      </c>
      <c r="E263" s="689"/>
      <c r="F263" s="592"/>
      <c r="G263" s="689"/>
      <c r="H263" s="598"/>
      <c r="I263" s="832"/>
      <c r="K263" s="834">
        <f t="shared" si="5"/>
        <v>0</v>
      </c>
    </row>
    <row r="264" spans="1:11" s="833" customFormat="1" ht="12.75" hidden="1" customHeight="1" x14ac:dyDescent="0.2">
      <c r="A264" s="823"/>
      <c r="B264" s="706"/>
      <c r="C264" s="828"/>
      <c r="D264" s="827" t="s">
        <v>567</v>
      </c>
      <c r="E264" s="689"/>
      <c r="F264" s="592"/>
      <c r="G264" s="689"/>
      <c r="H264" s="598"/>
      <c r="I264" s="832"/>
      <c r="K264" s="834">
        <f t="shared" si="5"/>
        <v>0</v>
      </c>
    </row>
    <row r="265" spans="1:11" s="343" customFormat="1" ht="12.75" customHeight="1" x14ac:dyDescent="0.2">
      <c r="A265" s="563">
        <f>A247+1</f>
        <v>29</v>
      </c>
      <c r="B265" s="575" t="s">
        <v>323</v>
      </c>
      <c r="C265" s="576" t="s">
        <v>324</v>
      </c>
      <c r="D265" s="599" t="str">
        <f>$D$14</f>
        <v>FTE  Sep 2026</v>
      </c>
      <c r="E265" s="567">
        <f>'3971'!$J$124</f>
        <v>446791.37</v>
      </c>
      <c r="F265" s="577"/>
      <c r="G265" s="567">
        <f>SUBTOTAL(109,E265:F272)</f>
        <v>446791.37</v>
      </c>
      <c r="H265" s="578"/>
      <c r="I265" s="587"/>
      <c r="K265" s="665">
        <f t="shared" si="5"/>
        <v>446791.37</v>
      </c>
    </row>
    <row r="266" spans="1:11" s="343" customFormat="1" ht="12.75" hidden="1" customHeight="1" x14ac:dyDescent="0.2">
      <c r="A266" s="563" t="s">
        <v>642</v>
      </c>
      <c r="B266" s="575"/>
      <c r="C266" s="576"/>
      <c r="D266" s="579" t="s">
        <v>535</v>
      </c>
      <c r="E266" s="567"/>
      <c r="F266" s="577"/>
      <c r="G266" s="567"/>
      <c r="H266" s="598"/>
      <c r="K266" s="665">
        <f t="shared" si="5"/>
        <v>0</v>
      </c>
    </row>
    <row r="267" spans="1:11" s="343" customFormat="1" ht="12.75" hidden="1" customHeight="1" x14ac:dyDescent="0.2">
      <c r="A267" s="563"/>
      <c r="B267" s="575"/>
      <c r="C267" s="576"/>
      <c r="D267" s="580" t="s">
        <v>536</v>
      </c>
      <c r="E267" s="567"/>
      <c r="F267" s="577"/>
      <c r="G267" s="567"/>
      <c r="H267" s="598"/>
      <c r="K267" s="665">
        <f t="shared" si="5"/>
        <v>0</v>
      </c>
    </row>
    <row r="268" spans="1:11" s="343" customFormat="1" ht="12.75" hidden="1" customHeight="1" x14ac:dyDescent="0.2">
      <c r="A268" s="563"/>
      <c r="B268" s="575"/>
      <c r="C268" s="576"/>
      <c r="D268" s="579" t="s">
        <v>537</v>
      </c>
      <c r="E268" s="567"/>
      <c r="F268" s="577"/>
      <c r="G268" s="567"/>
      <c r="H268" s="598"/>
      <c r="K268" s="665">
        <f t="shared" si="5"/>
        <v>0</v>
      </c>
    </row>
    <row r="269" spans="1:11" s="343" customFormat="1" ht="12.75" hidden="1" customHeight="1" x14ac:dyDescent="0.2">
      <c r="A269" s="563"/>
      <c r="B269" s="575"/>
      <c r="C269" s="576"/>
      <c r="D269" s="579" t="s">
        <v>538</v>
      </c>
      <c r="E269" s="567"/>
      <c r="F269" s="577"/>
      <c r="G269" s="567"/>
      <c r="H269" s="598"/>
      <c r="I269" s="590"/>
      <c r="K269" s="665">
        <f t="shared" si="5"/>
        <v>0</v>
      </c>
    </row>
    <row r="270" spans="1:11" s="343" customFormat="1" ht="12.75" hidden="1" customHeight="1" x14ac:dyDescent="0.2">
      <c r="A270" s="563"/>
      <c r="B270" s="575"/>
      <c r="C270" s="576"/>
      <c r="D270" s="579" t="s">
        <v>539</v>
      </c>
      <c r="E270" s="567"/>
      <c r="F270" s="577"/>
      <c r="G270" s="567"/>
      <c r="H270" s="598"/>
      <c r="K270" s="665">
        <f t="shared" si="5"/>
        <v>0</v>
      </c>
    </row>
    <row r="271" spans="1:11" s="343" customFormat="1" ht="12.75" hidden="1" customHeight="1" x14ac:dyDescent="0.2">
      <c r="A271" s="563"/>
      <c r="B271" s="575"/>
      <c r="C271" s="576"/>
      <c r="D271" s="579" t="s">
        <v>540</v>
      </c>
      <c r="E271" s="567"/>
      <c r="F271" s="577"/>
      <c r="G271" s="567"/>
      <c r="H271" s="598"/>
      <c r="K271" s="665">
        <f t="shared" si="5"/>
        <v>0</v>
      </c>
    </row>
    <row r="272" spans="1:11" s="343" customFormat="1" ht="12.75" hidden="1" customHeight="1" x14ac:dyDescent="0.2">
      <c r="A272" s="563"/>
      <c r="B272" s="575"/>
      <c r="C272" s="576"/>
      <c r="D272" s="601" t="s">
        <v>568</v>
      </c>
      <c r="E272" s="567"/>
      <c r="F272" s="577"/>
      <c r="G272" s="567"/>
      <c r="H272" s="598"/>
      <c r="I272" s="246"/>
      <c r="K272" s="665">
        <f t="shared" si="5"/>
        <v>0</v>
      </c>
    </row>
    <row r="273" spans="1:11" s="833" customFormat="1" ht="12.75" customHeight="1" x14ac:dyDescent="0.2">
      <c r="A273" s="823">
        <f>A265+1</f>
        <v>30</v>
      </c>
      <c r="B273" s="706" t="s">
        <v>325</v>
      </c>
      <c r="C273" s="707" t="s">
        <v>326</v>
      </c>
      <c r="D273" s="824" t="str">
        <f>$D$14</f>
        <v>FTE  Sep 2026</v>
      </c>
      <c r="E273" s="831">
        <f>'4001'!$J$124</f>
        <v>469922.57</v>
      </c>
      <c r="F273" s="592"/>
      <c r="G273" s="689">
        <f>SUBTOTAL(109,E273:F281)</f>
        <v>469922.57</v>
      </c>
      <c r="H273" s="598"/>
      <c r="I273" s="832"/>
      <c r="K273" s="834">
        <f t="shared" si="5"/>
        <v>469922.57</v>
      </c>
    </row>
    <row r="274" spans="1:11" s="793" customFormat="1" ht="12.75" hidden="1" customHeight="1" x14ac:dyDescent="0.2">
      <c r="A274" s="823"/>
      <c r="B274" s="706"/>
      <c r="C274" s="707"/>
      <c r="D274" s="825" t="s">
        <v>551</v>
      </c>
      <c r="E274" s="689"/>
      <c r="F274" s="830"/>
      <c r="G274" s="689"/>
      <c r="H274" s="602"/>
      <c r="I274" s="833"/>
      <c r="K274" s="834">
        <f t="shared" si="5"/>
        <v>0</v>
      </c>
    </row>
    <row r="275" spans="1:11" s="833" customFormat="1" ht="12.75" hidden="1" customHeight="1" x14ac:dyDescent="0.2">
      <c r="A275" s="823"/>
      <c r="B275" s="706"/>
      <c r="C275" s="707"/>
      <c r="D275" s="826" t="s">
        <v>536</v>
      </c>
      <c r="E275" s="689"/>
      <c r="F275" s="592"/>
      <c r="G275" s="689"/>
      <c r="H275" s="598"/>
      <c r="K275" s="834">
        <f t="shared" si="5"/>
        <v>0</v>
      </c>
    </row>
    <row r="276" spans="1:11" s="833" customFormat="1" ht="12.75" hidden="1" customHeight="1" x14ac:dyDescent="0.2">
      <c r="A276" s="823"/>
      <c r="B276" s="706"/>
      <c r="C276" s="707"/>
      <c r="D276" s="825" t="s">
        <v>537</v>
      </c>
      <c r="E276" s="689"/>
      <c r="F276" s="592"/>
      <c r="G276" s="689"/>
      <c r="H276" s="598"/>
      <c r="K276" s="834">
        <f t="shared" si="5"/>
        <v>0</v>
      </c>
    </row>
    <row r="277" spans="1:11" s="833" customFormat="1" ht="12.75" hidden="1" customHeight="1" x14ac:dyDescent="0.2">
      <c r="A277" s="823"/>
      <c r="B277" s="706"/>
      <c r="C277" s="707"/>
      <c r="D277" s="825" t="s">
        <v>538</v>
      </c>
      <c r="E277" s="689"/>
      <c r="F277" s="592"/>
      <c r="G277" s="689"/>
      <c r="H277" s="598"/>
      <c r="I277" s="706"/>
      <c r="K277" s="834">
        <f t="shared" si="5"/>
        <v>0</v>
      </c>
    </row>
    <row r="278" spans="1:11" s="833" customFormat="1" ht="12.75" hidden="1" customHeight="1" x14ac:dyDescent="0.2">
      <c r="A278" s="823"/>
      <c r="B278" s="706"/>
      <c r="C278" s="707"/>
      <c r="D278" s="825" t="s">
        <v>539</v>
      </c>
      <c r="E278" s="689"/>
      <c r="F278" s="592"/>
      <c r="G278" s="689"/>
      <c r="H278" s="598"/>
      <c r="K278" s="834">
        <f t="shared" si="5"/>
        <v>0</v>
      </c>
    </row>
    <row r="279" spans="1:11" s="833" customFormat="1" ht="12.75" hidden="1" customHeight="1" x14ac:dyDescent="0.2">
      <c r="A279" s="823"/>
      <c r="B279" s="706"/>
      <c r="C279" s="707"/>
      <c r="D279" s="825" t="s">
        <v>540</v>
      </c>
      <c r="E279" s="689"/>
      <c r="F279" s="592"/>
      <c r="G279" s="689"/>
      <c r="H279" s="598"/>
      <c r="K279" s="834">
        <f t="shared" si="5"/>
        <v>0</v>
      </c>
    </row>
    <row r="280" spans="1:11" s="833" customFormat="1" ht="12.75" hidden="1" customHeight="1" x14ac:dyDescent="0.2">
      <c r="A280" s="823"/>
      <c r="B280" s="706"/>
      <c r="C280" s="707"/>
      <c r="D280" s="825" t="s">
        <v>547</v>
      </c>
      <c r="E280" s="689"/>
      <c r="F280" s="592"/>
      <c r="G280" s="689"/>
      <c r="H280" s="598"/>
      <c r="K280" s="834">
        <f t="shared" si="5"/>
        <v>0</v>
      </c>
    </row>
    <row r="281" spans="1:11" s="833" customFormat="1" ht="12.75" hidden="1" customHeight="1" x14ac:dyDescent="0.2">
      <c r="A281" s="823"/>
      <c r="B281" s="706"/>
      <c r="C281" s="707"/>
      <c r="D281" s="827" t="s">
        <v>550</v>
      </c>
      <c r="E281" s="689"/>
      <c r="F281" s="592"/>
      <c r="G281" s="689"/>
      <c r="H281" s="598"/>
      <c r="I281" s="832"/>
      <c r="K281" s="834">
        <f t="shared" si="5"/>
        <v>0</v>
      </c>
    </row>
    <row r="282" spans="1:11" s="343" customFormat="1" ht="12.75" customHeight="1" x14ac:dyDescent="0.2">
      <c r="A282" s="563">
        <f>A273+1</f>
        <v>31</v>
      </c>
      <c r="B282" s="575">
        <v>4002</v>
      </c>
      <c r="C282" s="576" t="s">
        <v>327</v>
      </c>
      <c r="D282" s="599" t="str">
        <f>$D$14</f>
        <v>FTE  Sep 2026</v>
      </c>
      <c r="E282" s="567">
        <f>'4002'!$J$124</f>
        <v>647682.96</v>
      </c>
      <c r="F282" s="577"/>
      <c r="G282" s="567">
        <f>SUBTOTAL(109,E282:F291)</f>
        <v>647682.96</v>
      </c>
      <c r="H282" s="598"/>
      <c r="K282" s="665">
        <f t="shared" si="5"/>
        <v>647682.96</v>
      </c>
    </row>
    <row r="283" spans="1:11" s="343" customFormat="1" ht="12.75" hidden="1" customHeight="1" x14ac:dyDescent="0.2">
      <c r="A283" s="563"/>
      <c r="B283" s="575"/>
      <c r="C283" s="576"/>
      <c r="D283" s="579" t="s">
        <v>535</v>
      </c>
      <c r="E283" s="567"/>
      <c r="F283" s="577"/>
      <c r="G283" s="567"/>
      <c r="H283" s="598"/>
      <c r="K283" s="665">
        <f t="shared" si="5"/>
        <v>0</v>
      </c>
    </row>
    <row r="284" spans="1:11" s="343" customFormat="1" ht="12.75" hidden="1" customHeight="1" x14ac:dyDescent="0.2">
      <c r="A284" s="563"/>
      <c r="B284" s="575"/>
      <c r="C284" s="576"/>
      <c r="D284" s="580" t="s">
        <v>536</v>
      </c>
      <c r="E284" s="567"/>
      <c r="F284" s="577"/>
      <c r="G284" s="567"/>
      <c r="H284" s="598"/>
      <c r="K284" s="665">
        <f t="shared" si="5"/>
        <v>0</v>
      </c>
    </row>
    <row r="285" spans="1:11" s="343" customFormat="1" ht="12.75" hidden="1" customHeight="1" x14ac:dyDescent="0.2">
      <c r="A285" s="563"/>
      <c r="B285" s="575"/>
      <c r="C285" s="576"/>
      <c r="D285" s="579" t="s">
        <v>537</v>
      </c>
      <c r="E285" s="567"/>
      <c r="F285" s="577"/>
      <c r="G285" s="567"/>
      <c r="H285" s="598"/>
      <c r="I285" s="590"/>
      <c r="K285" s="665">
        <f t="shared" si="5"/>
        <v>0</v>
      </c>
    </row>
    <row r="286" spans="1:11" s="343" customFormat="1" ht="12.75" hidden="1" customHeight="1" x14ac:dyDescent="0.2">
      <c r="A286" s="563"/>
      <c r="B286" s="575"/>
      <c r="C286" s="576"/>
      <c r="D286" s="579" t="s">
        <v>538</v>
      </c>
      <c r="E286" s="567"/>
      <c r="F286" s="577"/>
      <c r="G286" s="567"/>
      <c r="H286" s="598"/>
      <c r="K286" s="665">
        <f t="shared" si="5"/>
        <v>0</v>
      </c>
    </row>
    <row r="287" spans="1:11" s="343" customFormat="1" ht="12.75" hidden="1" customHeight="1" x14ac:dyDescent="0.2">
      <c r="A287" s="563"/>
      <c r="B287" s="575"/>
      <c r="C287" s="576"/>
      <c r="D287" s="579" t="s">
        <v>539</v>
      </c>
      <c r="E287" s="567"/>
      <c r="F287" s="577"/>
      <c r="G287" s="567"/>
      <c r="H287" s="598"/>
      <c r="K287" s="665">
        <f t="shared" si="5"/>
        <v>0</v>
      </c>
    </row>
    <row r="288" spans="1:11" s="343" customFormat="1" ht="12.75" hidden="1" customHeight="1" x14ac:dyDescent="0.2">
      <c r="A288" s="563"/>
      <c r="B288" s="575"/>
      <c r="C288" s="576"/>
      <c r="D288" s="579" t="s">
        <v>540</v>
      </c>
      <c r="E288" s="567"/>
      <c r="F288" s="577"/>
      <c r="G288" s="567"/>
      <c r="H288" s="598"/>
      <c r="K288" s="665">
        <f t="shared" si="5"/>
        <v>0</v>
      </c>
    </row>
    <row r="289" spans="1:11" s="343" customFormat="1" ht="12.75" hidden="1" customHeight="1" x14ac:dyDescent="0.2">
      <c r="A289" s="563"/>
      <c r="B289" s="575"/>
      <c r="C289" s="576"/>
      <c r="D289" s="579" t="s">
        <v>559</v>
      </c>
      <c r="E289" s="567"/>
      <c r="F289" s="577"/>
      <c r="G289" s="567"/>
      <c r="H289" s="578"/>
      <c r="I289" s="587"/>
      <c r="K289" s="665">
        <f t="shared" si="5"/>
        <v>0</v>
      </c>
    </row>
    <row r="290" spans="1:11" s="343" customFormat="1" ht="12.75" hidden="1" customHeight="1" x14ac:dyDescent="0.2">
      <c r="A290" s="563"/>
      <c r="B290" s="575"/>
      <c r="C290" s="576"/>
      <c r="D290" s="579" t="s">
        <v>547</v>
      </c>
      <c r="E290" s="567"/>
      <c r="F290" s="577"/>
      <c r="G290" s="567"/>
      <c r="H290" s="598"/>
      <c r="I290" s="587"/>
      <c r="K290" s="665">
        <f t="shared" si="5"/>
        <v>0</v>
      </c>
    </row>
    <row r="291" spans="1:11" s="343" customFormat="1" ht="12.75" hidden="1" customHeight="1" x14ac:dyDescent="0.2">
      <c r="A291" s="563"/>
      <c r="B291" s="575"/>
      <c r="C291" s="576"/>
      <c r="D291" s="579" t="s">
        <v>569</v>
      </c>
      <c r="E291" s="567"/>
      <c r="F291" s="577"/>
      <c r="G291" s="567"/>
      <c r="H291" s="598"/>
      <c r="K291" s="665">
        <f t="shared" si="5"/>
        <v>0</v>
      </c>
    </row>
    <row r="292" spans="1:11" s="343" customFormat="1" ht="12.75" hidden="1" customHeight="1" x14ac:dyDescent="0.2">
      <c r="A292" s="823"/>
      <c r="B292" s="706">
        <v>4012</v>
      </c>
      <c r="C292" s="707" t="s">
        <v>328</v>
      </c>
      <c r="D292" s="824" t="str">
        <f>$D$14</f>
        <v>FTE  Sep 2026</v>
      </c>
      <c r="E292" s="689">
        <f>'4012'!$J$124</f>
        <v>0</v>
      </c>
      <c r="F292" s="592"/>
      <c r="G292" s="689">
        <f>SUBTOTAL(109,E292:F299)</f>
        <v>0</v>
      </c>
      <c r="H292" s="598"/>
      <c r="I292" s="704" t="s">
        <v>615</v>
      </c>
      <c r="K292" s="665">
        <f t="shared" si="5"/>
        <v>0</v>
      </c>
    </row>
    <row r="293" spans="1:11" s="343" customFormat="1" ht="12.75" hidden="1" customHeight="1" x14ac:dyDescent="0.2">
      <c r="A293" s="823"/>
      <c r="B293" s="706"/>
      <c r="C293" s="707"/>
      <c r="D293" s="825" t="s">
        <v>551</v>
      </c>
      <c r="E293" s="689"/>
      <c r="F293" s="592"/>
      <c r="G293" s="689"/>
      <c r="H293" s="598"/>
      <c r="K293" s="665">
        <f t="shared" si="5"/>
        <v>0</v>
      </c>
    </row>
    <row r="294" spans="1:11" s="343" customFormat="1" ht="12.75" hidden="1" customHeight="1" x14ac:dyDescent="0.2">
      <c r="A294" s="823"/>
      <c r="B294" s="706"/>
      <c r="C294" s="707"/>
      <c r="D294" s="825" t="s">
        <v>536</v>
      </c>
      <c r="E294" s="689"/>
      <c r="F294" s="592"/>
      <c r="G294" s="689"/>
      <c r="H294" s="598"/>
      <c r="I294" s="590"/>
      <c r="K294" s="665">
        <f t="shared" si="5"/>
        <v>0</v>
      </c>
    </row>
    <row r="295" spans="1:11" s="343" customFormat="1" ht="12.75" hidden="1" customHeight="1" x14ac:dyDescent="0.2">
      <c r="A295" s="823"/>
      <c r="B295" s="706"/>
      <c r="C295" s="707"/>
      <c r="D295" s="825" t="s">
        <v>554</v>
      </c>
      <c r="E295" s="689"/>
      <c r="F295" s="592"/>
      <c r="G295" s="689"/>
      <c r="H295" s="598"/>
      <c r="K295" s="665">
        <f t="shared" si="5"/>
        <v>0</v>
      </c>
    </row>
    <row r="296" spans="1:11" s="343" customFormat="1" ht="12.75" hidden="1" customHeight="1" x14ac:dyDescent="0.2">
      <c r="A296" s="823"/>
      <c r="B296" s="706"/>
      <c r="C296" s="707"/>
      <c r="D296" s="825" t="s">
        <v>539</v>
      </c>
      <c r="E296" s="689"/>
      <c r="F296" s="592"/>
      <c r="G296" s="689"/>
      <c r="H296" s="598"/>
      <c r="K296" s="665">
        <f t="shared" si="5"/>
        <v>0</v>
      </c>
    </row>
    <row r="297" spans="1:11" s="343" customFormat="1" ht="12.75" hidden="1" customHeight="1" x14ac:dyDescent="0.2">
      <c r="A297" s="823"/>
      <c r="B297" s="706"/>
      <c r="C297" s="707"/>
      <c r="D297" s="825" t="s">
        <v>540</v>
      </c>
      <c r="E297" s="689"/>
      <c r="F297" s="592"/>
      <c r="G297" s="689"/>
      <c r="H297" s="598"/>
      <c r="K297" s="665">
        <f t="shared" si="5"/>
        <v>0</v>
      </c>
    </row>
    <row r="298" spans="1:11" s="343" customFormat="1" ht="12.75" hidden="1" customHeight="1" x14ac:dyDescent="0.2">
      <c r="A298" s="823"/>
      <c r="B298" s="706"/>
      <c r="C298" s="707"/>
      <c r="D298" s="825" t="s">
        <v>555</v>
      </c>
      <c r="E298" s="689"/>
      <c r="F298" s="592"/>
      <c r="G298" s="689"/>
      <c r="H298" s="598"/>
      <c r="K298" s="665">
        <f t="shared" si="5"/>
        <v>0</v>
      </c>
    </row>
    <row r="299" spans="1:11" s="343" customFormat="1" ht="12.75" hidden="1" customHeight="1" x14ac:dyDescent="0.2">
      <c r="A299" s="823"/>
      <c r="B299" s="706"/>
      <c r="C299" s="707"/>
      <c r="D299" s="827" t="s">
        <v>550</v>
      </c>
      <c r="E299" s="689"/>
      <c r="F299" s="592"/>
      <c r="G299" s="689"/>
      <c r="H299" s="598"/>
      <c r="I299" s="584"/>
      <c r="K299" s="665">
        <f t="shared" si="5"/>
        <v>0</v>
      </c>
    </row>
    <row r="300" spans="1:11" s="343" customFormat="1" ht="12.75" customHeight="1" x14ac:dyDescent="0.2">
      <c r="A300" s="823">
        <f>A282+1</f>
        <v>32</v>
      </c>
      <c r="B300" s="706">
        <v>4013</v>
      </c>
      <c r="C300" s="707" t="s">
        <v>329</v>
      </c>
      <c r="D300" s="824" t="str">
        <f>$D$14</f>
        <v>FTE  Sep 2026</v>
      </c>
      <c r="E300" s="689">
        <f>'4013'!$J$124</f>
        <v>1128637.3899999999</v>
      </c>
      <c r="F300" s="592"/>
      <c r="G300" s="689">
        <f>SUBTOTAL(109,E300:F308)</f>
        <v>1128637.3899999999</v>
      </c>
      <c r="H300" s="598"/>
      <c r="I300" s="584"/>
      <c r="K300" s="665">
        <f t="shared" ref="K300:K363" si="6">IF(E300&gt;0,E300,F300)</f>
        <v>1128637.3899999999</v>
      </c>
    </row>
    <row r="301" spans="1:11" s="343" customFormat="1" ht="12.75" hidden="1" customHeight="1" x14ac:dyDescent="0.2">
      <c r="A301" s="823"/>
      <c r="B301" s="706"/>
      <c r="C301" s="707"/>
      <c r="D301" s="825" t="s">
        <v>535</v>
      </c>
      <c r="E301" s="689"/>
      <c r="F301" s="592"/>
      <c r="G301" s="689"/>
      <c r="H301" s="598"/>
      <c r="K301" s="665">
        <f t="shared" si="6"/>
        <v>0</v>
      </c>
    </row>
    <row r="302" spans="1:11" s="343" customFormat="1" ht="12.75" hidden="1" customHeight="1" x14ac:dyDescent="0.2">
      <c r="A302" s="823"/>
      <c r="B302" s="706"/>
      <c r="C302" s="707"/>
      <c r="D302" s="826" t="s">
        <v>536</v>
      </c>
      <c r="E302" s="689"/>
      <c r="F302" s="592"/>
      <c r="G302" s="689"/>
      <c r="H302" s="598"/>
      <c r="K302" s="665">
        <f t="shared" si="6"/>
        <v>0</v>
      </c>
    </row>
    <row r="303" spans="1:11" s="343" customFormat="1" ht="12.75" hidden="1" customHeight="1" x14ac:dyDescent="0.2">
      <c r="A303" s="823"/>
      <c r="B303" s="706"/>
      <c r="C303" s="707"/>
      <c r="D303" s="825" t="s">
        <v>537</v>
      </c>
      <c r="E303" s="689"/>
      <c r="F303" s="592"/>
      <c r="G303" s="689"/>
      <c r="H303" s="598"/>
      <c r="K303" s="665">
        <f t="shared" si="6"/>
        <v>0</v>
      </c>
    </row>
    <row r="304" spans="1:11" s="343" customFormat="1" ht="12.75" hidden="1" customHeight="1" x14ac:dyDescent="0.2">
      <c r="A304" s="823"/>
      <c r="B304" s="706"/>
      <c r="C304" s="707"/>
      <c r="D304" s="825" t="s">
        <v>554</v>
      </c>
      <c r="E304" s="689"/>
      <c r="F304" s="592"/>
      <c r="G304" s="689"/>
      <c r="H304" s="598"/>
      <c r="K304" s="665">
        <f t="shared" si="6"/>
        <v>0</v>
      </c>
    </row>
    <row r="305" spans="1:11" s="343" customFormat="1" ht="12.75" hidden="1" customHeight="1" x14ac:dyDescent="0.2">
      <c r="A305" s="823"/>
      <c r="B305" s="706"/>
      <c r="C305" s="707"/>
      <c r="D305" s="825" t="s">
        <v>539</v>
      </c>
      <c r="E305" s="689"/>
      <c r="F305" s="592"/>
      <c r="G305" s="689"/>
      <c r="H305" s="598"/>
      <c r="K305" s="665">
        <f t="shared" si="6"/>
        <v>0</v>
      </c>
    </row>
    <row r="306" spans="1:11" s="343" customFormat="1" ht="12.75" hidden="1" customHeight="1" x14ac:dyDescent="0.2">
      <c r="A306" s="823"/>
      <c r="B306" s="706"/>
      <c r="C306" s="707"/>
      <c r="D306" s="825" t="s">
        <v>540</v>
      </c>
      <c r="E306" s="689"/>
      <c r="F306" s="592"/>
      <c r="G306" s="689"/>
      <c r="H306" s="598"/>
      <c r="K306" s="665">
        <f t="shared" si="6"/>
        <v>0</v>
      </c>
    </row>
    <row r="307" spans="1:11" s="343" customFormat="1" ht="12.75" hidden="1" customHeight="1" x14ac:dyDescent="0.2">
      <c r="A307" s="823"/>
      <c r="B307" s="706"/>
      <c r="C307" s="707"/>
      <c r="D307" s="825" t="s">
        <v>547</v>
      </c>
      <c r="E307" s="689"/>
      <c r="F307" s="592"/>
      <c r="G307" s="689"/>
      <c r="H307" s="578"/>
      <c r="I307" s="587"/>
      <c r="K307" s="665">
        <f t="shared" si="6"/>
        <v>0</v>
      </c>
    </row>
    <row r="308" spans="1:11" s="343" customFormat="1" ht="12.75" hidden="1" customHeight="1" x14ac:dyDescent="0.2">
      <c r="A308" s="823"/>
      <c r="B308" s="706"/>
      <c r="C308" s="707"/>
      <c r="D308" s="825" t="s">
        <v>550</v>
      </c>
      <c r="E308" s="689"/>
      <c r="F308" s="592"/>
      <c r="G308" s="689"/>
      <c r="H308" s="598"/>
      <c r="I308" s="588"/>
      <c r="K308" s="665">
        <f t="shared" si="6"/>
        <v>0</v>
      </c>
    </row>
    <row r="309" spans="1:11" s="343" customFormat="1" ht="12.75" customHeight="1" x14ac:dyDescent="0.2">
      <c r="A309" s="563">
        <f>A300+1</f>
        <v>33</v>
      </c>
      <c r="B309" s="575">
        <v>4020</v>
      </c>
      <c r="C309" s="600" t="s">
        <v>330</v>
      </c>
      <c r="D309" s="599" t="str">
        <f>$D$14</f>
        <v>FTE  Sep 2026</v>
      </c>
      <c r="E309" s="567">
        <f>'4020'!$J$124</f>
        <v>916273.89</v>
      </c>
      <c r="F309" s="577"/>
      <c r="G309" s="567">
        <f>SUBTOTAL(109,E309:F317)</f>
        <v>916273.89</v>
      </c>
      <c r="H309" s="598"/>
      <c r="I309" s="588"/>
      <c r="K309" s="665">
        <f t="shared" si="6"/>
        <v>916273.89</v>
      </c>
    </row>
    <row r="310" spans="1:11" s="343" customFormat="1" ht="12.75" hidden="1" customHeight="1" x14ac:dyDescent="0.2">
      <c r="A310" s="563"/>
      <c r="B310" s="575"/>
      <c r="C310" s="576"/>
      <c r="D310" s="579" t="s">
        <v>551</v>
      </c>
      <c r="E310" s="567"/>
      <c r="F310" s="577"/>
      <c r="G310" s="567"/>
      <c r="H310" s="598"/>
      <c r="K310" s="665">
        <f t="shared" si="6"/>
        <v>0</v>
      </c>
    </row>
    <row r="311" spans="1:11" s="343" customFormat="1" ht="12.75" hidden="1" customHeight="1" x14ac:dyDescent="0.2">
      <c r="A311" s="563"/>
      <c r="B311" s="575"/>
      <c r="C311" s="576"/>
      <c r="D311" s="580" t="s">
        <v>536</v>
      </c>
      <c r="E311" s="567"/>
      <c r="F311" s="577"/>
      <c r="G311" s="567"/>
      <c r="H311" s="598"/>
      <c r="K311" s="665">
        <f t="shared" si="6"/>
        <v>0</v>
      </c>
    </row>
    <row r="312" spans="1:11" s="343" customFormat="1" ht="12.75" hidden="1" customHeight="1" x14ac:dyDescent="0.2">
      <c r="A312" s="563"/>
      <c r="B312" s="575"/>
      <c r="C312" s="576"/>
      <c r="D312" s="579" t="s">
        <v>537</v>
      </c>
      <c r="E312" s="567"/>
      <c r="F312" s="577"/>
      <c r="G312" s="567"/>
      <c r="H312" s="598"/>
      <c r="I312" s="590"/>
      <c r="K312" s="665">
        <f t="shared" si="6"/>
        <v>0</v>
      </c>
    </row>
    <row r="313" spans="1:11" s="343" customFormat="1" ht="12.75" hidden="1" customHeight="1" x14ac:dyDescent="0.2">
      <c r="A313" s="563"/>
      <c r="B313" s="575"/>
      <c r="C313" s="576"/>
      <c r="D313" s="579" t="s">
        <v>554</v>
      </c>
      <c r="E313" s="567"/>
      <c r="F313" s="577"/>
      <c r="G313" s="567"/>
      <c r="H313" s="598"/>
      <c r="K313" s="665">
        <f t="shared" si="6"/>
        <v>0</v>
      </c>
    </row>
    <row r="314" spans="1:11" s="343" customFormat="1" ht="12.75" hidden="1" customHeight="1" x14ac:dyDescent="0.2">
      <c r="A314" s="563"/>
      <c r="B314" s="575"/>
      <c r="C314" s="576"/>
      <c r="D314" s="579" t="s">
        <v>539</v>
      </c>
      <c r="E314" s="567"/>
      <c r="F314" s="577"/>
      <c r="G314" s="567"/>
      <c r="H314" s="598"/>
      <c r="K314" s="665">
        <f t="shared" si="6"/>
        <v>0</v>
      </c>
    </row>
    <row r="315" spans="1:11" s="343" customFormat="1" ht="12.75" hidden="1" customHeight="1" x14ac:dyDescent="0.2">
      <c r="A315" s="563"/>
      <c r="B315" s="575"/>
      <c r="C315" s="576"/>
      <c r="D315" s="579" t="s">
        <v>540</v>
      </c>
      <c r="E315" s="567"/>
      <c r="F315" s="577"/>
      <c r="G315" s="567"/>
      <c r="H315" s="598"/>
      <c r="K315" s="665">
        <f t="shared" si="6"/>
        <v>0</v>
      </c>
    </row>
    <row r="316" spans="1:11" s="343" customFormat="1" ht="12.75" hidden="1" customHeight="1" x14ac:dyDescent="0.2">
      <c r="A316" s="563"/>
      <c r="B316" s="575"/>
      <c r="C316" s="576"/>
      <c r="D316" s="579" t="s">
        <v>559</v>
      </c>
      <c r="E316" s="567"/>
      <c r="F316" s="577"/>
      <c r="G316" s="567"/>
      <c r="H316" s="598"/>
      <c r="K316" s="665">
        <f t="shared" si="6"/>
        <v>0</v>
      </c>
    </row>
    <row r="317" spans="1:11" s="343" customFormat="1" ht="12.75" hidden="1" customHeight="1" x14ac:dyDescent="0.2">
      <c r="A317" s="563"/>
      <c r="B317" s="575"/>
      <c r="C317" s="576"/>
      <c r="D317" s="601" t="s">
        <v>550</v>
      </c>
      <c r="E317" s="567"/>
      <c r="F317" s="577"/>
      <c r="G317" s="567"/>
      <c r="H317" s="598"/>
      <c r="I317" s="584"/>
      <c r="K317" s="665">
        <f t="shared" si="6"/>
        <v>0</v>
      </c>
    </row>
    <row r="318" spans="1:11" s="343" customFormat="1" ht="12.75" hidden="1" customHeight="1" x14ac:dyDescent="0.2">
      <c r="A318" s="563"/>
      <c r="B318" s="575">
        <v>4030</v>
      </c>
      <c r="C318" s="576" t="s">
        <v>331</v>
      </c>
      <c r="D318" s="599" t="str">
        <f>$D$14</f>
        <v>FTE  Sep 2026</v>
      </c>
      <c r="E318" s="567">
        <f>'4030'!$J$124</f>
        <v>0</v>
      </c>
      <c r="F318" s="577"/>
      <c r="G318" s="567">
        <f>SUBTOTAL(109,E318:F327)</f>
        <v>0</v>
      </c>
      <c r="H318" s="598"/>
      <c r="I318" s="704" t="s">
        <v>601</v>
      </c>
      <c r="K318" s="665">
        <f t="shared" si="6"/>
        <v>0</v>
      </c>
    </row>
    <row r="319" spans="1:11" s="343" customFormat="1" ht="12.75" hidden="1" customHeight="1" x14ac:dyDescent="0.2">
      <c r="A319" s="563"/>
      <c r="B319" s="575"/>
      <c r="C319" s="576"/>
      <c r="D319" s="579" t="s">
        <v>535</v>
      </c>
      <c r="E319" s="567"/>
      <c r="F319" s="577"/>
      <c r="G319" s="567"/>
      <c r="H319" s="598"/>
      <c r="K319" s="665">
        <f t="shared" si="6"/>
        <v>0</v>
      </c>
    </row>
    <row r="320" spans="1:11" s="343" customFormat="1" ht="12.75" hidden="1" customHeight="1" x14ac:dyDescent="0.2">
      <c r="A320" s="563"/>
      <c r="B320" s="575"/>
      <c r="C320" s="576"/>
      <c r="D320" s="580" t="s">
        <v>536</v>
      </c>
      <c r="E320" s="567"/>
      <c r="F320" s="577"/>
      <c r="G320" s="567"/>
      <c r="H320" s="598"/>
      <c r="K320" s="665">
        <f t="shared" si="6"/>
        <v>0</v>
      </c>
    </row>
    <row r="321" spans="1:11" s="343" customFormat="1" ht="12.75" hidden="1" customHeight="1" x14ac:dyDescent="0.2">
      <c r="A321" s="563"/>
      <c r="B321" s="575"/>
      <c r="C321" s="576"/>
      <c r="D321" s="580" t="s">
        <v>548</v>
      </c>
      <c r="E321" s="567"/>
      <c r="F321" s="577"/>
      <c r="G321" s="567"/>
      <c r="H321" s="598"/>
      <c r="I321" s="590"/>
      <c r="K321" s="665">
        <f t="shared" si="6"/>
        <v>0</v>
      </c>
    </row>
    <row r="322" spans="1:11" s="343" customFormat="1" ht="12.75" hidden="1" customHeight="1" x14ac:dyDescent="0.2">
      <c r="A322" s="563"/>
      <c r="B322" s="575"/>
      <c r="C322" s="576"/>
      <c r="D322" s="576" t="s">
        <v>558</v>
      </c>
      <c r="E322" s="567"/>
      <c r="F322" s="577"/>
      <c r="G322" s="567"/>
      <c r="H322" s="598"/>
      <c r="K322" s="665">
        <f t="shared" si="6"/>
        <v>0</v>
      </c>
    </row>
    <row r="323" spans="1:11" s="343" customFormat="1" ht="12.75" hidden="1" customHeight="1" x14ac:dyDescent="0.2">
      <c r="A323" s="563"/>
      <c r="B323" s="575"/>
      <c r="C323" s="576"/>
      <c r="D323" s="579" t="s">
        <v>538</v>
      </c>
      <c r="E323" s="567"/>
      <c r="F323" s="577"/>
      <c r="G323" s="567"/>
      <c r="H323" s="598"/>
      <c r="K323" s="665">
        <f t="shared" si="6"/>
        <v>0</v>
      </c>
    </row>
    <row r="324" spans="1:11" s="343" customFormat="1" ht="12.75" hidden="1" customHeight="1" x14ac:dyDescent="0.2">
      <c r="A324" s="563"/>
      <c r="B324" s="575"/>
      <c r="C324" s="576"/>
      <c r="D324" s="579" t="s">
        <v>539</v>
      </c>
      <c r="E324" s="567"/>
      <c r="F324" s="577"/>
      <c r="G324" s="567"/>
      <c r="H324" s="598"/>
      <c r="K324" s="665">
        <f t="shared" si="6"/>
        <v>0</v>
      </c>
    </row>
    <row r="325" spans="1:11" s="343" customFormat="1" ht="12.75" hidden="1" customHeight="1" x14ac:dyDescent="0.2">
      <c r="A325" s="563"/>
      <c r="B325" s="575"/>
      <c r="C325" s="576"/>
      <c r="D325" s="579" t="s">
        <v>540</v>
      </c>
      <c r="E325" s="567"/>
      <c r="F325" s="577"/>
      <c r="G325" s="567"/>
      <c r="H325" s="578"/>
      <c r="I325" s="587"/>
      <c r="K325" s="665">
        <f t="shared" si="6"/>
        <v>0</v>
      </c>
    </row>
    <row r="326" spans="1:11" s="343" customFormat="1" ht="12.75" hidden="1" customHeight="1" x14ac:dyDescent="0.2">
      <c r="A326" s="563"/>
      <c r="B326" s="575"/>
      <c r="C326" s="576"/>
      <c r="D326" s="579" t="s">
        <v>547</v>
      </c>
      <c r="E326" s="567"/>
      <c r="F326" s="577"/>
      <c r="G326" s="567"/>
      <c r="H326" s="598"/>
      <c r="I326" s="584"/>
      <c r="K326" s="665">
        <f t="shared" si="6"/>
        <v>0</v>
      </c>
    </row>
    <row r="327" spans="1:11" s="343" customFormat="1" ht="12.75" hidden="1" customHeight="1" x14ac:dyDescent="0.2">
      <c r="A327" s="563"/>
      <c r="B327" s="575"/>
      <c r="C327" s="576"/>
      <c r="D327" s="579" t="s">
        <v>550</v>
      </c>
      <c r="E327" s="567"/>
      <c r="F327" s="577"/>
      <c r="G327" s="567"/>
      <c r="H327" s="598"/>
      <c r="K327" s="665">
        <f t="shared" si="6"/>
        <v>0</v>
      </c>
    </row>
    <row r="328" spans="1:11" s="343" customFormat="1" ht="12.75" customHeight="1" x14ac:dyDescent="0.2">
      <c r="A328" s="823">
        <f>A309+1</f>
        <v>34</v>
      </c>
      <c r="B328" s="706">
        <v>4031</v>
      </c>
      <c r="C328" s="829" t="s">
        <v>332</v>
      </c>
      <c r="D328" s="824" t="str">
        <f>$D$14</f>
        <v>FTE  Sep 2026</v>
      </c>
      <c r="E328" s="689">
        <f>'4031'!$J$124</f>
        <v>287325.83</v>
      </c>
      <c r="F328" s="592"/>
      <c r="G328" s="689">
        <f>SUBTOTAL(109,E328:F337)</f>
        <v>287325.83</v>
      </c>
      <c r="H328" s="598"/>
      <c r="K328" s="665">
        <f t="shared" si="6"/>
        <v>287325.83</v>
      </c>
    </row>
    <row r="329" spans="1:11" s="343" customFormat="1" ht="12.75" hidden="1" customHeight="1" x14ac:dyDescent="0.2">
      <c r="A329" s="823"/>
      <c r="B329" s="706"/>
      <c r="C329" s="707"/>
      <c r="D329" s="825" t="s">
        <v>551</v>
      </c>
      <c r="E329" s="689"/>
      <c r="F329" s="592"/>
      <c r="G329" s="689"/>
      <c r="H329" s="598"/>
      <c r="K329" s="665">
        <f t="shared" si="6"/>
        <v>0</v>
      </c>
    </row>
    <row r="330" spans="1:11" s="343" customFormat="1" ht="12.75" hidden="1" customHeight="1" x14ac:dyDescent="0.2">
      <c r="A330" s="823"/>
      <c r="B330" s="706"/>
      <c r="C330" s="707"/>
      <c r="D330" s="826" t="s">
        <v>536</v>
      </c>
      <c r="E330" s="689"/>
      <c r="F330" s="592"/>
      <c r="G330" s="689"/>
      <c r="H330" s="598"/>
      <c r="I330" s="590"/>
      <c r="K330" s="665">
        <f t="shared" si="6"/>
        <v>0</v>
      </c>
    </row>
    <row r="331" spans="1:11" s="343" customFormat="1" ht="12.75" hidden="1" customHeight="1" x14ac:dyDescent="0.2">
      <c r="A331" s="823"/>
      <c r="B331" s="706"/>
      <c r="C331" s="707"/>
      <c r="D331" s="826" t="s">
        <v>548</v>
      </c>
      <c r="E331" s="689"/>
      <c r="F331" s="592"/>
      <c r="G331" s="689"/>
      <c r="H331" s="598"/>
      <c r="I331" s="590"/>
      <c r="K331" s="665">
        <f t="shared" si="6"/>
        <v>0</v>
      </c>
    </row>
    <row r="332" spans="1:11" s="343" customFormat="1" ht="12.75" hidden="1" customHeight="1" x14ac:dyDescent="0.2">
      <c r="A332" s="823"/>
      <c r="B332" s="706"/>
      <c r="C332" s="707"/>
      <c r="D332" s="825" t="s">
        <v>537</v>
      </c>
      <c r="E332" s="689"/>
      <c r="F332" s="592"/>
      <c r="G332" s="689"/>
      <c r="H332" s="598"/>
      <c r="K332" s="665">
        <f t="shared" si="6"/>
        <v>0</v>
      </c>
    </row>
    <row r="333" spans="1:11" s="343" customFormat="1" ht="12.75" hidden="1" customHeight="1" x14ac:dyDescent="0.2">
      <c r="A333" s="823"/>
      <c r="B333" s="706"/>
      <c r="C333" s="707"/>
      <c r="D333" s="825" t="s">
        <v>538</v>
      </c>
      <c r="E333" s="689"/>
      <c r="F333" s="592"/>
      <c r="G333" s="689"/>
      <c r="H333" s="598"/>
      <c r="K333" s="665">
        <f t="shared" si="6"/>
        <v>0</v>
      </c>
    </row>
    <row r="334" spans="1:11" s="343" customFormat="1" ht="12.75" hidden="1" customHeight="1" x14ac:dyDescent="0.2">
      <c r="A334" s="823"/>
      <c r="B334" s="706"/>
      <c r="C334" s="707"/>
      <c r="D334" s="825" t="s">
        <v>539</v>
      </c>
      <c r="E334" s="689"/>
      <c r="F334" s="592"/>
      <c r="G334" s="689"/>
      <c r="H334" s="598"/>
      <c r="K334" s="665">
        <f t="shared" si="6"/>
        <v>0</v>
      </c>
    </row>
    <row r="335" spans="1:11" s="343" customFormat="1" ht="12.75" hidden="1" customHeight="1" x14ac:dyDescent="0.2">
      <c r="A335" s="823"/>
      <c r="B335" s="706"/>
      <c r="C335" s="707"/>
      <c r="D335" s="825" t="s">
        <v>540</v>
      </c>
      <c r="E335" s="689"/>
      <c r="F335" s="592"/>
      <c r="G335" s="689"/>
      <c r="H335" s="598"/>
      <c r="K335" s="665">
        <f t="shared" si="6"/>
        <v>0</v>
      </c>
    </row>
    <row r="336" spans="1:11" s="343" customFormat="1" ht="12.75" hidden="1" customHeight="1" x14ac:dyDescent="0.2">
      <c r="A336" s="823"/>
      <c r="B336" s="706"/>
      <c r="C336" s="707"/>
      <c r="D336" s="825" t="s">
        <v>547</v>
      </c>
      <c r="E336" s="689"/>
      <c r="F336" s="592"/>
      <c r="G336" s="689"/>
      <c r="H336" s="598"/>
      <c r="I336" s="584"/>
      <c r="K336" s="665">
        <f t="shared" si="6"/>
        <v>0</v>
      </c>
    </row>
    <row r="337" spans="1:11" s="343" customFormat="1" ht="12.75" hidden="1" customHeight="1" x14ac:dyDescent="0.2">
      <c r="A337" s="823"/>
      <c r="B337" s="706"/>
      <c r="C337" s="707"/>
      <c r="D337" s="827" t="s">
        <v>550</v>
      </c>
      <c r="E337" s="689"/>
      <c r="F337" s="592"/>
      <c r="G337" s="689"/>
      <c r="H337" s="598"/>
      <c r="K337" s="665">
        <f t="shared" si="6"/>
        <v>0</v>
      </c>
    </row>
    <row r="338" spans="1:11" s="343" customFormat="1" ht="12.75" customHeight="1" x14ac:dyDescent="0.2">
      <c r="A338" s="563">
        <f>A328+1</f>
        <v>35</v>
      </c>
      <c r="B338" s="575">
        <v>4041</v>
      </c>
      <c r="C338" s="576" t="s">
        <v>333</v>
      </c>
      <c r="D338" s="599" t="str">
        <f>$D$14</f>
        <v>FTE  Sep 2026</v>
      </c>
      <c r="E338" s="567">
        <f>'4041'!$J$124</f>
        <v>66236</v>
      </c>
      <c r="F338" s="577"/>
      <c r="G338" s="567">
        <f>SUBTOTAL(109,E338:F348)</f>
        <v>66236</v>
      </c>
      <c r="H338" s="598"/>
      <c r="K338" s="665">
        <f t="shared" si="6"/>
        <v>66236</v>
      </c>
    </row>
    <row r="339" spans="1:11" s="343" customFormat="1" ht="12.75" hidden="1" customHeight="1" x14ac:dyDescent="0.2">
      <c r="A339" s="563"/>
      <c r="B339" s="575"/>
      <c r="C339" s="576"/>
      <c r="D339" s="579" t="s">
        <v>535</v>
      </c>
      <c r="E339" s="567"/>
      <c r="F339" s="577"/>
      <c r="G339" s="567"/>
      <c r="H339" s="598"/>
      <c r="K339" s="665">
        <f t="shared" si="6"/>
        <v>0</v>
      </c>
    </row>
    <row r="340" spans="1:11" s="343" customFormat="1" ht="12.75" hidden="1" customHeight="1" x14ac:dyDescent="0.2">
      <c r="A340" s="563"/>
      <c r="B340" s="575"/>
      <c r="C340" s="576"/>
      <c r="D340" s="580" t="s">
        <v>536</v>
      </c>
      <c r="E340" s="567"/>
      <c r="F340" s="577"/>
      <c r="G340" s="567"/>
      <c r="H340" s="598"/>
      <c r="I340" s="590"/>
      <c r="K340" s="665">
        <f t="shared" si="6"/>
        <v>0</v>
      </c>
    </row>
    <row r="341" spans="1:11" s="343" customFormat="1" ht="12.75" hidden="1" customHeight="1" x14ac:dyDescent="0.2">
      <c r="A341" s="563"/>
      <c r="B341" s="575"/>
      <c r="C341" s="576"/>
      <c r="D341" s="580" t="s">
        <v>548</v>
      </c>
      <c r="E341" s="567"/>
      <c r="F341" s="577"/>
      <c r="G341" s="567"/>
      <c r="H341" s="598"/>
      <c r="I341" s="590"/>
      <c r="K341" s="665">
        <f t="shared" si="6"/>
        <v>0</v>
      </c>
    </row>
    <row r="342" spans="1:11" s="343" customFormat="1" ht="12.75" hidden="1" customHeight="1" x14ac:dyDescent="0.2">
      <c r="A342" s="563"/>
      <c r="B342" s="575"/>
      <c r="C342" s="576"/>
      <c r="D342" s="579" t="s">
        <v>537</v>
      </c>
      <c r="E342" s="567"/>
      <c r="F342" s="577"/>
      <c r="G342" s="567"/>
      <c r="H342" s="598"/>
      <c r="K342" s="665">
        <f t="shared" si="6"/>
        <v>0</v>
      </c>
    </row>
    <row r="343" spans="1:11" s="343" customFormat="1" ht="12.75" hidden="1" customHeight="1" x14ac:dyDescent="0.2">
      <c r="A343" s="563"/>
      <c r="B343" s="575"/>
      <c r="C343" s="576"/>
      <c r="D343" s="579" t="s">
        <v>538</v>
      </c>
      <c r="E343" s="567"/>
      <c r="F343" s="577"/>
      <c r="G343" s="567"/>
      <c r="H343" s="598"/>
      <c r="K343" s="665">
        <f t="shared" si="6"/>
        <v>0</v>
      </c>
    </row>
    <row r="344" spans="1:11" s="343" customFormat="1" ht="12.75" hidden="1" customHeight="1" x14ac:dyDescent="0.2">
      <c r="A344" s="563"/>
      <c r="B344" s="575"/>
      <c r="C344" s="576"/>
      <c r="D344" s="579" t="s">
        <v>539</v>
      </c>
      <c r="E344" s="567"/>
      <c r="F344" s="577"/>
      <c r="G344" s="567"/>
      <c r="H344" s="598"/>
      <c r="I344" s="590"/>
      <c r="K344" s="665">
        <f t="shared" si="6"/>
        <v>0</v>
      </c>
    </row>
    <row r="345" spans="1:11" s="343" customFormat="1" ht="12.75" hidden="1" customHeight="1" x14ac:dyDescent="0.2">
      <c r="A345" s="563"/>
      <c r="B345" s="575"/>
      <c r="C345" s="576"/>
      <c r="D345" s="579" t="s">
        <v>540</v>
      </c>
      <c r="E345" s="567"/>
      <c r="F345" s="577"/>
      <c r="G345" s="567"/>
      <c r="H345" s="598"/>
      <c r="I345" s="587"/>
      <c r="K345" s="665">
        <f t="shared" si="6"/>
        <v>0</v>
      </c>
    </row>
    <row r="346" spans="1:11" s="343" customFormat="1" ht="12.75" hidden="1" customHeight="1" x14ac:dyDescent="0.2">
      <c r="A346" s="563"/>
      <c r="B346" s="575"/>
      <c r="C346" s="576"/>
      <c r="D346" s="579" t="s">
        <v>555</v>
      </c>
      <c r="E346" s="567"/>
      <c r="F346" s="577"/>
      <c r="G346" s="567"/>
      <c r="H346" s="598"/>
      <c r="I346" s="584"/>
      <c r="K346" s="665">
        <f t="shared" si="6"/>
        <v>0</v>
      </c>
    </row>
    <row r="347" spans="1:11" s="343" customFormat="1" ht="12.75" hidden="1" customHeight="1" x14ac:dyDescent="0.2">
      <c r="A347" s="563"/>
      <c r="B347" s="575"/>
      <c r="C347" s="576"/>
      <c r="D347" s="579" t="s">
        <v>547</v>
      </c>
      <c r="E347" s="567"/>
      <c r="F347" s="577"/>
      <c r="G347" s="567"/>
      <c r="H347" s="598"/>
      <c r="K347" s="665">
        <f t="shared" si="6"/>
        <v>0</v>
      </c>
    </row>
    <row r="348" spans="1:11" s="343" customFormat="1" ht="12.75" hidden="1" customHeight="1" x14ac:dyDescent="0.2">
      <c r="A348" s="563"/>
      <c r="B348" s="575"/>
      <c r="C348" s="576"/>
      <c r="D348" s="579" t="s">
        <v>550</v>
      </c>
      <c r="E348" s="567"/>
      <c r="F348" s="577"/>
      <c r="G348" s="567"/>
      <c r="H348" s="598"/>
      <c r="K348" s="665">
        <f t="shared" si="6"/>
        <v>0</v>
      </c>
    </row>
    <row r="349" spans="1:11" s="343" customFormat="1" ht="12.75" customHeight="1" x14ac:dyDescent="0.2">
      <c r="A349" s="823">
        <f>A338+1</f>
        <v>36</v>
      </c>
      <c r="B349" s="318">
        <v>4050</v>
      </c>
      <c r="C349" s="319" t="s">
        <v>334</v>
      </c>
      <c r="D349" s="824" t="str">
        <f>$D$14</f>
        <v>FTE  Sep 2026</v>
      </c>
      <c r="E349" s="689">
        <f>'4050'!$J$124</f>
        <v>462214.15</v>
      </c>
      <c r="F349" s="592"/>
      <c r="G349" s="689">
        <f>SUBTOTAL(109,E349:F355)</f>
        <v>462214.15</v>
      </c>
      <c r="H349" s="598"/>
      <c r="K349" s="665">
        <f t="shared" si="6"/>
        <v>462214.15</v>
      </c>
    </row>
    <row r="350" spans="1:11" s="343" customFormat="1" ht="12.75" hidden="1" customHeight="1" x14ac:dyDescent="0.2">
      <c r="A350" s="823"/>
      <c r="B350" s="318"/>
      <c r="C350" s="319"/>
      <c r="D350" s="825" t="s">
        <v>551</v>
      </c>
      <c r="E350" s="689"/>
      <c r="F350" s="592"/>
      <c r="G350" s="689"/>
      <c r="H350" s="598"/>
      <c r="I350" s="590"/>
      <c r="K350" s="665">
        <f t="shared" si="6"/>
        <v>0</v>
      </c>
    </row>
    <row r="351" spans="1:11" s="343" customFormat="1" ht="12.75" hidden="1" customHeight="1" x14ac:dyDescent="0.2">
      <c r="A351" s="823"/>
      <c r="B351" s="318"/>
      <c r="C351" s="319"/>
      <c r="D351" s="825" t="s">
        <v>536</v>
      </c>
      <c r="E351" s="689"/>
      <c r="F351" s="592"/>
      <c r="G351" s="689"/>
      <c r="H351" s="598"/>
      <c r="I351" s="590"/>
      <c r="K351" s="665">
        <f t="shared" si="6"/>
        <v>0</v>
      </c>
    </row>
    <row r="352" spans="1:11" s="343" customFormat="1" ht="12.75" hidden="1" customHeight="1" x14ac:dyDescent="0.2">
      <c r="A352" s="823"/>
      <c r="B352" s="706"/>
      <c r="C352" s="707"/>
      <c r="D352" s="825" t="s">
        <v>538</v>
      </c>
      <c r="E352" s="689"/>
      <c r="F352" s="592"/>
      <c r="G352" s="689"/>
      <c r="H352" s="598"/>
      <c r="K352" s="665">
        <f t="shared" si="6"/>
        <v>0</v>
      </c>
    </row>
    <row r="353" spans="1:11" s="343" customFormat="1" ht="12.75" hidden="1" customHeight="1" x14ac:dyDescent="0.2">
      <c r="A353" s="823"/>
      <c r="B353" s="706"/>
      <c r="C353" s="707"/>
      <c r="D353" s="825" t="s">
        <v>539</v>
      </c>
      <c r="E353" s="689"/>
      <c r="F353" s="592"/>
      <c r="G353" s="689"/>
      <c r="H353" s="598"/>
      <c r="K353" s="665">
        <f t="shared" si="6"/>
        <v>0</v>
      </c>
    </row>
    <row r="354" spans="1:11" s="343" customFormat="1" ht="12.75" hidden="1" customHeight="1" x14ac:dyDescent="0.2">
      <c r="A354" s="823"/>
      <c r="B354" s="706"/>
      <c r="C354" s="707"/>
      <c r="D354" s="825" t="s">
        <v>540</v>
      </c>
      <c r="E354" s="689"/>
      <c r="F354" s="592"/>
      <c r="G354" s="689"/>
      <c r="H354" s="598"/>
      <c r="K354" s="665">
        <f t="shared" si="6"/>
        <v>0</v>
      </c>
    </row>
    <row r="355" spans="1:11" s="343" customFormat="1" ht="12.75" hidden="1" customHeight="1" x14ac:dyDescent="0.2">
      <c r="A355" s="823"/>
      <c r="B355" s="706"/>
      <c r="C355" s="707"/>
      <c r="D355" s="827" t="s">
        <v>550</v>
      </c>
      <c r="E355" s="689"/>
      <c r="F355" s="592"/>
      <c r="G355" s="689"/>
      <c r="H355" s="598"/>
      <c r="K355" s="665">
        <f t="shared" si="6"/>
        <v>0</v>
      </c>
    </row>
    <row r="356" spans="1:11" s="343" customFormat="1" ht="12.75" customHeight="1" x14ac:dyDescent="0.2">
      <c r="A356" s="563">
        <f>A349+1</f>
        <v>37</v>
      </c>
      <c r="B356" s="575">
        <v>4051</v>
      </c>
      <c r="C356" s="576" t="s">
        <v>335</v>
      </c>
      <c r="D356" s="599" t="str">
        <f>$D$14</f>
        <v>FTE  Sep 2026</v>
      </c>
      <c r="E356" s="567">
        <f>'4051'!$J$124</f>
        <v>455499.59</v>
      </c>
      <c r="F356" s="577"/>
      <c r="G356" s="567">
        <f>SUBTOTAL(109,E356:F364)</f>
        <v>455499.59</v>
      </c>
      <c r="H356" s="598"/>
      <c r="K356" s="665">
        <f t="shared" si="6"/>
        <v>455499.59</v>
      </c>
    </row>
    <row r="357" spans="1:11" s="343" customFormat="1" ht="12.75" hidden="1" customHeight="1" x14ac:dyDescent="0.2">
      <c r="A357" s="563"/>
      <c r="B357" s="575"/>
      <c r="C357" s="576"/>
      <c r="D357" s="579" t="s">
        <v>535</v>
      </c>
      <c r="E357" s="567"/>
      <c r="F357" s="577"/>
      <c r="G357" s="567"/>
      <c r="H357" s="598"/>
      <c r="I357" s="584"/>
      <c r="K357" s="665">
        <f t="shared" si="6"/>
        <v>0</v>
      </c>
    </row>
    <row r="358" spans="1:11" s="343" customFormat="1" ht="12.75" hidden="1" customHeight="1" x14ac:dyDescent="0.2">
      <c r="A358" s="563"/>
      <c r="B358" s="575"/>
      <c r="C358" s="576"/>
      <c r="D358" s="579" t="s">
        <v>536</v>
      </c>
      <c r="E358" s="567"/>
      <c r="F358" s="577"/>
      <c r="G358" s="567"/>
      <c r="H358" s="598"/>
      <c r="K358" s="665">
        <f t="shared" si="6"/>
        <v>0</v>
      </c>
    </row>
    <row r="359" spans="1:11" s="343" customFormat="1" ht="12.75" hidden="1" customHeight="1" x14ac:dyDescent="0.2">
      <c r="A359" s="563"/>
      <c r="B359" s="575"/>
      <c r="C359" s="576"/>
      <c r="D359" s="579" t="s">
        <v>538</v>
      </c>
      <c r="E359" s="567"/>
      <c r="F359" s="577"/>
      <c r="G359" s="567"/>
      <c r="H359" s="598"/>
      <c r="K359" s="665">
        <f t="shared" si="6"/>
        <v>0</v>
      </c>
    </row>
    <row r="360" spans="1:11" s="343" customFormat="1" ht="12.75" hidden="1" customHeight="1" x14ac:dyDescent="0.2">
      <c r="A360" s="563"/>
      <c r="B360" s="575"/>
      <c r="C360" s="576"/>
      <c r="D360" s="579" t="s">
        <v>539</v>
      </c>
      <c r="E360" s="567"/>
      <c r="F360" s="577"/>
      <c r="G360" s="567"/>
      <c r="H360" s="598"/>
      <c r="K360" s="665">
        <f t="shared" si="6"/>
        <v>0</v>
      </c>
    </row>
    <row r="361" spans="1:11" s="343" customFormat="1" ht="12.75" hidden="1" customHeight="1" x14ac:dyDescent="0.2">
      <c r="A361" s="563"/>
      <c r="B361" s="575"/>
      <c r="C361" s="576"/>
      <c r="D361" s="579" t="s">
        <v>540</v>
      </c>
      <c r="E361" s="567"/>
      <c r="F361" s="577"/>
      <c r="G361" s="567"/>
      <c r="H361" s="598"/>
      <c r="K361" s="665">
        <f t="shared" si="6"/>
        <v>0</v>
      </c>
    </row>
    <row r="362" spans="1:11" s="343" customFormat="1" ht="12.75" hidden="1" customHeight="1" x14ac:dyDescent="0.2">
      <c r="A362" s="563"/>
      <c r="B362" s="575"/>
      <c r="C362" s="576"/>
      <c r="D362" s="579" t="s">
        <v>555</v>
      </c>
      <c r="E362" s="567"/>
      <c r="F362" s="577"/>
      <c r="G362" s="567"/>
      <c r="H362" s="598"/>
      <c r="K362" s="665">
        <f t="shared" si="6"/>
        <v>0</v>
      </c>
    </row>
    <row r="363" spans="1:11" s="343" customFormat="1" ht="12.75" hidden="1" customHeight="1" x14ac:dyDescent="0.2">
      <c r="A363" s="563"/>
      <c r="B363" s="575"/>
      <c r="C363" s="576"/>
      <c r="D363" s="579" t="s">
        <v>559</v>
      </c>
      <c r="E363" s="567"/>
      <c r="F363" s="577"/>
      <c r="G363" s="567"/>
      <c r="H363" s="598"/>
      <c r="K363" s="665">
        <f t="shared" si="6"/>
        <v>0</v>
      </c>
    </row>
    <row r="364" spans="1:11" s="343" customFormat="1" ht="12.75" hidden="1" customHeight="1" x14ac:dyDescent="0.2">
      <c r="A364" s="563"/>
      <c r="B364" s="575"/>
      <c r="C364" s="576"/>
      <c r="D364" s="579"/>
      <c r="E364" s="567"/>
      <c r="F364" s="577"/>
      <c r="G364" s="567"/>
      <c r="H364" s="598"/>
      <c r="I364" s="587"/>
      <c r="K364" s="665">
        <f t="shared" ref="K364:K427" si="7">IF(E364&gt;0,E364,F364)</f>
        <v>0</v>
      </c>
    </row>
    <row r="365" spans="1:11" s="343" customFormat="1" ht="12.75" customHeight="1" x14ac:dyDescent="0.2">
      <c r="A365" s="823">
        <f>A356+1</f>
        <v>38</v>
      </c>
      <c r="B365" s="318">
        <v>4061</v>
      </c>
      <c r="C365" s="321" t="s">
        <v>336</v>
      </c>
      <c r="D365" s="824" t="str">
        <f>$D$14</f>
        <v>FTE  Sep 2026</v>
      </c>
      <c r="E365" s="689">
        <f>'4061'!$J$124</f>
        <v>675732.22</v>
      </c>
      <c r="F365" s="592"/>
      <c r="G365" s="689">
        <f>SUBTOTAL(109,E365:F373)</f>
        <v>675732.22</v>
      </c>
      <c r="H365" s="598"/>
      <c r="K365" s="665">
        <f t="shared" si="7"/>
        <v>675732.22</v>
      </c>
    </row>
    <row r="366" spans="1:11" s="343" customFormat="1" ht="12.75" hidden="1" customHeight="1" x14ac:dyDescent="0.2">
      <c r="A366" s="823"/>
      <c r="B366" s="318"/>
      <c r="C366" s="319"/>
      <c r="D366" s="825" t="s">
        <v>551</v>
      </c>
      <c r="E366" s="689"/>
      <c r="F366" s="592"/>
      <c r="G366" s="689"/>
      <c r="H366" s="598"/>
      <c r="K366" s="665">
        <f t="shared" si="7"/>
        <v>0</v>
      </c>
    </row>
    <row r="367" spans="1:11" s="343" customFormat="1" ht="12.75" hidden="1" customHeight="1" x14ac:dyDescent="0.2">
      <c r="A367" s="823"/>
      <c r="B367" s="706"/>
      <c r="C367" s="707"/>
      <c r="D367" s="826" t="s">
        <v>536</v>
      </c>
      <c r="E367" s="689"/>
      <c r="F367" s="592"/>
      <c r="G367" s="689"/>
      <c r="H367" s="598"/>
      <c r="K367" s="665">
        <f t="shared" si="7"/>
        <v>0</v>
      </c>
    </row>
    <row r="368" spans="1:11" s="343" customFormat="1" ht="12.75" hidden="1" customHeight="1" x14ac:dyDescent="0.2">
      <c r="A368" s="823"/>
      <c r="B368" s="318"/>
      <c r="C368" s="319"/>
      <c r="D368" s="825" t="s">
        <v>535</v>
      </c>
      <c r="E368" s="689"/>
      <c r="F368" s="592"/>
      <c r="G368" s="689"/>
      <c r="H368" s="598"/>
      <c r="K368" s="665">
        <f t="shared" si="7"/>
        <v>0</v>
      </c>
    </row>
    <row r="369" spans="1:11" s="343" customFormat="1" ht="12.75" hidden="1" customHeight="1" x14ac:dyDescent="0.2">
      <c r="A369" s="823"/>
      <c r="B369" s="318"/>
      <c r="C369" s="319"/>
      <c r="D369" s="825" t="s">
        <v>537</v>
      </c>
      <c r="E369" s="689"/>
      <c r="F369" s="592"/>
      <c r="G369" s="689"/>
      <c r="H369" s="598"/>
      <c r="K369" s="665">
        <f t="shared" si="7"/>
        <v>0</v>
      </c>
    </row>
    <row r="370" spans="1:11" s="343" customFormat="1" ht="12.75" hidden="1" customHeight="1" x14ac:dyDescent="0.2">
      <c r="A370" s="823"/>
      <c r="B370" s="706"/>
      <c r="C370" s="707"/>
      <c r="D370" s="825" t="s">
        <v>538</v>
      </c>
      <c r="E370" s="689"/>
      <c r="F370" s="592"/>
      <c r="G370" s="689"/>
      <c r="H370" s="598"/>
      <c r="K370" s="665">
        <f t="shared" si="7"/>
        <v>0</v>
      </c>
    </row>
    <row r="371" spans="1:11" s="343" customFormat="1" ht="12.75" hidden="1" customHeight="1" x14ac:dyDescent="0.2">
      <c r="A371" s="823"/>
      <c r="B371" s="706"/>
      <c r="C371" s="707"/>
      <c r="D371" s="825" t="s">
        <v>539</v>
      </c>
      <c r="E371" s="689"/>
      <c r="F371" s="592"/>
      <c r="G371" s="689"/>
      <c r="H371" s="598"/>
      <c r="K371" s="665">
        <f t="shared" si="7"/>
        <v>0</v>
      </c>
    </row>
    <row r="372" spans="1:11" s="343" customFormat="1" ht="12.75" hidden="1" customHeight="1" x14ac:dyDescent="0.2">
      <c r="A372" s="823"/>
      <c r="B372" s="706"/>
      <c r="C372" s="707"/>
      <c r="D372" s="825" t="s">
        <v>540</v>
      </c>
      <c r="E372" s="689"/>
      <c r="F372" s="592"/>
      <c r="G372" s="689"/>
      <c r="H372" s="598"/>
      <c r="K372" s="665">
        <f t="shared" si="7"/>
        <v>0</v>
      </c>
    </row>
    <row r="373" spans="1:11" s="343" customFormat="1" ht="12.75" hidden="1" customHeight="1" x14ac:dyDescent="0.2">
      <c r="A373" s="823"/>
      <c r="B373" s="706"/>
      <c r="C373" s="707"/>
      <c r="D373" s="827" t="s">
        <v>570</v>
      </c>
      <c r="E373" s="830"/>
      <c r="F373" s="592"/>
      <c r="G373" s="689"/>
      <c r="H373" s="598"/>
      <c r="I373" s="584"/>
      <c r="K373" s="665">
        <f t="shared" si="7"/>
        <v>0</v>
      </c>
    </row>
    <row r="374" spans="1:11" s="343" customFormat="1" ht="12.75" hidden="1" customHeight="1" x14ac:dyDescent="0.2">
      <c r="A374" s="563"/>
      <c r="B374" s="575">
        <v>4080</v>
      </c>
      <c r="C374" s="576" t="s">
        <v>337</v>
      </c>
      <c r="D374" s="599" t="str">
        <f>$D$14</f>
        <v>FTE  Sep 2026</v>
      </c>
      <c r="E374" s="567">
        <v>0</v>
      </c>
      <c r="F374" s="577"/>
      <c r="G374" s="567">
        <f>SUBTOTAL(109,E374:F380)</f>
        <v>0</v>
      </c>
      <c r="H374" s="598"/>
      <c r="I374" s="338"/>
      <c r="K374" s="665">
        <f t="shared" si="7"/>
        <v>0</v>
      </c>
    </row>
    <row r="375" spans="1:11" s="343" customFormat="1" ht="12.75" hidden="1" customHeight="1" x14ac:dyDescent="0.2">
      <c r="A375" s="563"/>
      <c r="B375" s="575"/>
      <c r="C375" s="576"/>
      <c r="D375" s="579" t="s">
        <v>535</v>
      </c>
      <c r="E375" s="567"/>
      <c r="F375" s="577"/>
      <c r="G375" s="567"/>
      <c r="H375" s="598"/>
      <c r="K375" s="665">
        <f t="shared" si="7"/>
        <v>0</v>
      </c>
    </row>
    <row r="376" spans="1:11" s="343" customFormat="1" ht="12.75" hidden="1" customHeight="1" x14ac:dyDescent="0.2">
      <c r="A376" s="563"/>
      <c r="B376" s="575"/>
      <c r="C376" s="576"/>
      <c r="D376" s="579" t="s">
        <v>536</v>
      </c>
      <c r="E376" s="567"/>
      <c r="F376" s="577"/>
      <c r="G376" s="567"/>
      <c r="H376" s="598"/>
      <c r="K376" s="665">
        <f t="shared" si="7"/>
        <v>0</v>
      </c>
    </row>
    <row r="377" spans="1:11" s="343" customFormat="1" ht="12.75" hidden="1" customHeight="1" x14ac:dyDescent="0.2">
      <c r="A377" s="563"/>
      <c r="B377" s="575"/>
      <c r="C377" s="576"/>
      <c r="D377" s="579" t="s">
        <v>538</v>
      </c>
      <c r="E377" s="567"/>
      <c r="F377" s="577"/>
      <c r="G377" s="567"/>
      <c r="H377" s="598"/>
      <c r="I377" s="590"/>
      <c r="K377" s="665">
        <f t="shared" si="7"/>
        <v>0</v>
      </c>
    </row>
    <row r="378" spans="1:11" s="343" customFormat="1" ht="12.75" hidden="1" customHeight="1" x14ac:dyDescent="0.2">
      <c r="A378" s="563"/>
      <c r="B378" s="575"/>
      <c r="C378" s="576"/>
      <c r="D378" s="579" t="s">
        <v>539</v>
      </c>
      <c r="E378" s="567"/>
      <c r="F378" s="577"/>
      <c r="G378" s="567"/>
      <c r="H378" s="598"/>
      <c r="K378" s="665">
        <f t="shared" si="7"/>
        <v>0</v>
      </c>
    </row>
    <row r="379" spans="1:11" s="343" customFormat="1" ht="12.75" hidden="1" customHeight="1" x14ac:dyDescent="0.2">
      <c r="A379" s="563"/>
      <c r="B379" s="575"/>
      <c r="C379" s="576"/>
      <c r="D379" s="579" t="s">
        <v>540</v>
      </c>
      <c r="E379" s="567"/>
      <c r="F379" s="577"/>
      <c r="G379" s="567"/>
      <c r="H379" s="598"/>
      <c r="K379" s="665">
        <f t="shared" si="7"/>
        <v>0</v>
      </c>
    </row>
    <row r="380" spans="1:11" s="343" customFormat="1" ht="12.75" hidden="1" customHeight="1" x14ac:dyDescent="0.2">
      <c r="A380" s="563"/>
      <c r="B380" s="575"/>
      <c r="C380" s="576"/>
      <c r="D380" s="579" t="s">
        <v>550</v>
      </c>
      <c r="E380" s="567"/>
      <c r="F380" s="577"/>
      <c r="G380" s="567"/>
      <c r="H380" s="598"/>
      <c r="I380" s="590"/>
      <c r="K380" s="665">
        <f t="shared" si="7"/>
        <v>0</v>
      </c>
    </row>
    <row r="381" spans="1:11" s="343" customFormat="1" ht="12.75" customHeight="1" x14ac:dyDescent="0.2">
      <c r="A381" s="563">
        <f>1+A365</f>
        <v>39</v>
      </c>
      <c r="B381" s="606">
        <v>4081</v>
      </c>
      <c r="C381" s="607" t="s">
        <v>338</v>
      </c>
      <c r="D381" s="599" t="str">
        <f>$D$14</f>
        <v>FTE  Sep 2026</v>
      </c>
      <c r="E381" s="567">
        <f>'4081'!$J$124</f>
        <v>81947.66</v>
      </c>
      <c r="F381" s="577"/>
      <c r="G381" s="567">
        <f>SUBTOTAL(109,E381:F389)</f>
        <v>81947.66</v>
      </c>
      <c r="H381" s="598"/>
      <c r="K381" s="665">
        <f t="shared" si="7"/>
        <v>81947.66</v>
      </c>
    </row>
    <row r="382" spans="1:11" s="343" customFormat="1" ht="12.75" hidden="1" customHeight="1" x14ac:dyDescent="0.2">
      <c r="A382" s="563"/>
      <c r="B382" s="606"/>
      <c r="C382" s="607"/>
      <c r="D382" s="579" t="s">
        <v>551</v>
      </c>
      <c r="E382" s="567"/>
      <c r="F382" s="577"/>
      <c r="G382" s="567"/>
      <c r="H382" s="598"/>
      <c r="I382" s="587"/>
      <c r="K382" s="665">
        <f t="shared" si="7"/>
        <v>0</v>
      </c>
    </row>
    <row r="383" spans="1:11" s="343" customFormat="1" ht="12.75" hidden="1" customHeight="1" x14ac:dyDescent="0.2">
      <c r="A383" s="563"/>
      <c r="B383" s="575"/>
      <c r="C383" s="576"/>
      <c r="D383" s="580" t="s">
        <v>536</v>
      </c>
      <c r="E383" s="567"/>
      <c r="F383" s="577"/>
      <c r="G383" s="567"/>
      <c r="H383" s="598"/>
      <c r="I383" s="587"/>
      <c r="K383" s="665">
        <f t="shared" si="7"/>
        <v>0</v>
      </c>
    </row>
    <row r="384" spans="1:11" s="343" customFormat="1" ht="12.75" hidden="1" customHeight="1" x14ac:dyDescent="0.2">
      <c r="A384" s="563"/>
      <c r="B384" s="606"/>
      <c r="C384" s="607"/>
      <c r="D384" s="579" t="s">
        <v>537</v>
      </c>
      <c r="E384" s="567"/>
      <c r="F384" s="577"/>
      <c r="G384" s="567"/>
      <c r="H384" s="598"/>
      <c r="K384" s="665">
        <f t="shared" si="7"/>
        <v>0</v>
      </c>
    </row>
    <row r="385" spans="1:12" s="343" customFormat="1" ht="12.75" hidden="1" customHeight="1" x14ac:dyDescent="0.2">
      <c r="A385" s="563"/>
      <c r="B385" s="606"/>
      <c r="C385" s="607"/>
      <c r="D385" s="579" t="s">
        <v>538</v>
      </c>
      <c r="E385" s="567"/>
      <c r="F385" s="577"/>
      <c r="G385" s="567"/>
      <c r="H385" s="598"/>
      <c r="K385" s="665">
        <f t="shared" si="7"/>
        <v>0</v>
      </c>
    </row>
    <row r="386" spans="1:12" s="343" customFormat="1" ht="12.75" hidden="1" customHeight="1" x14ac:dyDescent="0.2">
      <c r="A386" s="563"/>
      <c r="B386" s="606"/>
      <c r="C386" s="607"/>
      <c r="D386" s="579" t="s">
        <v>539</v>
      </c>
      <c r="E386" s="567"/>
      <c r="F386" s="577"/>
      <c r="G386" s="567"/>
      <c r="H386" s="598"/>
      <c r="K386" s="665">
        <f t="shared" si="7"/>
        <v>0</v>
      </c>
    </row>
    <row r="387" spans="1:12" s="343" customFormat="1" ht="12.75" hidden="1" customHeight="1" x14ac:dyDescent="0.2">
      <c r="A387" s="563"/>
      <c r="B387" s="575"/>
      <c r="C387" s="576"/>
      <c r="D387" s="579" t="s">
        <v>540</v>
      </c>
      <c r="E387" s="567"/>
      <c r="F387" s="577"/>
      <c r="G387" s="567"/>
      <c r="H387" s="598"/>
      <c r="K387" s="665">
        <f t="shared" si="7"/>
        <v>0</v>
      </c>
    </row>
    <row r="388" spans="1:12" s="343" customFormat="1" ht="12.75" hidden="1" customHeight="1" x14ac:dyDescent="0.2">
      <c r="A388" s="563"/>
      <c r="B388" s="575"/>
      <c r="C388" s="576"/>
      <c r="D388" s="579" t="s">
        <v>547</v>
      </c>
      <c r="E388" s="567"/>
      <c r="F388" s="577"/>
      <c r="G388" s="567"/>
      <c r="H388" s="598"/>
      <c r="K388" s="665">
        <f t="shared" si="7"/>
        <v>0</v>
      </c>
    </row>
    <row r="389" spans="1:12" s="343" customFormat="1" ht="12.75" hidden="1" customHeight="1" x14ac:dyDescent="0.2">
      <c r="A389" s="563"/>
      <c r="B389" s="575"/>
      <c r="C389" s="576"/>
      <c r="D389" s="601" t="s">
        <v>550</v>
      </c>
      <c r="E389" s="567"/>
      <c r="F389" s="577"/>
      <c r="G389" s="567"/>
      <c r="H389" s="598"/>
      <c r="K389" s="665">
        <f t="shared" si="7"/>
        <v>0</v>
      </c>
    </row>
    <row r="390" spans="1:12" s="343" customFormat="1" ht="12.75" customHeight="1" x14ac:dyDescent="0.2">
      <c r="A390" s="823">
        <f>1+A381</f>
        <v>40</v>
      </c>
      <c r="B390" s="706">
        <v>4090</v>
      </c>
      <c r="C390" s="707" t="s">
        <v>571</v>
      </c>
      <c r="D390" s="824" t="str">
        <f>$D$14</f>
        <v>FTE  Sep 2026</v>
      </c>
      <c r="E390" s="689">
        <f>'4090'!$J$124</f>
        <v>221237.29</v>
      </c>
      <c r="F390" s="592"/>
      <c r="G390" s="689">
        <f>SUBTOTAL(109,E390:F399)</f>
        <v>221237.29</v>
      </c>
      <c r="H390" s="598"/>
      <c r="K390" s="665">
        <f t="shared" si="7"/>
        <v>221237.29</v>
      </c>
    </row>
    <row r="391" spans="1:12" s="343" customFormat="1" ht="12.75" hidden="1" customHeight="1" x14ac:dyDescent="0.2">
      <c r="A391" s="823"/>
      <c r="B391" s="706"/>
      <c r="C391" s="707"/>
      <c r="D391" s="825" t="s">
        <v>535</v>
      </c>
      <c r="E391" s="689"/>
      <c r="F391" s="592"/>
      <c r="G391" s="689"/>
      <c r="H391" s="598"/>
      <c r="K391" s="665">
        <f t="shared" si="7"/>
        <v>0</v>
      </c>
      <c r="L391" s="595"/>
    </row>
    <row r="392" spans="1:12" s="343" customFormat="1" ht="12.75" hidden="1" customHeight="1" x14ac:dyDescent="0.2">
      <c r="A392" s="823"/>
      <c r="B392" s="706"/>
      <c r="C392" s="707"/>
      <c r="D392" s="826" t="s">
        <v>572</v>
      </c>
      <c r="E392" s="689"/>
      <c r="F392" s="592"/>
      <c r="G392" s="689"/>
      <c r="H392" s="598"/>
      <c r="K392" s="665">
        <f t="shared" si="7"/>
        <v>0</v>
      </c>
    </row>
    <row r="393" spans="1:12" s="343" customFormat="1" ht="12.75" hidden="1" customHeight="1" x14ac:dyDescent="0.2">
      <c r="A393" s="823"/>
      <c r="B393" s="706"/>
      <c r="C393" s="707"/>
      <c r="D393" s="826" t="s">
        <v>548</v>
      </c>
      <c r="E393" s="689"/>
      <c r="F393" s="592"/>
      <c r="G393" s="689"/>
      <c r="H393" s="598"/>
      <c r="I393" s="590"/>
      <c r="K393" s="665">
        <f t="shared" si="7"/>
        <v>0</v>
      </c>
    </row>
    <row r="394" spans="1:12" s="343" customFormat="1" ht="12.75" hidden="1" customHeight="1" x14ac:dyDescent="0.2">
      <c r="A394" s="823"/>
      <c r="B394" s="706"/>
      <c r="C394" s="707"/>
      <c r="D394" s="825" t="s">
        <v>537</v>
      </c>
      <c r="E394" s="689"/>
      <c r="F394" s="592"/>
      <c r="G394" s="689"/>
      <c r="H394" s="598"/>
      <c r="K394" s="665">
        <f t="shared" si="7"/>
        <v>0</v>
      </c>
    </row>
    <row r="395" spans="1:12" s="343" customFormat="1" ht="12.75" hidden="1" customHeight="1" x14ac:dyDescent="0.2">
      <c r="A395" s="823"/>
      <c r="B395" s="706"/>
      <c r="C395" s="707"/>
      <c r="D395" s="825" t="s">
        <v>538</v>
      </c>
      <c r="E395" s="689"/>
      <c r="F395" s="592"/>
      <c r="G395" s="689"/>
      <c r="H395" s="598"/>
      <c r="K395" s="665">
        <f t="shared" si="7"/>
        <v>0</v>
      </c>
    </row>
    <row r="396" spans="1:12" s="343" customFormat="1" ht="12.75" hidden="1" customHeight="1" x14ac:dyDescent="0.2">
      <c r="A396" s="823"/>
      <c r="B396" s="706"/>
      <c r="C396" s="707"/>
      <c r="D396" s="825" t="s">
        <v>539</v>
      </c>
      <c r="E396" s="689"/>
      <c r="F396" s="592"/>
      <c r="G396" s="689"/>
      <c r="H396" s="598"/>
      <c r="K396" s="665">
        <f t="shared" si="7"/>
        <v>0</v>
      </c>
    </row>
    <row r="397" spans="1:12" s="343" customFormat="1" ht="12.75" hidden="1" customHeight="1" x14ac:dyDescent="0.2">
      <c r="A397" s="823"/>
      <c r="B397" s="706"/>
      <c r="C397" s="707"/>
      <c r="D397" s="825" t="s">
        <v>540</v>
      </c>
      <c r="E397" s="689"/>
      <c r="F397" s="592"/>
      <c r="G397" s="689"/>
      <c r="H397" s="598"/>
      <c r="I397" s="587"/>
      <c r="K397" s="665">
        <f t="shared" si="7"/>
        <v>0</v>
      </c>
    </row>
    <row r="398" spans="1:12" s="343" customFormat="1" ht="12.75" hidden="1" customHeight="1" x14ac:dyDescent="0.2">
      <c r="A398" s="823"/>
      <c r="B398" s="706"/>
      <c r="C398" s="707"/>
      <c r="D398" s="825" t="s">
        <v>547</v>
      </c>
      <c r="E398" s="689"/>
      <c r="F398" s="592"/>
      <c r="G398" s="689"/>
      <c r="H398" s="598"/>
      <c r="I398" s="584"/>
      <c r="K398" s="665">
        <f t="shared" si="7"/>
        <v>0</v>
      </c>
    </row>
    <row r="399" spans="1:12" s="343" customFormat="1" ht="12.75" hidden="1" customHeight="1" x14ac:dyDescent="0.2">
      <c r="A399" s="823"/>
      <c r="B399" s="706"/>
      <c r="C399" s="707"/>
      <c r="D399" s="825" t="s">
        <v>596</v>
      </c>
      <c r="E399" s="689"/>
      <c r="F399" s="592">
        <v>0</v>
      </c>
      <c r="G399" s="689"/>
      <c r="H399" s="598"/>
      <c r="I399" s="587"/>
      <c r="K399" s="665">
        <f t="shared" si="7"/>
        <v>0</v>
      </c>
    </row>
    <row r="400" spans="1:12" s="343" customFormat="1" ht="12.75" customHeight="1" x14ac:dyDescent="0.2">
      <c r="A400" s="563">
        <f>1+A390</f>
        <v>41</v>
      </c>
      <c r="B400" s="606">
        <v>4091</v>
      </c>
      <c r="C400" s="607" t="s">
        <v>340</v>
      </c>
      <c r="D400" s="599" t="str">
        <f>$D$14</f>
        <v>FTE  Sep 2026</v>
      </c>
      <c r="E400" s="567">
        <f>'4091'!$J$124</f>
        <v>293781.88</v>
      </c>
      <c r="F400" s="577"/>
      <c r="G400" s="567">
        <f>SUBTOTAL(109,E400:F409)</f>
        <v>293544.45</v>
      </c>
      <c r="H400" s="598"/>
      <c r="K400" s="665">
        <f t="shared" si="7"/>
        <v>293781.88</v>
      </c>
      <c r="L400" s="595"/>
    </row>
    <row r="401" spans="1:13" s="343" customFormat="1" ht="12.75" hidden="1" customHeight="1" x14ac:dyDescent="0.2">
      <c r="A401" s="563"/>
      <c r="B401" s="606"/>
      <c r="C401" s="607"/>
      <c r="D401" s="579" t="s">
        <v>551</v>
      </c>
      <c r="E401" s="567"/>
      <c r="F401" s="577"/>
      <c r="G401" s="567"/>
      <c r="H401" s="598"/>
      <c r="K401" s="665">
        <f t="shared" si="7"/>
        <v>0</v>
      </c>
    </row>
    <row r="402" spans="1:13" s="343" customFormat="1" ht="12.75" hidden="1" customHeight="1" x14ac:dyDescent="0.2">
      <c r="A402" s="563"/>
      <c r="B402" s="575"/>
      <c r="C402" s="576"/>
      <c r="D402" s="580" t="s">
        <v>536</v>
      </c>
      <c r="E402" s="567"/>
      <c r="F402" s="577"/>
      <c r="G402" s="567"/>
      <c r="H402" s="598"/>
      <c r="I402" s="590"/>
      <c r="K402" s="665">
        <f t="shared" si="7"/>
        <v>0</v>
      </c>
    </row>
    <row r="403" spans="1:13" s="343" customFormat="1" ht="12.75" hidden="1" customHeight="1" x14ac:dyDescent="0.2">
      <c r="A403" s="563"/>
      <c r="B403" s="606"/>
      <c r="C403" s="607"/>
      <c r="D403" s="579" t="s">
        <v>537</v>
      </c>
      <c r="E403" s="567"/>
      <c r="F403" s="577"/>
      <c r="G403" s="567"/>
      <c r="H403" s="598"/>
      <c r="I403" s="590"/>
      <c r="K403" s="665">
        <f t="shared" si="7"/>
        <v>0</v>
      </c>
    </row>
    <row r="404" spans="1:13" s="343" customFormat="1" ht="12.75" hidden="1" customHeight="1" x14ac:dyDescent="0.2">
      <c r="A404" s="563"/>
      <c r="B404" s="606"/>
      <c r="C404" s="607"/>
      <c r="D404" s="579" t="s">
        <v>538</v>
      </c>
      <c r="E404" s="567"/>
      <c r="F404" s="577"/>
      <c r="G404" s="567"/>
      <c r="H404" s="598"/>
      <c r="K404" s="665">
        <f t="shared" si="7"/>
        <v>0</v>
      </c>
    </row>
    <row r="405" spans="1:13" s="343" customFormat="1" ht="12.75" hidden="1" customHeight="1" x14ac:dyDescent="0.2">
      <c r="A405" s="563"/>
      <c r="B405" s="606"/>
      <c r="C405" s="607"/>
      <c r="D405" s="579" t="s">
        <v>539</v>
      </c>
      <c r="E405" s="567"/>
      <c r="F405" s="577"/>
      <c r="G405" s="567"/>
      <c r="H405" s="598"/>
      <c r="K405" s="665">
        <f t="shared" si="7"/>
        <v>0</v>
      </c>
    </row>
    <row r="406" spans="1:13" s="343" customFormat="1" ht="12.75" hidden="1" customHeight="1" x14ac:dyDescent="0.2">
      <c r="A406" s="563"/>
      <c r="B406" s="575"/>
      <c r="C406" s="576"/>
      <c r="D406" s="579" t="s">
        <v>540</v>
      </c>
      <c r="E406" s="567"/>
      <c r="F406" s="577"/>
      <c r="G406" s="567"/>
      <c r="H406" s="598"/>
      <c r="K406" s="665">
        <f t="shared" si="7"/>
        <v>0</v>
      </c>
    </row>
    <row r="407" spans="1:13" s="343" customFormat="1" ht="12.75" hidden="1" customHeight="1" x14ac:dyDescent="0.2">
      <c r="A407" s="563"/>
      <c r="B407" s="575"/>
      <c r="C407" s="576"/>
      <c r="D407" s="579" t="s">
        <v>547</v>
      </c>
      <c r="E407" s="567"/>
      <c r="F407" s="577"/>
      <c r="G407" s="567"/>
      <c r="H407" s="598"/>
      <c r="K407" s="665">
        <f t="shared" si="7"/>
        <v>0</v>
      </c>
    </row>
    <row r="408" spans="1:13" s="343" customFormat="1" ht="12.75" hidden="1" customHeight="1" x14ac:dyDescent="0.2">
      <c r="A408" s="563"/>
      <c r="B408" s="575"/>
      <c r="C408" s="576"/>
      <c r="D408" s="601" t="s">
        <v>602</v>
      </c>
      <c r="E408" s="567"/>
      <c r="F408" s="577"/>
      <c r="G408" s="567"/>
      <c r="H408" s="598"/>
      <c r="K408" s="665">
        <f t="shared" si="7"/>
        <v>0</v>
      </c>
    </row>
    <row r="409" spans="1:13" s="343" customFormat="1" x14ac:dyDescent="0.2">
      <c r="A409" s="563"/>
      <c r="B409" s="575"/>
      <c r="C409" s="576"/>
      <c r="D409" s="585" t="s">
        <v>709</v>
      </c>
      <c r="E409" s="567"/>
      <c r="F409" s="577">
        <v>-237.43</v>
      </c>
      <c r="G409" s="567"/>
      <c r="H409" s="598"/>
      <c r="K409" s="665">
        <f t="shared" si="7"/>
        <v>-237.43</v>
      </c>
    </row>
    <row r="410" spans="1:13" s="343" customFormat="1" ht="12.75" customHeight="1" x14ac:dyDescent="0.2">
      <c r="A410" s="823">
        <f>1+A400</f>
        <v>42</v>
      </c>
      <c r="B410" s="706">
        <v>4100</v>
      </c>
      <c r="C410" s="707" t="s">
        <v>356</v>
      </c>
      <c r="D410" s="824" t="str">
        <f>$D$14</f>
        <v>FTE  Sep 2026</v>
      </c>
      <c r="E410" s="689">
        <f>'4100'!$J$124</f>
        <v>359492.69</v>
      </c>
      <c r="F410" s="592"/>
      <c r="G410" s="689">
        <f>SUBTOTAL(109,E410:F418)</f>
        <v>359492.69</v>
      </c>
      <c r="H410" s="598"/>
      <c r="K410" s="665">
        <f t="shared" si="7"/>
        <v>359492.69</v>
      </c>
      <c r="M410" s="595"/>
    </row>
    <row r="411" spans="1:13" s="343" customFormat="1" ht="12.75" hidden="1" customHeight="1" x14ac:dyDescent="0.2">
      <c r="A411" s="823"/>
      <c r="B411" s="706"/>
      <c r="C411" s="707"/>
      <c r="D411" s="825" t="s">
        <v>535</v>
      </c>
      <c r="E411" s="689"/>
      <c r="F411" s="592"/>
      <c r="G411" s="689"/>
      <c r="H411" s="598"/>
      <c r="K411" s="665">
        <f t="shared" si="7"/>
        <v>0</v>
      </c>
    </row>
    <row r="412" spans="1:13" s="343" customFormat="1" ht="12.75" hidden="1" customHeight="1" x14ac:dyDescent="0.2">
      <c r="A412" s="823"/>
      <c r="B412" s="706"/>
      <c r="C412" s="707"/>
      <c r="D412" s="826" t="s">
        <v>536</v>
      </c>
      <c r="E412" s="689"/>
      <c r="F412" s="592"/>
      <c r="G412" s="689"/>
      <c r="H412" s="598"/>
      <c r="I412" s="590"/>
      <c r="K412" s="665">
        <f t="shared" si="7"/>
        <v>0</v>
      </c>
    </row>
    <row r="413" spans="1:13" s="343" customFormat="1" ht="12.75" hidden="1" customHeight="1" x14ac:dyDescent="0.2">
      <c r="A413" s="823"/>
      <c r="B413" s="706"/>
      <c r="C413" s="707"/>
      <c r="D413" s="825" t="s">
        <v>537</v>
      </c>
      <c r="E413" s="689"/>
      <c r="F413" s="592"/>
      <c r="G413" s="689"/>
      <c r="H413" s="598"/>
      <c r="K413" s="665">
        <f t="shared" si="7"/>
        <v>0</v>
      </c>
    </row>
    <row r="414" spans="1:13" s="343" customFormat="1" ht="12.75" hidden="1" customHeight="1" x14ac:dyDescent="0.2">
      <c r="A414" s="823"/>
      <c r="B414" s="706"/>
      <c r="C414" s="707"/>
      <c r="D414" s="825" t="s">
        <v>538</v>
      </c>
      <c r="E414" s="689"/>
      <c r="F414" s="592"/>
      <c r="G414" s="689"/>
      <c r="H414" s="598"/>
      <c r="K414" s="665">
        <f t="shared" si="7"/>
        <v>0</v>
      </c>
    </row>
    <row r="415" spans="1:13" s="343" customFormat="1" ht="12.75" hidden="1" customHeight="1" x14ac:dyDescent="0.2">
      <c r="A415" s="823"/>
      <c r="B415" s="706"/>
      <c r="C415" s="707"/>
      <c r="D415" s="825" t="s">
        <v>539</v>
      </c>
      <c r="E415" s="689"/>
      <c r="F415" s="592"/>
      <c r="G415" s="689"/>
      <c r="H415" s="598"/>
      <c r="K415" s="665">
        <f t="shared" si="7"/>
        <v>0</v>
      </c>
    </row>
    <row r="416" spans="1:13" s="343" customFormat="1" ht="12.75" hidden="1" customHeight="1" x14ac:dyDescent="0.2">
      <c r="A416" s="823"/>
      <c r="B416" s="706"/>
      <c r="C416" s="707"/>
      <c r="D416" s="825" t="s">
        <v>540</v>
      </c>
      <c r="E416" s="689"/>
      <c r="F416" s="592"/>
      <c r="G416" s="689"/>
      <c r="H416" s="598"/>
      <c r="I416" s="587"/>
      <c r="K416" s="665">
        <f t="shared" si="7"/>
        <v>0</v>
      </c>
    </row>
    <row r="417" spans="1:11" s="343" customFormat="1" ht="12.75" hidden="1" customHeight="1" x14ac:dyDescent="0.2">
      <c r="A417" s="823"/>
      <c r="B417" s="706"/>
      <c r="C417" s="707"/>
      <c r="D417" s="825" t="s">
        <v>547</v>
      </c>
      <c r="E417" s="689"/>
      <c r="F417" s="592"/>
      <c r="G417" s="689"/>
      <c r="H417" s="598"/>
      <c r="I417" s="584"/>
      <c r="K417" s="665">
        <f t="shared" si="7"/>
        <v>0</v>
      </c>
    </row>
    <row r="418" spans="1:11" s="343" customFormat="1" ht="12.75" hidden="1" customHeight="1" x14ac:dyDescent="0.2">
      <c r="A418" s="823"/>
      <c r="B418" s="706"/>
      <c r="C418" s="707"/>
      <c r="D418" s="825" t="s">
        <v>550</v>
      </c>
      <c r="E418" s="689"/>
      <c r="F418" s="592"/>
      <c r="G418" s="689"/>
      <c r="H418" s="598"/>
      <c r="K418" s="665">
        <f t="shared" si="7"/>
        <v>0</v>
      </c>
    </row>
    <row r="419" spans="1:11" s="343" customFormat="1" ht="12.75" customHeight="1" x14ac:dyDescent="0.2">
      <c r="A419" s="563">
        <f>1+A410</f>
        <v>43</v>
      </c>
      <c r="B419" s="606">
        <v>4102</v>
      </c>
      <c r="C419" s="607" t="s">
        <v>354</v>
      </c>
      <c r="D419" s="599" t="str">
        <f>$D$14</f>
        <v>FTE  Sep 2026</v>
      </c>
      <c r="E419" s="567">
        <f>'4102'!$J$124</f>
        <v>129374.31</v>
      </c>
      <c r="F419" s="577"/>
      <c r="G419" s="567">
        <f>SUBTOTAL(109,E419:F426)</f>
        <v>129374.31</v>
      </c>
      <c r="H419" s="598"/>
      <c r="K419" s="665">
        <f t="shared" si="7"/>
        <v>129374.31</v>
      </c>
    </row>
    <row r="420" spans="1:11" s="343" customFormat="1" ht="12.75" hidden="1" customHeight="1" x14ac:dyDescent="0.2">
      <c r="A420" s="563"/>
      <c r="B420" s="606"/>
      <c r="C420" s="607"/>
      <c r="D420" s="579" t="s">
        <v>551</v>
      </c>
      <c r="E420" s="567"/>
      <c r="F420" s="577">
        <v>0</v>
      </c>
      <c r="G420" s="567"/>
      <c r="H420" s="598"/>
      <c r="K420" s="665">
        <f t="shared" si="7"/>
        <v>0</v>
      </c>
    </row>
    <row r="421" spans="1:11" s="343" customFormat="1" ht="12.75" hidden="1" customHeight="1" x14ac:dyDescent="0.2">
      <c r="A421" s="563"/>
      <c r="B421" s="575"/>
      <c r="C421" s="576"/>
      <c r="D421" s="580"/>
      <c r="E421" s="604"/>
      <c r="F421" s="577"/>
      <c r="G421" s="567"/>
      <c r="H421" s="598"/>
      <c r="K421" s="665">
        <f t="shared" si="7"/>
        <v>0</v>
      </c>
    </row>
    <row r="422" spans="1:11" s="343" customFormat="1" ht="12.75" hidden="1" customHeight="1" x14ac:dyDescent="0.2">
      <c r="A422" s="563"/>
      <c r="B422" s="606"/>
      <c r="C422" s="607"/>
      <c r="D422" s="580" t="s">
        <v>558</v>
      </c>
      <c r="E422" s="567"/>
      <c r="F422" s="577"/>
      <c r="G422" s="567"/>
      <c r="H422" s="598"/>
      <c r="I422" s="590"/>
      <c r="K422" s="665">
        <f t="shared" si="7"/>
        <v>0</v>
      </c>
    </row>
    <row r="423" spans="1:11" s="343" customFormat="1" ht="12.75" hidden="1" customHeight="1" x14ac:dyDescent="0.2">
      <c r="A423" s="563"/>
      <c r="B423" s="606"/>
      <c r="C423" s="607"/>
      <c r="D423" s="579" t="s">
        <v>538</v>
      </c>
      <c r="E423" s="567"/>
      <c r="F423" s="577"/>
      <c r="G423" s="567"/>
      <c r="H423" s="598"/>
      <c r="K423" s="665">
        <f t="shared" si="7"/>
        <v>0</v>
      </c>
    </row>
    <row r="424" spans="1:11" s="343" customFormat="1" ht="12.75" hidden="1" customHeight="1" x14ac:dyDescent="0.2">
      <c r="A424" s="563"/>
      <c r="B424" s="606"/>
      <c r="C424" s="607"/>
      <c r="D424" s="579" t="s">
        <v>539</v>
      </c>
      <c r="E424" s="567"/>
      <c r="F424" s="577"/>
      <c r="G424" s="567"/>
      <c r="H424" s="598"/>
      <c r="K424" s="665">
        <f t="shared" si="7"/>
        <v>0</v>
      </c>
    </row>
    <row r="425" spans="1:11" s="343" customFormat="1" ht="12.75" hidden="1" customHeight="1" x14ac:dyDescent="0.2">
      <c r="A425" s="563"/>
      <c r="B425" s="575"/>
      <c r="C425" s="576"/>
      <c r="D425" s="579" t="s">
        <v>540</v>
      </c>
      <c r="E425" s="567"/>
      <c r="F425" s="577"/>
      <c r="G425" s="567"/>
      <c r="H425" s="598"/>
      <c r="K425" s="665">
        <f t="shared" si="7"/>
        <v>0</v>
      </c>
    </row>
    <row r="426" spans="1:11" s="343" customFormat="1" ht="12.75" hidden="1" customHeight="1" x14ac:dyDescent="0.2">
      <c r="A426" s="563"/>
      <c r="B426" s="575"/>
      <c r="C426" s="576"/>
      <c r="D426" s="601"/>
      <c r="E426" s="567"/>
      <c r="F426" s="577"/>
      <c r="G426" s="567"/>
      <c r="H426" s="598"/>
      <c r="K426" s="665">
        <f t="shared" si="7"/>
        <v>0</v>
      </c>
    </row>
    <row r="427" spans="1:11" s="343" customFormat="1" ht="12" customHeight="1" x14ac:dyDescent="0.2">
      <c r="A427" s="823">
        <f>A419+1</f>
        <v>44</v>
      </c>
      <c r="B427" s="706">
        <v>4103</v>
      </c>
      <c r="C427" s="707" t="s">
        <v>573</v>
      </c>
      <c r="D427" s="824" t="str">
        <f>$D$14</f>
        <v>FTE  Sep 2026</v>
      </c>
      <c r="E427" s="689">
        <f>'4103'!$J$124</f>
        <v>693688.39</v>
      </c>
      <c r="F427" s="592"/>
      <c r="G427" s="689">
        <f>SUBTOTAL(109,E427:F436)</f>
        <v>693688.39</v>
      </c>
      <c r="H427" s="598"/>
      <c r="K427" s="665">
        <f t="shared" si="7"/>
        <v>693688.39</v>
      </c>
    </row>
    <row r="428" spans="1:11" s="343" customFormat="1" ht="12.75" hidden="1" customHeight="1" x14ac:dyDescent="0.2">
      <c r="A428" s="823"/>
      <c r="B428" s="706"/>
      <c r="C428" s="707"/>
      <c r="D428" s="825" t="s">
        <v>535</v>
      </c>
      <c r="E428" s="689"/>
      <c r="F428" s="592"/>
      <c r="G428" s="689"/>
      <c r="H428" s="598"/>
      <c r="K428" s="665">
        <f t="shared" ref="K428:K446" si="8">IF(E428&gt;0,E428,F428)</f>
        <v>0</v>
      </c>
    </row>
    <row r="429" spans="1:11" s="343" customFormat="1" ht="12.75" hidden="1" customHeight="1" x14ac:dyDescent="0.2">
      <c r="A429" s="823"/>
      <c r="B429" s="706"/>
      <c r="C429" s="707"/>
      <c r="D429" s="826" t="s">
        <v>536</v>
      </c>
      <c r="E429" s="689"/>
      <c r="F429" s="592"/>
      <c r="G429" s="689"/>
      <c r="H429" s="598"/>
      <c r="K429" s="665">
        <f t="shared" si="8"/>
        <v>0</v>
      </c>
    </row>
    <row r="430" spans="1:11" s="343" customFormat="1" ht="12.75" hidden="1" customHeight="1" x14ac:dyDescent="0.2">
      <c r="A430" s="823"/>
      <c r="B430" s="706"/>
      <c r="C430" s="707"/>
      <c r="D430" s="826" t="s">
        <v>548</v>
      </c>
      <c r="E430" s="689"/>
      <c r="F430" s="592"/>
      <c r="G430" s="689"/>
      <c r="H430" s="598"/>
      <c r="K430" s="665">
        <f t="shared" si="8"/>
        <v>0</v>
      </c>
    </row>
    <row r="431" spans="1:11" s="343" customFormat="1" ht="12.75" hidden="1" customHeight="1" x14ac:dyDescent="0.2">
      <c r="A431" s="823"/>
      <c r="B431" s="706"/>
      <c r="C431" s="707"/>
      <c r="D431" s="825" t="s">
        <v>537</v>
      </c>
      <c r="E431" s="689"/>
      <c r="F431" s="592"/>
      <c r="G431" s="689"/>
      <c r="H431" s="598"/>
      <c r="I431" s="590"/>
      <c r="K431" s="665">
        <f t="shared" si="8"/>
        <v>0</v>
      </c>
    </row>
    <row r="432" spans="1:11" s="343" customFormat="1" ht="12.75" hidden="1" customHeight="1" x14ac:dyDescent="0.2">
      <c r="A432" s="823"/>
      <c r="B432" s="706"/>
      <c r="C432" s="707"/>
      <c r="D432" s="825" t="s">
        <v>538</v>
      </c>
      <c r="E432" s="689"/>
      <c r="F432" s="592"/>
      <c r="G432" s="689"/>
      <c r="H432" s="598"/>
      <c r="K432" s="665">
        <f t="shared" si="8"/>
        <v>0</v>
      </c>
    </row>
    <row r="433" spans="1:11" s="343" customFormat="1" ht="12.75" hidden="1" customHeight="1" x14ac:dyDescent="0.2">
      <c r="A433" s="823"/>
      <c r="B433" s="706"/>
      <c r="C433" s="707"/>
      <c r="D433" s="825" t="s">
        <v>539</v>
      </c>
      <c r="E433" s="689"/>
      <c r="F433" s="592"/>
      <c r="G433" s="689"/>
      <c r="H433" s="598"/>
      <c r="K433" s="665">
        <f t="shared" si="8"/>
        <v>0</v>
      </c>
    </row>
    <row r="434" spans="1:11" s="343" customFormat="1" ht="12.75" hidden="1" customHeight="1" x14ac:dyDescent="0.2">
      <c r="A434" s="823"/>
      <c r="B434" s="706"/>
      <c r="C434" s="707"/>
      <c r="D434" s="825" t="s">
        <v>540</v>
      </c>
      <c r="E434" s="689"/>
      <c r="F434" s="592"/>
      <c r="G434" s="689"/>
      <c r="H434" s="598"/>
      <c r="I434" s="246"/>
      <c r="K434" s="665">
        <f t="shared" si="8"/>
        <v>0</v>
      </c>
    </row>
    <row r="435" spans="1:11" s="343" customFormat="1" ht="12.75" hidden="1" customHeight="1" x14ac:dyDescent="0.2">
      <c r="A435" s="823"/>
      <c r="B435" s="706"/>
      <c r="C435" s="707"/>
      <c r="D435" s="825" t="s">
        <v>547</v>
      </c>
      <c r="E435" s="689"/>
      <c r="F435" s="592"/>
      <c r="G435" s="689"/>
      <c r="H435" s="598"/>
      <c r="I435" s="587"/>
      <c r="K435" s="665">
        <f t="shared" si="8"/>
        <v>0</v>
      </c>
    </row>
    <row r="436" spans="1:11" s="343" customFormat="1" ht="12.75" hidden="1" customHeight="1" x14ac:dyDescent="0.2">
      <c r="A436" s="823"/>
      <c r="B436" s="706"/>
      <c r="C436" s="707"/>
      <c r="D436" s="825" t="s">
        <v>550</v>
      </c>
      <c r="E436" s="689"/>
      <c r="F436" s="592"/>
      <c r="G436" s="689"/>
      <c r="H436" s="598"/>
      <c r="I436" s="587"/>
      <c r="K436" s="665">
        <f t="shared" si="8"/>
        <v>0</v>
      </c>
    </row>
    <row r="437" spans="1:11" s="343" customFormat="1" ht="12.75" customHeight="1" x14ac:dyDescent="0.2">
      <c r="A437" s="563">
        <f>1+A427</f>
        <v>45</v>
      </c>
      <c r="B437" s="606">
        <v>4111</v>
      </c>
      <c r="C437" s="607" t="s">
        <v>344</v>
      </c>
      <c r="D437" s="599" t="str">
        <f>$D$14</f>
        <v>FTE  Sep 2026</v>
      </c>
      <c r="E437" s="567">
        <f>'4111'!$J$124</f>
        <v>219735.54</v>
      </c>
      <c r="F437" s="577"/>
      <c r="G437" s="567">
        <f>SUBTOTAL(109,E437:F445)</f>
        <v>219735.54</v>
      </c>
      <c r="H437" s="598"/>
      <c r="K437" s="665">
        <f t="shared" si="8"/>
        <v>219735.54</v>
      </c>
    </row>
    <row r="438" spans="1:11" s="343" customFormat="1" ht="12.75" hidden="1" customHeight="1" x14ac:dyDescent="0.2">
      <c r="A438" s="563"/>
      <c r="B438" s="606"/>
      <c r="C438" s="607"/>
      <c r="D438" s="579" t="s">
        <v>551</v>
      </c>
      <c r="E438" s="567"/>
      <c r="F438" s="577"/>
      <c r="G438" s="567"/>
      <c r="H438" s="598"/>
      <c r="K438" s="665">
        <f t="shared" si="8"/>
        <v>0</v>
      </c>
    </row>
    <row r="439" spans="1:11" s="343" customFormat="1" ht="12.75" hidden="1" customHeight="1" x14ac:dyDescent="0.2">
      <c r="A439" s="563"/>
      <c r="B439" s="575"/>
      <c r="C439" s="576"/>
      <c r="D439" s="580" t="s">
        <v>536</v>
      </c>
      <c r="E439" s="567"/>
      <c r="F439" s="577"/>
      <c r="G439" s="567"/>
      <c r="H439" s="598"/>
      <c r="I439" s="590"/>
      <c r="K439" s="665">
        <f t="shared" si="8"/>
        <v>0</v>
      </c>
    </row>
    <row r="440" spans="1:11" s="343" customFormat="1" ht="12.75" hidden="1" customHeight="1" x14ac:dyDescent="0.2">
      <c r="A440" s="563"/>
      <c r="B440" s="606"/>
      <c r="C440" s="607"/>
      <c r="D440" s="579" t="s">
        <v>537</v>
      </c>
      <c r="E440" s="567"/>
      <c r="F440" s="577"/>
      <c r="G440" s="567"/>
      <c r="H440" s="598"/>
      <c r="I440" s="590"/>
      <c r="K440" s="665">
        <f t="shared" si="8"/>
        <v>0</v>
      </c>
    </row>
    <row r="441" spans="1:11" s="343" customFormat="1" ht="12.75" hidden="1" customHeight="1" x14ac:dyDescent="0.2">
      <c r="A441" s="563"/>
      <c r="B441" s="606"/>
      <c r="C441" s="607"/>
      <c r="D441" s="579" t="s">
        <v>538</v>
      </c>
      <c r="E441" s="567"/>
      <c r="F441" s="577"/>
      <c r="G441" s="567"/>
      <c r="H441" s="598"/>
      <c r="K441" s="665">
        <f t="shared" si="8"/>
        <v>0</v>
      </c>
    </row>
    <row r="442" spans="1:11" s="343" customFormat="1" ht="12.75" hidden="1" customHeight="1" x14ac:dyDescent="0.2">
      <c r="A442" s="563"/>
      <c r="B442" s="606"/>
      <c r="C442" s="607"/>
      <c r="D442" s="579" t="s">
        <v>539</v>
      </c>
      <c r="E442" s="567"/>
      <c r="F442" s="577"/>
      <c r="G442" s="567"/>
      <c r="H442" s="598"/>
      <c r="K442" s="665">
        <f t="shared" si="8"/>
        <v>0</v>
      </c>
    </row>
    <row r="443" spans="1:11" s="343" customFormat="1" ht="12.75" hidden="1" customHeight="1" x14ac:dyDescent="0.2">
      <c r="A443" s="563"/>
      <c r="B443" s="575"/>
      <c r="C443" s="576"/>
      <c r="D443" s="579" t="s">
        <v>540</v>
      </c>
      <c r="E443" s="567"/>
      <c r="F443" s="577"/>
      <c r="G443" s="567"/>
      <c r="H443" s="598"/>
      <c r="K443" s="665">
        <f t="shared" si="8"/>
        <v>0</v>
      </c>
    </row>
    <row r="444" spans="1:11" s="343" customFormat="1" hidden="1" x14ac:dyDescent="0.2">
      <c r="A444" s="563"/>
      <c r="B444" s="575"/>
      <c r="C444" s="576"/>
      <c r="D444" s="579" t="s">
        <v>547</v>
      </c>
      <c r="E444" s="567"/>
      <c r="F444" s="577"/>
      <c r="G444" s="567"/>
      <c r="H444" s="598"/>
      <c r="K444" s="665">
        <f t="shared" si="8"/>
        <v>0</v>
      </c>
    </row>
    <row r="445" spans="1:11" s="343" customFormat="1" hidden="1" x14ac:dyDescent="0.2">
      <c r="A445" s="563"/>
      <c r="B445" s="575"/>
      <c r="C445" s="576"/>
      <c r="D445" s="601" t="s">
        <v>550</v>
      </c>
      <c r="E445" s="567"/>
      <c r="F445" s="577"/>
      <c r="G445" s="567"/>
      <c r="H445" s="598"/>
      <c r="K445" s="665">
        <f t="shared" si="8"/>
        <v>0</v>
      </c>
    </row>
    <row r="446" spans="1:11" s="343" customFormat="1" ht="12.75" customHeight="1" x14ac:dyDescent="0.2">
      <c r="A446" s="823">
        <f>1+A437</f>
        <v>46</v>
      </c>
      <c r="B446" s="318">
        <v>4131</v>
      </c>
      <c r="C446" s="321" t="s">
        <v>345</v>
      </c>
      <c r="D446" s="824" t="str">
        <f>$D$14</f>
        <v>FTE  Sep 2026</v>
      </c>
      <c r="E446" s="689">
        <f>'4131'!$J$124</f>
        <v>80422.789999999994</v>
      </c>
      <c r="F446" s="592"/>
      <c r="G446" s="689">
        <f>SUBTOTAL(109,E446:F454)</f>
        <v>80422.789999999994</v>
      </c>
      <c r="H446" s="598"/>
      <c r="K446" s="665">
        <f t="shared" si="8"/>
        <v>80422.789999999994</v>
      </c>
    </row>
    <row r="447" spans="1:11" s="343" customFormat="1" ht="12.75" hidden="1" customHeight="1" x14ac:dyDescent="0.2">
      <c r="A447" s="823"/>
      <c r="B447" s="318"/>
      <c r="C447" s="321"/>
      <c r="D447" s="825" t="s">
        <v>535</v>
      </c>
      <c r="E447" s="689"/>
      <c r="F447" s="592"/>
      <c r="G447" s="689"/>
      <c r="H447" s="598"/>
      <c r="K447" s="665">
        <f t="shared" ref="K447:K454" si="9">IF(G447&gt;0,G447,F447)</f>
        <v>0</v>
      </c>
    </row>
    <row r="448" spans="1:11" s="343" customFormat="1" ht="12.75" hidden="1" customHeight="1" x14ac:dyDescent="0.2">
      <c r="A448" s="823"/>
      <c r="B448" s="706"/>
      <c r="C448" s="707"/>
      <c r="D448" s="826" t="s">
        <v>572</v>
      </c>
      <c r="E448" s="689"/>
      <c r="F448" s="592"/>
      <c r="G448" s="689"/>
      <c r="H448" s="598"/>
      <c r="K448" s="665">
        <f t="shared" si="9"/>
        <v>0</v>
      </c>
    </row>
    <row r="449" spans="1:11" s="343" customFormat="1" ht="12.75" hidden="1" customHeight="1" x14ac:dyDescent="0.2">
      <c r="A449" s="823"/>
      <c r="B449" s="318"/>
      <c r="C449" s="321"/>
      <c r="D449" s="825" t="s">
        <v>537</v>
      </c>
      <c r="E449" s="689"/>
      <c r="F449" s="592"/>
      <c r="G449" s="689"/>
      <c r="H449" s="598"/>
      <c r="I449" s="590"/>
      <c r="K449" s="665">
        <f t="shared" si="9"/>
        <v>0</v>
      </c>
    </row>
    <row r="450" spans="1:11" s="343" customFormat="1" ht="12.75" hidden="1" customHeight="1" x14ac:dyDescent="0.2">
      <c r="A450" s="823"/>
      <c r="B450" s="318"/>
      <c r="C450" s="321"/>
      <c r="D450" s="825" t="s">
        <v>538</v>
      </c>
      <c r="E450" s="689"/>
      <c r="F450" s="592"/>
      <c r="G450" s="689"/>
      <c r="H450" s="598"/>
      <c r="K450" s="665">
        <f t="shared" si="9"/>
        <v>0</v>
      </c>
    </row>
    <row r="451" spans="1:11" s="343" customFormat="1" ht="12.75" hidden="1" customHeight="1" x14ac:dyDescent="0.2">
      <c r="A451" s="823"/>
      <c r="B451" s="318"/>
      <c r="C451" s="321"/>
      <c r="D451" s="825" t="s">
        <v>539</v>
      </c>
      <c r="E451" s="689"/>
      <c r="F451" s="592"/>
      <c r="G451" s="689"/>
      <c r="H451" s="598"/>
      <c r="K451" s="665">
        <f t="shared" si="9"/>
        <v>0</v>
      </c>
    </row>
    <row r="452" spans="1:11" s="343" customFormat="1" ht="12.75" hidden="1" customHeight="1" x14ac:dyDescent="0.2">
      <c r="A452" s="823"/>
      <c r="B452" s="706"/>
      <c r="C452" s="707"/>
      <c r="D452" s="825" t="s">
        <v>540</v>
      </c>
      <c r="E452" s="689"/>
      <c r="F452" s="592"/>
      <c r="G452" s="689"/>
      <c r="H452" s="598"/>
      <c r="I452" s="246"/>
      <c r="K452" s="665">
        <f t="shared" si="9"/>
        <v>0</v>
      </c>
    </row>
    <row r="453" spans="1:11" s="343" customFormat="1" ht="12.75" hidden="1" customHeight="1" x14ac:dyDescent="0.2">
      <c r="A453" s="823"/>
      <c r="B453" s="706"/>
      <c r="C453" s="707"/>
      <c r="D453" s="825" t="s">
        <v>547</v>
      </c>
      <c r="E453" s="689"/>
      <c r="F453" s="592"/>
      <c r="G453" s="689"/>
      <c r="H453" s="598"/>
      <c r="I453" s="587"/>
      <c r="K453" s="665">
        <f t="shared" si="9"/>
        <v>0</v>
      </c>
    </row>
    <row r="454" spans="1:11" s="343" customFormat="1" ht="12.75" hidden="1" customHeight="1" x14ac:dyDescent="0.2">
      <c r="A454" s="823"/>
      <c r="B454" s="706"/>
      <c r="C454" s="707"/>
      <c r="D454" s="827" t="s">
        <v>550</v>
      </c>
      <c r="E454" s="689"/>
      <c r="F454" s="592"/>
      <c r="G454" s="689"/>
      <c r="H454" s="598"/>
      <c r="I454" s="584"/>
      <c r="K454" s="665">
        <f t="shared" si="9"/>
        <v>0</v>
      </c>
    </row>
    <row r="455" spans="1:11" s="343" customFormat="1" ht="12.75" customHeight="1" x14ac:dyDescent="0.2">
      <c r="A455" s="823"/>
      <c r="B455" s="706"/>
      <c r="C455" s="707"/>
      <c r="D455" s="824"/>
      <c r="E455" s="689"/>
      <c r="F455" s="592"/>
      <c r="G455" s="689"/>
      <c r="H455" s="598"/>
      <c r="I455" s="584"/>
      <c r="K455" s="665">
        <f t="shared" ref="K455" si="10">IF(E455&gt;0,E455,F455)</f>
        <v>0</v>
      </c>
    </row>
    <row r="456" spans="1:11" s="343" customFormat="1" ht="12.75" customHeight="1" x14ac:dyDescent="0.2">
      <c r="A456" s="247"/>
      <c r="B456" s="246"/>
      <c r="C456" s="246"/>
      <c r="D456" s="608"/>
      <c r="E456" s="246"/>
      <c r="F456" s="609"/>
      <c r="G456" s="246"/>
      <c r="H456" s="598"/>
      <c r="I456" s="584"/>
    </row>
    <row r="457" spans="1:11" s="343" customFormat="1" ht="12.75" customHeight="1" thickBot="1" x14ac:dyDescent="0.25">
      <c r="A457" s="246"/>
      <c r="B457" s="558"/>
      <c r="C457" s="554"/>
      <c r="D457" s="608" t="s">
        <v>574</v>
      </c>
      <c r="E457" s="610">
        <f>SUBTOTAL(109,E5:E456)</f>
        <v>17454412.300000004</v>
      </c>
      <c r="F457" s="610">
        <f>SUBTOTAL(109,F5:F456)</f>
        <v>-88333.389999999985</v>
      </c>
      <c r="G457" s="610">
        <f>ROUND(SUM(G5:G456),2)</f>
        <v>17366078.91</v>
      </c>
      <c r="H457" s="598"/>
    </row>
    <row r="458" spans="1:11" s="343" customFormat="1" ht="12.75" customHeight="1" thickTop="1" x14ac:dyDescent="0.2">
      <c r="A458" s="246"/>
      <c r="B458" s="558"/>
      <c r="C458" s="554"/>
      <c r="D458" s="246"/>
      <c r="E458" s="246"/>
      <c r="F458" s="553"/>
      <c r="G458" s="309">
        <f>ROUND(G457-E457-F457,2)</f>
        <v>0</v>
      </c>
      <c r="H458" s="598"/>
    </row>
    <row r="459" spans="1:11" s="343" customFormat="1" ht="12.75" customHeight="1" x14ac:dyDescent="0.2">
      <c r="A459" s="246"/>
      <c r="B459" s="558"/>
      <c r="C459" s="554"/>
      <c r="D459" s="246"/>
      <c r="E459" s="246"/>
      <c r="F459" s="553"/>
      <c r="G459" s="246"/>
      <c r="H459" s="598"/>
      <c r="I459" s="590"/>
    </row>
    <row r="460" spans="1:11" s="343" customFormat="1" ht="12.75" customHeight="1" x14ac:dyDescent="0.2">
      <c r="A460" s="246"/>
      <c r="B460" s="558"/>
      <c r="C460" s="554"/>
      <c r="D460" s="246"/>
      <c r="E460" s="246"/>
      <c r="F460" s="553"/>
      <c r="G460" s="246"/>
      <c r="H460" s="598"/>
    </row>
    <row r="461" spans="1:11" s="343" customFormat="1" ht="12.75" customHeight="1" x14ac:dyDescent="0.2">
      <c r="A461" s="246"/>
      <c r="B461" s="558"/>
      <c r="C461" s="554"/>
      <c r="D461" s="246"/>
      <c r="E461" s="246"/>
      <c r="F461" s="553"/>
      <c r="G461" s="246"/>
      <c r="H461" s="598"/>
    </row>
    <row r="462" spans="1:11" s="343" customFormat="1" ht="12.75" customHeight="1" x14ac:dyDescent="0.2">
      <c r="A462" s="246"/>
      <c r="B462" s="558"/>
      <c r="C462" s="554"/>
      <c r="D462" s="246"/>
      <c r="E462" s="246"/>
      <c r="F462" s="553"/>
      <c r="G462" s="246"/>
      <c r="H462" s="598"/>
      <c r="I462" s="246"/>
    </row>
    <row r="463" spans="1:11" s="343" customFormat="1" ht="12.75" customHeight="1" x14ac:dyDescent="0.2">
      <c r="A463" s="246"/>
      <c r="B463" s="558"/>
      <c r="C463" s="554"/>
      <c r="D463" s="246"/>
      <c r="E463" s="246"/>
      <c r="F463" s="553"/>
      <c r="G463" s="246"/>
      <c r="H463" s="598"/>
      <c r="I463" s="587"/>
    </row>
    <row r="464" spans="1:11" s="343" customFormat="1" ht="12.75" customHeight="1" x14ac:dyDescent="0.2">
      <c r="A464" s="611"/>
      <c r="B464" s="558"/>
      <c r="C464" s="349"/>
      <c r="D464" s="611" t="s">
        <v>575</v>
      </c>
      <c r="E464" s="309">
        <f>Consolidated!I159</f>
        <v>17454412.300000004</v>
      </c>
      <c r="F464" s="553"/>
      <c r="G464" s="309">
        <f>E464+F464</f>
        <v>17454412.300000004</v>
      </c>
      <c r="H464" s="598"/>
      <c r="I464" s="584"/>
    </row>
    <row r="465" spans="1:10" s="343" customFormat="1" ht="12.75" customHeight="1" x14ac:dyDescent="0.2">
      <c r="A465" s="246"/>
      <c r="B465" s="246"/>
      <c r="C465" s="246"/>
      <c r="D465" s="612" t="s">
        <v>535</v>
      </c>
      <c r="E465" s="246"/>
      <c r="F465" s="578">
        <f>F447+F438+F428+F411+F401+F391+F382+F375+F366+F357+F350+F339+F329+F319+F310+F301+F293+F283+F274+F258+F266+F248+F238+F229+F219+F208+F200+F189+F181+F174+F166+F158+F148+F130+F121+F113++F96+F85+F75+F67+F56+F55+F48+F30+F15+F6+F11+F111</f>
        <v>0</v>
      </c>
      <c r="G465" s="309">
        <f t="shared" ref="G465:G486" si="11">E465+F465</f>
        <v>0</v>
      </c>
      <c r="H465" s="598"/>
      <c r="I465" s="613"/>
    </row>
    <row r="466" spans="1:10" ht="12.75" hidden="1" customHeight="1" x14ac:dyDescent="0.2">
      <c r="D466" s="593" t="s">
        <v>536</v>
      </c>
      <c r="F466" s="578">
        <f t="shared" ref="F466:F484" si="12">SUM(SUMIF(D$14:D$456,D466,F$14:F$456))</f>
        <v>0</v>
      </c>
      <c r="G466" s="309">
        <f t="shared" si="11"/>
        <v>0</v>
      </c>
      <c r="H466" s="602"/>
    </row>
    <row r="467" spans="1:10" ht="12.75" hidden="1" customHeight="1" x14ac:dyDescent="0.2">
      <c r="D467" s="612" t="s">
        <v>552</v>
      </c>
      <c r="F467" s="578">
        <f t="shared" si="12"/>
        <v>0</v>
      </c>
      <c r="G467" s="309">
        <f t="shared" si="11"/>
        <v>0</v>
      </c>
    </row>
    <row r="468" spans="1:10" ht="12.75" hidden="1" customHeight="1" x14ac:dyDescent="0.2">
      <c r="D468" s="612" t="s">
        <v>562</v>
      </c>
      <c r="F468" s="578">
        <f t="shared" si="12"/>
        <v>0</v>
      </c>
      <c r="G468" s="309">
        <f t="shared" si="11"/>
        <v>0</v>
      </c>
    </row>
    <row r="469" spans="1:10" ht="12.75" hidden="1" customHeight="1" x14ac:dyDescent="0.2">
      <c r="D469" s="614" t="s">
        <v>548</v>
      </c>
      <c r="F469" s="578">
        <f t="shared" si="12"/>
        <v>0</v>
      </c>
      <c r="G469" s="309">
        <f t="shared" si="11"/>
        <v>0</v>
      </c>
    </row>
    <row r="470" spans="1:10" ht="12.75" hidden="1" customHeight="1" x14ac:dyDescent="0.2">
      <c r="D470" s="612" t="s">
        <v>537</v>
      </c>
      <c r="F470" s="578">
        <f t="shared" si="12"/>
        <v>0</v>
      </c>
      <c r="G470" s="309">
        <f t="shared" si="11"/>
        <v>0</v>
      </c>
    </row>
    <row r="471" spans="1:10" ht="12.75" hidden="1" customHeight="1" x14ac:dyDescent="0.2">
      <c r="D471" s="612" t="s">
        <v>554</v>
      </c>
      <c r="F471" s="578">
        <f t="shared" si="12"/>
        <v>0</v>
      </c>
      <c r="G471" s="309">
        <f t="shared" si="11"/>
        <v>0</v>
      </c>
    </row>
    <row r="472" spans="1:10" ht="12.75" hidden="1" customHeight="1" x14ac:dyDescent="0.2">
      <c r="D472" s="246" t="s">
        <v>539</v>
      </c>
      <c r="F472" s="578">
        <f t="shared" si="12"/>
        <v>0</v>
      </c>
      <c r="G472" s="309">
        <f t="shared" si="11"/>
        <v>0</v>
      </c>
    </row>
    <row r="473" spans="1:10" ht="12.75" hidden="1" customHeight="1" x14ac:dyDescent="0.2">
      <c r="A473" s="294"/>
      <c r="B473" s="590"/>
      <c r="C473" s="591"/>
      <c r="D473" s="612" t="s">
        <v>540</v>
      </c>
      <c r="E473" s="572"/>
      <c r="F473" s="578">
        <f t="shared" si="12"/>
        <v>0</v>
      </c>
      <c r="G473" s="309">
        <f t="shared" si="11"/>
        <v>0</v>
      </c>
    </row>
    <row r="474" spans="1:10" ht="12.75" hidden="1" customHeight="1" x14ac:dyDescent="0.2">
      <c r="D474" s="615" t="s">
        <v>576</v>
      </c>
      <c r="F474" s="578">
        <f t="shared" si="12"/>
        <v>0</v>
      </c>
      <c r="G474" s="309">
        <f t="shared" si="11"/>
        <v>0</v>
      </c>
      <c r="J474" s="309"/>
    </row>
    <row r="475" spans="1:10" ht="12.75" customHeight="1" x14ac:dyDescent="0.2">
      <c r="D475" s="615" t="s">
        <v>541</v>
      </c>
      <c r="F475" s="578">
        <f t="shared" si="12"/>
        <v>-57792.7</v>
      </c>
      <c r="G475" s="309">
        <f t="shared" si="11"/>
        <v>-57792.7</v>
      </c>
      <c r="J475" s="309"/>
    </row>
    <row r="476" spans="1:10" ht="12.75" customHeight="1" x14ac:dyDescent="0.2">
      <c r="D476" s="246" t="s">
        <v>542</v>
      </c>
      <c r="F476" s="578">
        <f t="shared" si="12"/>
        <v>-28600</v>
      </c>
      <c r="G476" s="309">
        <f t="shared" si="11"/>
        <v>-28600</v>
      </c>
      <c r="J476" s="309"/>
    </row>
    <row r="477" spans="1:10" ht="12.75" customHeight="1" x14ac:dyDescent="0.2">
      <c r="D477" s="246" t="s">
        <v>543</v>
      </c>
      <c r="F477" s="578">
        <f t="shared" si="12"/>
        <v>-546.79999999999995</v>
      </c>
      <c r="G477" s="309">
        <f t="shared" si="11"/>
        <v>-546.79999999999995</v>
      </c>
      <c r="J477" s="309"/>
    </row>
    <row r="478" spans="1:10" ht="12.75" customHeight="1" x14ac:dyDescent="0.2">
      <c r="D478" s="349" t="s">
        <v>544</v>
      </c>
      <c r="F478" s="578">
        <f t="shared" si="12"/>
        <v>-188.96</v>
      </c>
      <c r="G478" s="309">
        <f t="shared" si="11"/>
        <v>-188.96</v>
      </c>
    </row>
    <row r="479" spans="1:10" ht="12.75" customHeight="1" x14ac:dyDescent="0.2">
      <c r="D479" s="246" t="s">
        <v>545</v>
      </c>
      <c r="F479" s="578">
        <f t="shared" si="12"/>
        <v>-180</v>
      </c>
      <c r="G479" s="309">
        <f>E479+F479</f>
        <v>-180</v>
      </c>
      <c r="J479" s="309"/>
    </row>
    <row r="480" spans="1:10" ht="12.75" hidden="1" customHeight="1" x14ac:dyDescent="0.2">
      <c r="D480" s="349" t="s">
        <v>558</v>
      </c>
      <c r="F480" s="578">
        <f t="shared" si="12"/>
        <v>0</v>
      </c>
      <c r="G480" s="309">
        <f>E480+F480</f>
        <v>0</v>
      </c>
      <c r="J480" s="309"/>
    </row>
    <row r="481" spans="1:9" ht="12.75" hidden="1" customHeight="1" x14ac:dyDescent="0.2">
      <c r="A481" s="294"/>
      <c r="B481" s="590"/>
      <c r="C481" s="591"/>
      <c r="D481" s="612" t="s">
        <v>555</v>
      </c>
      <c r="E481" s="572"/>
      <c r="F481" s="578">
        <f t="shared" si="12"/>
        <v>0</v>
      </c>
      <c r="G481" s="309">
        <f t="shared" si="11"/>
        <v>0</v>
      </c>
    </row>
    <row r="482" spans="1:9" ht="12.75" hidden="1" customHeight="1" x14ac:dyDescent="0.2">
      <c r="D482" s="349" t="s">
        <v>559</v>
      </c>
      <c r="F482" s="578">
        <f t="shared" si="12"/>
        <v>0</v>
      </c>
      <c r="G482" s="309">
        <f t="shared" si="11"/>
        <v>0</v>
      </c>
    </row>
    <row r="483" spans="1:9" ht="12.75" hidden="1" customHeight="1" x14ac:dyDescent="0.2">
      <c r="D483" s="349" t="s">
        <v>546</v>
      </c>
      <c r="F483" s="578">
        <f t="shared" si="12"/>
        <v>0</v>
      </c>
      <c r="G483" s="309">
        <f t="shared" si="11"/>
        <v>0</v>
      </c>
    </row>
    <row r="484" spans="1:9" s="343" customFormat="1" ht="12.75" hidden="1" customHeight="1" x14ac:dyDescent="0.2">
      <c r="A484" s="246"/>
      <c r="B484" s="246"/>
      <c r="C484" s="246"/>
      <c r="D484" s="349" t="s">
        <v>547</v>
      </c>
      <c r="E484" s="246"/>
      <c r="F484" s="578">
        <f t="shared" si="12"/>
        <v>0</v>
      </c>
      <c r="G484" s="309">
        <f t="shared" si="11"/>
        <v>0</v>
      </c>
      <c r="H484" s="598"/>
      <c r="I484" s="587"/>
    </row>
    <row r="485" spans="1:9" ht="12.75" customHeight="1" x14ac:dyDescent="0.2">
      <c r="D485" s="612" t="s">
        <v>577</v>
      </c>
      <c r="F485" s="616">
        <f>SUM(SUMIF(D$14:D$456,"*WPB*",F$14:F$456))</f>
        <v>-1024.93</v>
      </c>
      <c r="G485" s="309">
        <f t="shared" si="11"/>
        <v>-1024.93</v>
      </c>
    </row>
    <row r="486" spans="1:9" ht="12.75" hidden="1" customHeight="1" x14ac:dyDescent="0.2">
      <c r="D486" s="612" t="s">
        <v>549</v>
      </c>
      <c r="F486" s="616">
        <f>SUM(SUMIF(D$14:D$456,"*FEFP ADJ*",F$14:F$456))</f>
        <v>0</v>
      </c>
      <c r="G486" s="309">
        <f t="shared" si="11"/>
        <v>0</v>
      </c>
    </row>
    <row r="487" spans="1:9" ht="12.75" customHeight="1" x14ac:dyDescent="0.2">
      <c r="D487" s="612"/>
      <c r="F487" s="616"/>
      <c r="G487" s="309"/>
    </row>
    <row r="488" spans="1:9" ht="12.75" customHeight="1" thickBot="1" x14ac:dyDescent="0.25">
      <c r="D488" s="617" t="s">
        <v>578</v>
      </c>
      <c r="E488" s="610">
        <f>SUM(E464:E486)</f>
        <v>17454412.300000004</v>
      </c>
      <c r="F488" s="610">
        <f>SUM(F464:F486)</f>
        <v>-88333.39</v>
      </c>
      <c r="G488" s="610">
        <f>SUM(G464:G487)</f>
        <v>17366078.910000004</v>
      </c>
    </row>
    <row r="489" spans="1:9" ht="12.75" customHeight="1" thickTop="1" x14ac:dyDescent="0.2">
      <c r="D489" s="617"/>
      <c r="E489" s="309"/>
      <c r="F489" s="309"/>
      <c r="G489" s="309"/>
    </row>
    <row r="490" spans="1:9" ht="12.75" customHeight="1" x14ac:dyDescent="0.2">
      <c r="D490" s="617"/>
      <c r="E490" s="309"/>
      <c r="F490" s="309">
        <f>F488-F457</f>
        <v>0</v>
      </c>
      <c r="G490" s="309">
        <f>G457-G488</f>
        <v>0</v>
      </c>
    </row>
    <row r="491" spans="1:9" ht="12" customHeight="1" x14ac:dyDescent="0.2">
      <c r="D491" s="617"/>
      <c r="E491" s="309"/>
      <c r="F491" s="309"/>
      <c r="G491" s="309"/>
    </row>
    <row r="492" spans="1:9" ht="12.75" customHeight="1" thickBot="1" x14ac:dyDescent="0.25">
      <c r="E492" s="309"/>
      <c r="F492" s="309"/>
      <c r="G492" s="309"/>
    </row>
    <row r="493" spans="1:9" ht="12.75" customHeight="1" thickBot="1" x14ac:dyDescent="0.25">
      <c r="C493" s="921" t="s">
        <v>533</v>
      </c>
      <c r="D493" s="922"/>
      <c r="E493" s="922"/>
      <c r="F493" s="922"/>
      <c r="G493" s="923"/>
    </row>
    <row r="494" spans="1:9" s="343" customFormat="1" ht="12.75" customHeight="1" x14ac:dyDescent="0.2">
      <c r="A494" s="246"/>
      <c r="B494" s="246"/>
      <c r="C494" s="673"/>
      <c r="D494" s="674"/>
      <c r="E494" s="674"/>
      <c r="F494" s="674"/>
      <c r="G494" s="618"/>
      <c r="H494" s="598"/>
      <c r="I494" s="246"/>
    </row>
    <row r="495" spans="1:9" ht="12.75" customHeight="1" x14ac:dyDescent="0.2">
      <c r="C495" s="622"/>
      <c r="D495" s="675"/>
      <c r="E495" s="675"/>
      <c r="F495" s="676"/>
      <c r="G495" s="620"/>
    </row>
    <row r="496" spans="1:9" ht="12.75" customHeight="1" x14ac:dyDescent="0.2">
      <c r="C496" s="625"/>
      <c r="D496" s="675"/>
      <c r="E496" s="675"/>
      <c r="F496" s="676"/>
      <c r="G496" s="620"/>
    </row>
    <row r="497" spans="3:9" ht="12.75" customHeight="1" x14ac:dyDescent="0.2">
      <c r="C497" s="621"/>
      <c r="D497" s="676"/>
      <c r="E497" s="676"/>
      <c r="F497" s="676"/>
      <c r="G497" s="620"/>
    </row>
    <row r="498" spans="3:9" ht="12.75" customHeight="1" x14ac:dyDescent="0.2">
      <c r="C498" s="621"/>
      <c r="D498" s="677"/>
      <c r="E498" s="677"/>
      <c r="F498" s="677"/>
      <c r="G498" s="623"/>
      <c r="H498" s="624"/>
      <c r="I498" s="343"/>
    </row>
    <row r="499" spans="3:9" ht="12.75" customHeight="1" x14ac:dyDescent="0.2">
      <c r="C499" s="621"/>
      <c r="D499" s="677"/>
      <c r="E499" s="677"/>
      <c r="F499" s="677"/>
      <c r="G499" s="623"/>
      <c r="H499" s="624"/>
      <c r="I499" s="343"/>
    </row>
    <row r="500" spans="3:9" ht="12.75" customHeight="1" x14ac:dyDescent="0.2">
      <c r="C500" s="626"/>
      <c r="D500" s="678"/>
      <c r="E500" s="678"/>
      <c r="F500" s="678"/>
      <c r="G500" s="627"/>
      <c r="H500" s="624"/>
      <c r="I500" s="343"/>
    </row>
    <row r="501" spans="3:9" ht="12.75" customHeight="1" x14ac:dyDescent="0.2">
      <c r="C501" s="619"/>
      <c r="D501" s="678"/>
      <c r="E501" s="678"/>
      <c r="F501" s="678"/>
      <c r="G501" s="627"/>
      <c r="H501" s="624"/>
      <c r="I501" s="343"/>
    </row>
    <row r="502" spans="3:9" ht="12.75" customHeight="1" x14ac:dyDescent="0.2">
      <c r="C502" s="621"/>
      <c r="D502" s="678"/>
      <c r="E502" s="678"/>
      <c r="F502" s="678"/>
      <c r="G502" s="627"/>
      <c r="H502" s="624"/>
      <c r="I502" s="343"/>
    </row>
    <row r="503" spans="3:9" ht="12.75" customHeight="1" x14ac:dyDescent="0.2">
      <c r="C503" s="626"/>
      <c r="D503" s="678"/>
      <c r="E503" s="678"/>
      <c r="F503" s="678"/>
      <c r="G503" s="627"/>
      <c r="H503" s="624"/>
      <c r="I503" s="343"/>
    </row>
    <row r="504" spans="3:9" ht="12.75" customHeight="1" x14ac:dyDescent="0.2">
      <c r="C504" s="670"/>
      <c r="D504" s="679"/>
      <c r="E504" s="679"/>
      <c r="F504" s="679"/>
      <c r="G504" s="627"/>
      <c r="H504" s="624"/>
      <c r="I504" s="343"/>
    </row>
    <row r="505" spans="3:9" ht="12.75" customHeight="1" x14ac:dyDescent="0.2">
      <c r="C505" s="671"/>
      <c r="D505" s="679"/>
      <c r="E505" s="679"/>
      <c r="F505" s="679"/>
      <c r="G505" s="627"/>
      <c r="H505" s="624"/>
      <c r="I505" s="343"/>
    </row>
    <row r="506" spans="3:9" ht="12.75" customHeight="1" x14ac:dyDescent="0.2">
      <c r="C506" s="619"/>
      <c r="D506" s="679"/>
      <c r="E506" s="679"/>
      <c r="F506" s="679"/>
      <c r="G506" s="627"/>
      <c r="H506" s="624"/>
      <c r="I506" s="343"/>
    </row>
    <row r="507" spans="3:9" ht="14.25" customHeight="1" x14ac:dyDescent="0.2">
      <c r="C507" s="671"/>
      <c r="D507" s="679"/>
      <c r="E507" s="679"/>
      <c r="F507" s="679"/>
      <c r="G507" s="627"/>
      <c r="H507" s="624"/>
      <c r="I507" s="343"/>
    </row>
    <row r="508" spans="3:9" ht="12.75" customHeight="1" x14ac:dyDescent="0.2">
      <c r="C508" s="672"/>
      <c r="D508" s="679"/>
      <c r="E508" s="679"/>
      <c r="F508" s="679"/>
      <c r="G508" s="627"/>
      <c r="H508" s="624"/>
      <c r="I508" s="343"/>
    </row>
    <row r="509" spans="3:9" ht="12.75" customHeight="1" thickBot="1" x14ac:dyDescent="0.25">
      <c r="C509" s="680"/>
      <c r="D509" s="681"/>
      <c r="E509" s="681"/>
      <c r="F509" s="681"/>
      <c r="G509" s="628"/>
      <c r="H509" s="624"/>
      <c r="I509" s="343"/>
    </row>
    <row r="510" spans="3:9" ht="12.75" customHeight="1" x14ac:dyDescent="0.2">
      <c r="H510" s="624"/>
      <c r="I510" s="343"/>
    </row>
    <row r="511" spans="3:9" ht="12.75" customHeight="1" x14ac:dyDescent="0.2">
      <c r="H511" s="624"/>
      <c r="I511" s="343"/>
    </row>
    <row r="512" spans="3:9" ht="12.75" customHeight="1" x14ac:dyDescent="0.2">
      <c r="H512" s="624"/>
      <c r="I512" s="343"/>
    </row>
    <row r="513" spans="5:11" ht="12.75" customHeight="1" x14ac:dyDescent="0.2">
      <c r="H513" s="624"/>
      <c r="I513" s="343"/>
    </row>
    <row r="514" spans="5:11" ht="12.75" customHeight="1" x14ac:dyDescent="0.2">
      <c r="H514" s="624"/>
      <c r="I514" s="343"/>
    </row>
    <row r="515" spans="5:11" ht="12.75" customHeight="1" x14ac:dyDescent="0.2">
      <c r="H515" s="624"/>
      <c r="I515" s="343"/>
    </row>
    <row r="516" spans="5:11" ht="12.75" customHeight="1" x14ac:dyDescent="0.2">
      <c r="H516" s="624"/>
      <c r="I516" s="343"/>
    </row>
    <row r="517" spans="5:11" ht="12.75" customHeight="1" x14ac:dyDescent="0.2">
      <c r="H517" s="624"/>
      <c r="I517" s="343"/>
    </row>
    <row r="518" spans="5:11" ht="12.75" customHeight="1" x14ac:dyDescent="0.2">
      <c r="H518" s="624"/>
      <c r="I518" s="343"/>
    </row>
    <row r="519" spans="5:11" ht="12.75" customHeight="1" x14ac:dyDescent="0.2">
      <c r="H519" s="341"/>
    </row>
    <row r="520" spans="5:11" ht="12.75" customHeight="1" x14ac:dyDescent="0.2">
      <c r="E520" s="280"/>
      <c r="F520" s="246"/>
    </row>
    <row r="521" spans="5:11" ht="12.75" customHeight="1" x14ac:dyDescent="0.2">
      <c r="E521" s="280"/>
      <c r="F521" s="246"/>
    </row>
    <row r="523" spans="5:11" ht="12.75" customHeight="1" x14ac:dyDescent="0.2">
      <c r="K523" s="280"/>
    </row>
    <row r="524" spans="5:11" ht="12.75" customHeight="1" x14ac:dyDescent="0.2">
      <c r="K524" s="280"/>
    </row>
    <row r="530" spans="8:8" ht="12.75" customHeight="1" x14ac:dyDescent="0.2">
      <c r="H530" s="246"/>
    </row>
    <row r="531" spans="8:8" ht="12.75" customHeight="1" x14ac:dyDescent="0.2">
      <c r="H531" s="246"/>
    </row>
  </sheetData>
  <autoFilter ref="A4:G6" xr:uid="{30DE053C-4D73-4891-A977-B0EA2A4A890D}"/>
  <mergeCells count="2">
    <mergeCell ref="F3:G3"/>
    <mergeCell ref="C493:G493"/>
  </mergeCells>
  <phoneticPr fontId="73" type="noConversion"/>
  <conditionalFormatting sqref="A14:A456">
    <cfRule type="cellIs" dxfId="16" priority="1" operator="equal">
      <formula>0</formula>
    </cfRule>
  </conditionalFormatting>
  <conditionalFormatting sqref="A473">
    <cfRule type="cellIs" dxfId="15" priority="2" operator="equal">
      <formula>0</formula>
    </cfRule>
  </conditionalFormatting>
  <conditionalFormatting sqref="A481">
    <cfRule type="cellIs" dxfId="14" priority="7" operator="equal">
      <formula>0</formula>
    </cfRule>
  </conditionalFormatting>
  <conditionalFormatting sqref="H475:H483 H485:H493">
    <cfRule type="cellIs" dxfId="13" priority="5" stopIfTrue="1" operator="notEqual">
      <formula>0</formula>
    </cfRule>
    <cfRule type="cellIs" dxfId="12" priority="6" stopIfTrue="1" operator="equal">
      <formula>0</formula>
    </cfRule>
  </conditionalFormatting>
  <conditionalFormatting sqref="H495:H497">
    <cfRule type="cellIs" dxfId="11" priority="3" stopIfTrue="1" operator="notEqual">
      <formula>0</formula>
    </cfRule>
    <cfRule type="cellIs" dxfId="10"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AC68"/>
  <sheetViews>
    <sheetView workbookViewId="0">
      <pane xSplit="3" ySplit="5" topLeftCell="D6" activePane="bottomRight" state="frozen"/>
      <selection pane="topRight" activeCell="D1" sqref="D1"/>
      <selection pane="bottomLeft" activeCell="A6" sqref="A6"/>
      <selection pane="bottomRight" activeCell="M6" sqref="M6"/>
    </sheetView>
  </sheetViews>
  <sheetFormatPr defaultColWidth="9.140625" defaultRowHeight="12.75" x14ac:dyDescent="0.2"/>
  <cols>
    <col min="1" max="1" width="4" style="246" bestFit="1" customWidth="1"/>
    <col min="2" max="2" width="6" style="246" customWidth="1"/>
    <col min="3" max="3" width="36.28515625" style="246" bestFit="1" customWidth="1"/>
    <col min="4" max="4" width="4" style="247" bestFit="1" customWidth="1"/>
    <col min="5" max="5" width="4.28515625" style="247" bestFit="1" customWidth="1"/>
    <col min="6" max="7" width="9.140625" style="246"/>
    <col min="8" max="8" width="2.7109375" style="246" customWidth="1"/>
    <col min="9" max="9" width="15.140625" style="246" bestFit="1" customWidth="1"/>
    <col min="10" max="11" width="14.5703125" style="246" bestFit="1" customWidth="1"/>
    <col min="12" max="12" width="15.140625" style="246" bestFit="1" customWidth="1"/>
    <col min="13" max="13" width="14.5703125" style="246" bestFit="1" customWidth="1"/>
    <col min="14" max="14" width="2.7109375" style="246" customWidth="1"/>
    <col min="15" max="15" width="10" style="246" bestFit="1" customWidth="1"/>
    <col min="16" max="17" width="10" style="246" customWidth="1"/>
    <col min="18" max="18" width="11.140625" style="246" customWidth="1"/>
    <col min="19" max="19" width="3.28515625" style="246" customWidth="1"/>
    <col min="20" max="20" width="11" style="324" bestFit="1" customWidth="1"/>
    <col min="21" max="21" width="9.5703125" style="324" bestFit="1" customWidth="1"/>
    <col min="22" max="22" width="11" style="324" bestFit="1" customWidth="1"/>
    <col min="23" max="23" width="2.7109375" style="246" customWidth="1"/>
    <col min="24" max="24" width="10.140625" style="246" customWidth="1"/>
    <col min="25" max="25" width="11" style="246" bestFit="1" customWidth="1"/>
    <col min="26" max="26" width="10" style="246" bestFit="1" customWidth="1"/>
    <col min="27" max="27" width="9.140625" style="246"/>
    <col min="28" max="28" width="11" style="246" bestFit="1" customWidth="1"/>
    <col min="29" max="29" width="13.5703125" style="246" customWidth="1"/>
    <col min="30" max="16384" width="9.140625" style="246"/>
  </cols>
  <sheetData>
    <row r="4" spans="1:29" x14ac:dyDescent="0.2">
      <c r="D4" s="290"/>
      <c r="E4" s="292">
        <v>0.75</v>
      </c>
      <c r="F4" s="290" t="s">
        <v>249</v>
      </c>
      <c r="G4" s="290" t="s">
        <v>250</v>
      </c>
      <c r="H4" s="293"/>
      <c r="I4" s="916" t="s">
        <v>251</v>
      </c>
      <c r="J4" s="917"/>
      <c r="K4" s="917"/>
      <c r="L4" s="918"/>
      <c r="M4" s="290" t="s">
        <v>252</v>
      </c>
      <c r="N4" s="294"/>
      <c r="P4" s="803" t="s">
        <v>617</v>
      </c>
      <c r="Q4" s="822"/>
      <c r="T4" s="924" t="s">
        <v>253</v>
      </c>
      <c r="U4" s="924"/>
      <c r="V4" s="924"/>
      <c r="X4" s="925" t="s">
        <v>254</v>
      </c>
      <c r="Y4" s="925"/>
      <c r="Z4" s="925"/>
    </row>
    <row r="5" spans="1:29" x14ac:dyDescent="0.2">
      <c r="A5" s="246" t="s">
        <v>50</v>
      </c>
      <c r="B5" s="246" t="s">
        <v>50</v>
      </c>
      <c r="C5" s="246" t="s">
        <v>50</v>
      </c>
      <c r="D5" s="295" t="s">
        <v>255</v>
      </c>
      <c r="E5" s="295" t="s">
        <v>256</v>
      </c>
      <c r="F5" s="295" t="s">
        <v>250</v>
      </c>
      <c r="G5" s="296" t="s">
        <v>257</v>
      </c>
      <c r="H5" s="293" t="s">
        <v>50</v>
      </c>
      <c r="I5" s="297" t="s">
        <v>258</v>
      </c>
      <c r="J5" s="297" t="s">
        <v>259</v>
      </c>
      <c r="K5" s="297" t="s">
        <v>260</v>
      </c>
      <c r="L5" s="298" t="s">
        <v>261</v>
      </c>
      <c r="M5" s="299" t="s">
        <v>262</v>
      </c>
      <c r="N5" s="294" t="s">
        <v>50</v>
      </c>
      <c r="O5" s="297" t="s">
        <v>263</v>
      </c>
      <c r="P5" s="799" t="s">
        <v>616</v>
      </c>
      <c r="Q5" s="805" t="s">
        <v>641</v>
      </c>
      <c r="R5" s="799" t="s">
        <v>618</v>
      </c>
      <c r="S5" s="799"/>
      <c r="T5" s="300" t="s">
        <v>264</v>
      </c>
      <c r="U5" s="300" t="s">
        <v>265</v>
      </c>
      <c r="V5" s="300" t="s">
        <v>266</v>
      </c>
      <c r="W5" s="246" t="s">
        <v>50</v>
      </c>
      <c r="X5" s="297" t="s">
        <v>255</v>
      </c>
      <c r="Y5" s="297" t="s">
        <v>267</v>
      </c>
      <c r="Z5" s="297" t="s">
        <v>268</v>
      </c>
    </row>
    <row r="6" spans="1:29" x14ac:dyDescent="0.2">
      <c r="A6" s="247">
        <v>1</v>
      </c>
      <c r="B6" s="301" t="s">
        <v>269</v>
      </c>
      <c r="C6" s="302" t="s">
        <v>270</v>
      </c>
      <c r="D6" s="303" t="str">
        <f>IF(COUNTIF('Surv2-3'!P:P,'Annual Rev &amp; Fees'!B6)&gt;0,"H","")</f>
        <v/>
      </c>
      <c r="E6" s="303"/>
      <c r="F6" s="304" t="e">
        <f>-K6/I6</f>
        <v>#DIV/0!</v>
      </c>
      <c r="G6" s="305" t="e">
        <f>-K6/J6</f>
        <v>#DIV/0!</v>
      </c>
      <c r="H6" s="306"/>
      <c r="I6" s="307">
        <f>'0040'!$J$107</f>
        <v>0</v>
      </c>
      <c r="J6" s="307">
        <f>'0040'!$J$109</f>
        <v>0</v>
      </c>
      <c r="K6" s="307">
        <f>'0040'!$J$114</f>
        <v>0</v>
      </c>
      <c r="L6" s="307">
        <f>'0040'!$J$116</f>
        <v>0</v>
      </c>
      <c r="M6" s="308">
        <f>'0040'!$J$124</f>
        <v>0</v>
      </c>
      <c r="N6" s="309"/>
      <c r="O6" s="307">
        <f>'0040'!E28</f>
        <v>0</v>
      </c>
      <c r="P6" s="307">
        <f>'0040'!E50</f>
        <v>0</v>
      </c>
      <c r="Q6" s="818" t="e">
        <f>(-SUMIFS('Surv2-3'!J:J,'Surv2-3'!H:H,$B6,'Surv2-3'!I:I,"&lt;=103")-SUMIFS('Surv2-3'!C:C,'Surv2-3'!A:A,$B6,'Surv2-3'!B:B,"&lt;=103")-SUMIFS('Surv2-3'!J:J,'Surv2-3'!H:H,$B6,'Surv2-3'!I:I,130)-SUMIFS('Surv2-3'!C:C,'Surv2-3'!A:A,$B6,'Surv2-3'!B:B,130))/O6+1</f>
        <v>#DIV/0!</v>
      </c>
      <c r="R6" s="307">
        <f>'0040'!E97</f>
        <v>0</v>
      </c>
      <c r="T6" s="308" t="e">
        <f t="shared" ref="T6:T18" si="0">I6/O6</f>
        <v>#DIV/0!</v>
      </c>
      <c r="U6" s="308" t="e">
        <f t="shared" ref="U6:U18" si="1">K6/O6</f>
        <v>#DIV/0!</v>
      </c>
      <c r="V6" s="308" t="e">
        <f t="shared" ref="V6:V18" si="2">L6/O6</f>
        <v>#DIV/0!</v>
      </c>
      <c r="X6" s="308">
        <f>IF(D6="H",V6,0)</f>
        <v>0</v>
      </c>
      <c r="Y6" s="308">
        <f t="shared" ref="Y6:Y56" si="3">ROUND(IF(E6=1,V6,0),2)</f>
        <v>0</v>
      </c>
      <c r="Z6" s="308" t="e">
        <f t="shared" ref="Z6:Z52" si="4">IF(AND(X6=0,Y6=0),V6,)</f>
        <v>#DIV/0!</v>
      </c>
      <c r="AB6" s="665"/>
      <c r="AC6" s="309"/>
    </row>
    <row r="7" spans="1:29" x14ac:dyDescent="0.2">
      <c r="A7" s="247">
        <v>2</v>
      </c>
      <c r="B7" s="310" t="s">
        <v>582</v>
      </c>
      <c r="C7" s="302" t="s">
        <v>583</v>
      </c>
      <c r="D7" s="303" t="str">
        <f>IF(COUNTIF('Surv2-3'!P:P,'Annual Rev &amp; Fees'!B7)&gt;0,"H","")</f>
        <v/>
      </c>
      <c r="E7" s="660"/>
      <c r="F7" s="304">
        <f>-K7/I7</f>
        <v>4.7330677855472722E-2</v>
      </c>
      <c r="G7" s="305">
        <f>-K7/J7</f>
        <v>4.999999552045134E-2</v>
      </c>
      <c r="H7" s="306"/>
      <c r="I7" s="307">
        <f>'0571'!$J$107</f>
        <v>1061220.17</v>
      </c>
      <c r="J7" s="307">
        <f>'0571'!$J$109</f>
        <v>1004565.4899999999</v>
      </c>
      <c r="K7" s="307">
        <f>'0571'!$J$114</f>
        <v>-50228.27</v>
      </c>
      <c r="L7" s="307">
        <f>'0571'!$J$116</f>
        <v>1010991.8999999999</v>
      </c>
      <c r="M7" s="308">
        <f>'0571'!$J$124</f>
        <v>83079.759999999995</v>
      </c>
      <c r="N7" s="309"/>
      <c r="O7" s="307">
        <f>'0571'!E28</f>
        <v>125.54</v>
      </c>
      <c r="P7" s="802">
        <f>'0571'!E50</f>
        <v>31.01</v>
      </c>
      <c r="Q7" s="819">
        <f>(-SUMIFS('Surv2-3'!J:J,'Surv2-3'!H:H,$B7,'Surv2-3'!I:I,"&lt;=103")-SUMIFS('Surv2-3'!C:C,'Surv2-3'!A:A,$B7,'Surv2-3'!B:B,"&lt;=103")-SUMIFS('Surv2-3'!J:J,'Surv2-3'!H:H,$B7,'Surv2-3'!I:I,130)-SUMIFS('Surv2-3'!C:C,'Surv2-3'!A:A,$B7,'Surv2-3'!B:B,130))/O7+1</f>
        <v>0.25306675163294567</v>
      </c>
      <c r="R7" s="802">
        <f>'0571'!E97</f>
        <v>30</v>
      </c>
      <c r="T7" s="308">
        <f t="shared" si="0"/>
        <v>8453.2433487334711</v>
      </c>
      <c r="U7" s="308">
        <f t="shared" si="1"/>
        <v>-400.09773777282135</v>
      </c>
      <c r="V7" s="308">
        <f t="shared" si="2"/>
        <v>8053.1456109606488</v>
      </c>
      <c r="X7" s="308">
        <f>IF(D7="H",V7,0)</f>
        <v>0</v>
      </c>
      <c r="Y7" s="308">
        <f t="shared" ref="Y7" si="5">ROUND(IF(E7=1,V7,0),2)</f>
        <v>0</v>
      </c>
      <c r="Z7" s="308">
        <f t="shared" ref="Z7" si="6">IF(AND(X7=0,Y7=0),V7,)</f>
        <v>8053.1456109606488</v>
      </c>
      <c r="AB7" s="665"/>
      <c r="AC7" s="309"/>
    </row>
    <row r="8" spans="1:29" x14ac:dyDescent="0.2">
      <c r="A8" s="247">
        <v>3</v>
      </c>
      <c r="B8" s="310" t="s">
        <v>271</v>
      </c>
      <c r="C8" s="661" t="s">
        <v>379</v>
      </c>
      <c r="D8" s="303" t="str">
        <f>IF(COUNTIF('Surv2-3'!P:P,'Annual Rev &amp; Fees'!B8)&gt;0,"H","")</f>
        <v/>
      </c>
      <c r="E8" s="664">
        <v>1</v>
      </c>
      <c r="F8" s="304">
        <f>-K8/I8</f>
        <v>9.6412432388375824E-3</v>
      </c>
      <c r="G8" s="305">
        <f t="shared" ref="G8:G59" si="7">-K8/J8</f>
        <v>1.0234472186078682E-2</v>
      </c>
      <c r="H8" s="294"/>
      <c r="I8" s="307">
        <f>'0100'!$J$107</f>
        <v>888046.25999999989</v>
      </c>
      <c r="J8" s="307">
        <f>'0100'!$J$109</f>
        <v>836571.71999999986</v>
      </c>
      <c r="K8" s="307">
        <f>'0100'!$J$114</f>
        <v>-8561.8700000000008</v>
      </c>
      <c r="L8" s="307">
        <f>'0100'!$J$116</f>
        <v>879484.3899999999</v>
      </c>
      <c r="M8" s="308">
        <f>'0100'!$J$124</f>
        <v>73194.289999999994</v>
      </c>
      <c r="N8" s="294"/>
      <c r="O8" s="307">
        <f>'0100'!E28</f>
        <v>27</v>
      </c>
      <c r="P8" s="802">
        <f>'0100'!E50</f>
        <v>1</v>
      </c>
      <c r="Q8" s="819">
        <f>(-SUMIFS('Surv2-3'!J:J,'Surv2-3'!H:H,$B8,'Surv2-3'!I:I,"&lt;=103")-SUMIFS('Surv2-3'!C:C,'Surv2-3'!A:A,$B8,'Surv2-3'!B:B,"&lt;=103")-SUMIFS('Surv2-3'!J:J,'Surv2-3'!H:H,$B8,'Surv2-3'!I:I,130)-SUMIFS('Surv2-3'!C:C,'Surv2-3'!A:A,$B8,'Surv2-3'!B:B,130))/O8+1</f>
        <v>1</v>
      </c>
      <c r="R8" s="802">
        <f>'0100'!E97</f>
        <v>0</v>
      </c>
      <c r="T8" s="308">
        <f t="shared" si="0"/>
        <v>32890.602222222216</v>
      </c>
      <c r="U8" s="308">
        <f t="shared" si="1"/>
        <v>-317.10629629629631</v>
      </c>
      <c r="V8" s="308">
        <f t="shared" si="2"/>
        <v>32573.495925925923</v>
      </c>
      <c r="X8" s="308">
        <f>IF(D8="H",V8,0)</f>
        <v>0</v>
      </c>
      <c r="Y8" s="308">
        <f t="shared" si="3"/>
        <v>32573.5</v>
      </c>
      <c r="Z8" s="308">
        <f t="shared" si="4"/>
        <v>0</v>
      </c>
      <c r="AB8" s="665"/>
      <c r="AC8" s="309"/>
    </row>
    <row r="9" spans="1:29" x14ac:dyDescent="0.2">
      <c r="A9" s="247">
        <v>4</v>
      </c>
      <c r="B9" s="311" t="s">
        <v>273</v>
      </c>
      <c r="C9" s="302" t="s">
        <v>274</v>
      </c>
      <c r="D9" s="303" t="str">
        <f>IF(COUNTIF('Surv2-3'!P:P,'Annual Rev &amp; Fees'!B9)&gt;0,"H","")</f>
        <v>H</v>
      </c>
      <c r="E9" s="303" t="s">
        <v>580</v>
      </c>
      <c r="F9" s="304">
        <f>-K9/I9</f>
        <v>5.7330099545292584E-3</v>
      </c>
      <c r="G9" s="305">
        <f t="shared" si="7"/>
        <v>6.0362415640504491E-3</v>
      </c>
      <c r="H9" s="306"/>
      <c r="I9" s="307">
        <f>'1461'!$J$107</f>
        <v>7622495.0499999998</v>
      </c>
      <c r="J9" s="307">
        <f>'1461'!$J$109</f>
        <v>7239577.7299999995</v>
      </c>
      <c r="K9" s="307">
        <f>'1461'!$J$114</f>
        <v>-43699.839999999997</v>
      </c>
      <c r="L9" s="307">
        <f>'1461'!$J$116</f>
        <v>7578795.21</v>
      </c>
      <c r="M9" s="308">
        <f>'1461'!$J$124</f>
        <v>629061.48</v>
      </c>
      <c r="N9" s="309"/>
      <c r="O9" s="307">
        <f>'1461'!E28</f>
        <v>828.32999999999993</v>
      </c>
      <c r="P9" s="802">
        <f>'1461'!E50</f>
        <v>87.27</v>
      </c>
      <c r="Q9" s="819">
        <f>(-SUMIFS('Surv2-3'!J:J,'Surv2-3'!H:H,$B9,'Surv2-3'!I:I,"&lt;=103")-SUMIFS('Surv2-3'!C:C,'Surv2-3'!A:A,$B9,'Surv2-3'!B:B,"&lt;=103")-SUMIFS('Surv2-3'!J:J,'Surv2-3'!H:H,$B9,'Surv2-3'!I:I,130)-SUMIFS('Surv2-3'!C:C,'Surv2-3'!A:A,$B9,'Surv2-3'!B:B,130))/O9+1</f>
        <v>0.30784832132121254</v>
      </c>
      <c r="R9" s="802">
        <f>'1461'!E97</f>
        <v>507.5</v>
      </c>
      <c r="T9" s="308">
        <f t="shared" si="0"/>
        <v>9202.2443349872647</v>
      </c>
      <c r="U9" s="308">
        <f t="shared" si="1"/>
        <v>-52.756558376492464</v>
      </c>
      <c r="V9" s="308">
        <f t="shared" si="2"/>
        <v>9149.4877766107711</v>
      </c>
      <c r="X9" s="308">
        <f>IF(D9="H",V9,0)</f>
        <v>9149.4877766107711</v>
      </c>
      <c r="Y9" s="308">
        <f t="shared" si="3"/>
        <v>0</v>
      </c>
      <c r="Z9" s="308">
        <f t="shared" si="4"/>
        <v>0</v>
      </c>
      <c r="AB9" s="665"/>
      <c r="AC9" s="309"/>
    </row>
    <row r="10" spans="1:29" x14ac:dyDescent="0.2">
      <c r="A10" s="247">
        <v>5</v>
      </c>
      <c r="B10" s="311" t="s">
        <v>275</v>
      </c>
      <c r="C10" s="302" t="s">
        <v>276</v>
      </c>
      <c r="D10" s="303" t="str">
        <f>IF(COUNTIF('Surv2-3'!P:P,'Annual Rev &amp; Fees'!B10)&gt;0,"H","")</f>
        <v>H</v>
      </c>
      <c r="E10" s="303" t="s">
        <v>580</v>
      </c>
      <c r="F10" s="304">
        <f t="shared" ref="F10:F53" si="8">-K10/I10</f>
        <v>4.335210037708627E-3</v>
      </c>
      <c r="G10" s="305">
        <f t="shared" si="7"/>
        <v>4.5525726549002716E-3</v>
      </c>
      <c r="H10" s="306"/>
      <c r="I10" s="307">
        <f>'1571'!$J$107</f>
        <v>10553500.199999999</v>
      </c>
      <c r="J10" s="307">
        <f>'1571'!$J$109</f>
        <v>10049623.25</v>
      </c>
      <c r="K10" s="307">
        <f>'1571'!$J$114</f>
        <v>-45751.64</v>
      </c>
      <c r="L10" s="307">
        <f>'1571'!$J$116</f>
        <v>10507748.559999999</v>
      </c>
      <c r="M10" s="308">
        <f>'1571'!$J$124</f>
        <v>864367.77</v>
      </c>
      <c r="N10" s="309"/>
      <c r="O10" s="307">
        <f>'1571'!E28</f>
        <v>1098.28</v>
      </c>
      <c r="P10" s="802">
        <f>'1571'!E50</f>
        <v>282.41000000000003</v>
      </c>
      <c r="Q10" s="819">
        <f>(-SUMIFS('Surv2-3'!J:J,'Surv2-3'!H:H,$B10,'Surv2-3'!I:I,"&lt;=103")-SUMIFS('Surv2-3'!C:C,'Surv2-3'!A:A,$B10,'Surv2-3'!B:B,"&lt;=103")-SUMIFS('Surv2-3'!J:J,'Surv2-3'!H:H,$B10,'Surv2-3'!I:I,130)-SUMIFS('Surv2-3'!C:C,'Surv2-3'!A:A,$B10,'Surv2-3'!B:B,130))/O10+1</f>
        <v>0.48781731434606834</v>
      </c>
      <c r="R10" s="802">
        <f>'1571'!E97</f>
        <v>783</v>
      </c>
      <c r="T10" s="308">
        <f t="shared" si="0"/>
        <v>9609.1162545070474</v>
      </c>
      <c r="U10" s="308">
        <f t="shared" si="1"/>
        <v>-41.657537240048079</v>
      </c>
      <c r="V10" s="308">
        <f t="shared" si="2"/>
        <v>9567.4587172669981</v>
      </c>
      <c r="X10" s="308">
        <f t="shared" ref="X10:X56" si="9">IF(D10="H",V10,0)</f>
        <v>9567.4587172669981</v>
      </c>
      <c r="Y10" s="308">
        <f t="shared" si="3"/>
        <v>0</v>
      </c>
      <c r="Z10" s="308">
        <f t="shared" si="4"/>
        <v>0</v>
      </c>
      <c r="AB10" s="665"/>
      <c r="AC10" s="309"/>
    </row>
    <row r="11" spans="1:29" x14ac:dyDescent="0.2">
      <c r="A11" s="247">
        <v>6</v>
      </c>
      <c r="B11" s="311" t="s">
        <v>277</v>
      </c>
      <c r="C11" s="302" t="s">
        <v>278</v>
      </c>
      <c r="D11" s="303" t="str">
        <f>IF(COUNTIF('Surv2-3'!P:P,'Annual Rev &amp; Fees'!B11)&gt;0,"H","")</f>
        <v/>
      </c>
      <c r="E11" s="303">
        <v>1</v>
      </c>
      <c r="F11" s="304">
        <f t="shared" si="8"/>
        <v>2.1548749859327952E-2</v>
      </c>
      <c r="G11" s="305">
        <f t="shared" si="7"/>
        <v>2.2454711484996302E-2</v>
      </c>
      <c r="H11" s="306"/>
      <c r="I11" s="307">
        <f>'2521'!$J$107</f>
        <v>1358834.28</v>
      </c>
      <c r="J11" s="307">
        <f>'2521'!$J$109</f>
        <v>1304010.52</v>
      </c>
      <c r="K11" s="307">
        <f>'2521'!$J$114</f>
        <v>-29281.18</v>
      </c>
      <c r="L11" s="307">
        <f>'2521'!$J$116</f>
        <v>1329553.1000000001</v>
      </c>
      <c r="M11" s="308">
        <f>'2521'!$J$124</f>
        <v>110758.87</v>
      </c>
      <c r="N11" s="309"/>
      <c r="O11" s="307">
        <f>'2521'!E28</f>
        <v>73.69</v>
      </c>
      <c r="P11" s="802">
        <f>'2521'!E50</f>
        <v>54.98</v>
      </c>
      <c r="Q11" s="819">
        <f>(-SUMIFS('Surv2-3'!J:J,'Surv2-3'!H:H,$B11,'Surv2-3'!I:I,"&lt;=103")-SUMIFS('Surv2-3'!C:C,'Surv2-3'!A:A,$B11,'Surv2-3'!B:B,"&lt;=103")-SUMIFS('Surv2-3'!J:J,'Surv2-3'!H:H,$B11,'Surv2-3'!I:I,130)-SUMIFS('Surv2-3'!C:C,'Surv2-3'!A:A,$B11,'Surv2-3'!B:B,130))/O11+1</f>
        <v>1</v>
      </c>
      <c r="R11" s="802">
        <f>'2521'!E97</f>
        <v>48</v>
      </c>
      <c r="T11" s="308">
        <f t="shared" si="0"/>
        <v>18439.873524223098</v>
      </c>
      <c r="U11" s="308">
        <f t="shared" si="1"/>
        <v>-397.35622201112773</v>
      </c>
      <c r="V11" s="308">
        <f t="shared" si="2"/>
        <v>18042.517302211971</v>
      </c>
      <c r="X11" s="308">
        <f t="shared" si="9"/>
        <v>0</v>
      </c>
      <c r="Y11" s="308">
        <f t="shared" si="3"/>
        <v>18042.52</v>
      </c>
      <c r="Z11" s="308">
        <f t="shared" si="4"/>
        <v>0</v>
      </c>
      <c r="AB11" s="665"/>
      <c r="AC11" s="309"/>
    </row>
    <row r="12" spans="1:29" x14ac:dyDescent="0.2">
      <c r="A12" s="247">
        <v>7</v>
      </c>
      <c r="B12" s="311" t="s">
        <v>279</v>
      </c>
      <c r="C12" s="302" t="s">
        <v>280</v>
      </c>
      <c r="D12" s="303" t="str">
        <f>IF(COUNTIF('Surv2-3'!P:P,'Annual Rev &amp; Fees'!B12)&gt;0,"H","")</f>
        <v/>
      </c>
      <c r="E12" s="303">
        <v>1</v>
      </c>
      <c r="F12" s="304">
        <f t="shared" si="8"/>
        <v>1.1674349678805346E-2</v>
      </c>
      <c r="G12" s="305">
        <f t="shared" si="7"/>
        <v>1.2304499477435909E-2</v>
      </c>
      <c r="H12" s="306"/>
      <c r="I12" s="307">
        <f>'2531'!$J$107</f>
        <v>1462609.9499999997</v>
      </c>
      <c r="J12" s="307">
        <f>'2531'!$J$109</f>
        <v>1387705.3699999996</v>
      </c>
      <c r="K12" s="307">
        <f>'2531'!$J$114</f>
        <v>-17075.02</v>
      </c>
      <c r="L12" s="307">
        <f>'2531'!$J$116</f>
        <v>1445534.9299999997</v>
      </c>
      <c r="M12" s="308">
        <f>'2531'!$J$124</f>
        <v>120376.14</v>
      </c>
      <c r="N12" s="309"/>
      <c r="O12" s="307">
        <f>'2531'!E28</f>
        <v>48.539999999999992</v>
      </c>
      <c r="P12" s="802">
        <f>'2531'!E50</f>
        <v>22.98</v>
      </c>
      <c r="Q12" s="819">
        <f>(-SUMIFS('Surv2-3'!J:J,'Surv2-3'!H:H,$B12,'Surv2-3'!I:I,"&lt;=103")-SUMIFS('Surv2-3'!C:C,'Surv2-3'!A:A,$B12,'Surv2-3'!B:B,"&lt;=103")-SUMIFS('Surv2-3'!J:J,'Surv2-3'!H:H,$B12,'Surv2-3'!I:I,130)-SUMIFS('Surv2-3'!C:C,'Surv2-3'!A:A,$B12,'Surv2-3'!B:B,130))/O12+1</f>
        <v>1</v>
      </c>
      <c r="R12" s="802">
        <f>'2531'!E97</f>
        <v>27</v>
      </c>
      <c r="T12" s="308">
        <f t="shared" si="0"/>
        <v>30132.055006180468</v>
      </c>
      <c r="U12" s="308">
        <f t="shared" si="1"/>
        <v>-351.77214668314798</v>
      </c>
      <c r="V12" s="308">
        <f t="shared" si="2"/>
        <v>29780.282859497322</v>
      </c>
      <c r="X12" s="308">
        <f t="shared" si="9"/>
        <v>0</v>
      </c>
      <c r="Y12" s="308">
        <f t="shared" si="3"/>
        <v>29780.28</v>
      </c>
      <c r="Z12" s="308">
        <f t="shared" si="4"/>
        <v>0</v>
      </c>
      <c r="AB12" s="665"/>
      <c r="AC12" s="309"/>
    </row>
    <row r="13" spans="1:29" x14ac:dyDescent="0.2">
      <c r="A13" s="247">
        <v>8</v>
      </c>
      <c r="B13" s="311">
        <v>2791</v>
      </c>
      <c r="C13" s="302" t="s">
        <v>282</v>
      </c>
      <c r="D13" s="303" t="str">
        <f>IF(COUNTIF('Surv2-3'!P:P,'Annual Rev &amp; Fees'!B13)&gt;0,"H","")</f>
        <v/>
      </c>
      <c r="E13" s="303">
        <v>1</v>
      </c>
      <c r="F13" s="304">
        <f t="shared" si="8"/>
        <v>9.2115771312549308E-3</v>
      </c>
      <c r="G13" s="305">
        <f t="shared" si="7"/>
        <v>9.7737899558125851E-3</v>
      </c>
      <c r="H13" s="306"/>
      <c r="I13" s="307">
        <f>'2791'!$J$107</f>
        <v>5922230.1699999999</v>
      </c>
      <c r="J13" s="307">
        <f>'2791'!$J$109</f>
        <v>5581568.6899999995</v>
      </c>
      <c r="K13" s="307">
        <f>'2791'!$J$114</f>
        <v>-54553.08</v>
      </c>
      <c r="L13" s="307">
        <f>'2791'!$J$116</f>
        <v>5867677.0899999999</v>
      </c>
      <c r="M13" s="308">
        <f>'2791'!$J$124</f>
        <v>488761.33</v>
      </c>
      <c r="N13" s="309"/>
      <c r="O13" s="307">
        <f>'2791'!E28</f>
        <v>173.06</v>
      </c>
      <c r="P13" s="802">
        <f>'2791'!E50</f>
        <v>5.04</v>
      </c>
      <c r="Q13" s="819">
        <f>(-SUMIFS('Surv2-3'!J:J,'Surv2-3'!H:H,$B13,'Surv2-3'!I:I,"&lt;=103")-SUMIFS('Surv2-3'!C:C,'Surv2-3'!A:A,$B13,'Surv2-3'!B:B,"&lt;=103")-SUMIFS('Surv2-3'!J:J,'Surv2-3'!H:H,$B13,'Surv2-3'!I:I,130)-SUMIFS('Surv2-3'!C:C,'Surv2-3'!A:A,$B13,'Surv2-3'!B:B,130))/O13+1</f>
        <v>1</v>
      </c>
      <c r="R13" s="802">
        <f>'2791'!E97</f>
        <v>0</v>
      </c>
      <c r="T13" s="308">
        <f t="shared" si="0"/>
        <v>34220.675892753956</v>
      </c>
      <c r="U13" s="308">
        <f t="shared" si="1"/>
        <v>-315.22639546977928</v>
      </c>
      <c r="V13" s="308">
        <f t="shared" si="2"/>
        <v>33905.449497284179</v>
      </c>
      <c r="X13" s="308">
        <f t="shared" si="9"/>
        <v>0</v>
      </c>
      <c r="Y13" s="308">
        <f t="shared" si="3"/>
        <v>33905.449999999997</v>
      </c>
      <c r="Z13" s="308">
        <f t="shared" si="4"/>
        <v>0</v>
      </c>
      <c r="AB13" s="665"/>
      <c r="AC13" s="309"/>
    </row>
    <row r="14" spans="1:29" x14ac:dyDescent="0.2">
      <c r="A14" s="247">
        <v>9</v>
      </c>
      <c r="B14" s="311" t="s">
        <v>283</v>
      </c>
      <c r="C14" s="312" t="s">
        <v>284</v>
      </c>
      <c r="D14" s="303" t="str">
        <f>IF(COUNTIF('Surv2-3'!P:P,'Annual Rev &amp; Fees'!B14)&gt;0,"H","")</f>
        <v/>
      </c>
      <c r="E14" s="303" t="s">
        <v>580</v>
      </c>
      <c r="F14" s="304">
        <f t="shared" si="8"/>
        <v>2.1303007917853556E-2</v>
      </c>
      <c r="G14" s="305">
        <f t="shared" si="7"/>
        <v>2.2507518435110032E-2</v>
      </c>
      <c r="H14" s="306"/>
      <c r="I14" s="307">
        <f>'2801'!$J$107</f>
        <v>5229326.32</v>
      </c>
      <c r="J14" s="307">
        <f>'2801'!$J$109</f>
        <v>4949474.12</v>
      </c>
      <c r="K14" s="307">
        <f>'2801'!$J$114</f>
        <v>-111400.38</v>
      </c>
      <c r="L14" s="307">
        <f>'2801'!$J$116</f>
        <v>5117925.9400000004</v>
      </c>
      <c r="M14" s="308">
        <f>'2801'!$J$124</f>
        <v>426595.58</v>
      </c>
      <c r="N14" s="309"/>
      <c r="O14" s="307">
        <f>'2801'!E28</f>
        <v>555.37000000000012</v>
      </c>
      <c r="P14" s="802">
        <f>'2801'!E50</f>
        <v>83.49</v>
      </c>
      <c r="Q14" s="819">
        <f>(-SUMIFS('Surv2-3'!J:J,'Surv2-3'!H:H,$B14,'Surv2-3'!I:I,"&lt;=103")-SUMIFS('Surv2-3'!C:C,'Surv2-3'!A:A,$B14,'Surv2-3'!B:B,"&lt;=103")-SUMIFS('Surv2-3'!J:J,'Surv2-3'!H:H,$B14,'Surv2-3'!I:I,130)-SUMIFS('Surv2-3'!C:C,'Surv2-3'!A:A,$B14,'Surv2-3'!B:B,130))/O14+1</f>
        <v>0.15033221095846028</v>
      </c>
      <c r="R14" s="802">
        <f>'2801'!E97</f>
        <v>223</v>
      </c>
      <c r="T14" s="308">
        <f t="shared" si="0"/>
        <v>9415.9322973873259</v>
      </c>
      <c r="U14" s="308">
        <f t="shared" si="1"/>
        <v>-200.58768028521521</v>
      </c>
      <c r="V14" s="308">
        <f t="shared" si="2"/>
        <v>9215.3446171021114</v>
      </c>
      <c r="X14" s="308">
        <f t="shared" si="9"/>
        <v>0</v>
      </c>
      <c r="Y14" s="308">
        <f t="shared" si="3"/>
        <v>0</v>
      </c>
      <c r="Z14" s="308">
        <f t="shared" si="4"/>
        <v>9215.3446171021114</v>
      </c>
      <c r="AB14" s="665"/>
      <c r="AC14" s="309"/>
    </row>
    <row r="15" spans="1:29" x14ac:dyDescent="0.2">
      <c r="A15" s="247">
        <v>10</v>
      </c>
      <c r="B15" s="311" t="s">
        <v>285</v>
      </c>
      <c r="C15" s="302" t="s">
        <v>286</v>
      </c>
      <c r="D15" s="303" t="str">
        <f>IF(COUNTIF('Surv2-3'!P:P,'Annual Rev &amp; Fees'!B15)&gt;0,"H","")</f>
        <v>H</v>
      </c>
      <c r="E15" s="303" t="s">
        <v>580</v>
      </c>
      <c r="F15" s="304">
        <f t="shared" si="8"/>
        <v>6.0715682199116404E-3</v>
      </c>
      <c r="G15" s="305">
        <f t="shared" si="7"/>
        <v>6.4174962788653171E-3</v>
      </c>
      <c r="H15" s="306"/>
      <c r="I15" s="307">
        <f>'2911'!$J$107</f>
        <v>6978900.4200000009</v>
      </c>
      <c r="J15" s="307">
        <f>'2911'!$J$109</f>
        <v>6602710.4900000012</v>
      </c>
      <c r="K15" s="307">
        <f>'2911'!$J$114</f>
        <v>-42372.87</v>
      </c>
      <c r="L15" s="307">
        <f>'2911'!$J$116</f>
        <v>6936527.5500000007</v>
      </c>
      <c r="M15" s="308">
        <f>'2911'!$J$124</f>
        <v>577409.68000000005</v>
      </c>
      <c r="N15" s="309"/>
      <c r="O15" s="307">
        <f>'2911'!E28</f>
        <v>779.11999999999989</v>
      </c>
      <c r="P15" s="802">
        <f>'2911'!E50</f>
        <v>169.30999999999997</v>
      </c>
      <c r="Q15" s="819">
        <f>(-SUMIFS('Surv2-3'!J:J,'Surv2-3'!H:H,$B15,'Surv2-3'!I:I,"&lt;=103")-SUMIFS('Surv2-3'!C:C,'Surv2-3'!A:A,$B15,'Surv2-3'!B:B,"&lt;=103")-SUMIFS('Surv2-3'!J:J,'Surv2-3'!H:H,$B15,'Surv2-3'!I:I,130)-SUMIFS('Surv2-3'!C:C,'Surv2-3'!A:A,$B15,'Surv2-3'!B:B,130))/O15+1</f>
        <v>0.21730927199917838</v>
      </c>
      <c r="R15" s="802">
        <f>'2911'!E97</f>
        <v>0</v>
      </c>
      <c r="T15" s="308">
        <f t="shared" si="0"/>
        <v>8957.4140312147065</v>
      </c>
      <c r="U15" s="308">
        <f t="shared" si="1"/>
        <v>-54.385550364513819</v>
      </c>
      <c r="V15" s="308">
        <f t="shared" si="2"/>
        <v>8903.0284808501929</v>
      </c>
      <c r="X15" s="308">
        <f t="shared" si="9"/>
        <v>8903.0284808501929</v>
      </c>
      <c r="Y15" s="308">
        <f t="shared" si="3"/>
        <v>0</v>
      </c>
      <c r="Z15" s="308">
        <f t="shared" si="4"/>
        <v>0</v>
      </c>
      <c r="AB15" s="665"/>
      <c r="AC15" s="309"/>
    </row>
    <row r="16" spans="1:29" x14ac:dyDescent="0.2">
      <c r="A16" s="247">
        <v>11</v>
      </c>
      <c r="B16" s="311" t="s">
        <v>287</v>
      </c>
      <c r="C16" s="302" t="s">
        <v>288</v>
      </c>
      <c r="D16" s="303" t="str">
        <f>IF(COUNTIF('Surv2-3'!P:P,'Annual Rev &amp; Fees'!B16)&gt;0,"H","")</f>
        <v/>
      </c>
      <c r="E16" s="303">
        <v>1</v>
      </c>
      <c r="F16" s="304">
        <f t="shared" si="8"/>
        <v>7.3477953136888412E-3</v>
      </c>
      <c r="G16" s="305">
        <f t="shared" si="7"/>
        <v>7.7764750825695924E-3</v>
      </c>
      <c r="H16" s="306"/>
      <c r="I16" s="307">
        <f>'2941'!$J$107</f>
        <v>11273533.959999999</v>
      </c>
      <c r="J16" s="307">
        <f>'2941'!$J$109</f>
        <v>10652078.109999999</v>
      </c>
      <c r="K16" s="307">
        <f>'2941'!$J$114</f>
        <v>-82835.62</v>
      </c>
      <c r="L16" s="307">
        <f>'2941'!$J$116</f>
        <v>11190698.34</v>
      </c>
      <c r="M16" s="308">
        <f>'2941'!$J$124</f>
        <v>932786.67</v>
      </c>
      <c r="N16" s="309"/>
      <c r="O16" s="307">
        <f>'2941'!E28</f>
        <v>380.07</v>
      </c>
      <c r="P16" s="802">
        <f>'2941'!E50</f>
        <v>81.08</v>
      </c>
      <c r="Q16" s="819">
        <f>(-SUMIFS('Surv2-3'!J:J,'Surv2-3'!H:H,$B16,'Surv2-3'!I:I,"&lt;=103")-SUMIFS('Surv2-3'!C:C,'Surv2-3'!A:A,$B16,'Surv2-3'!B:B,"&lt;=103")-SUMIFS('Surv2-3'!J:J,'Surv2-3'!H:H,$B16,'Surv2-3'!I:I,130)-SUMIFS('Surv2-3'!C:C,'Surv2-3'!A:A,$B16,'Surv2-3'!B:B,130))/O16+1</f>
        <v>0.99868445286394614</v>
      </c>
      <c r="R16" s="802">
        <f>'2941'!E97</f>
        <v>0</v>
      </c>
      <c r="T16" s="308">
        <f t="shared" si="0"/>
        <v>29661.730628568421</v>
      </c>
      <c r="U16" s="308">
        <f t="shared" si="1"/>
        <v>-217.94832530849578</v>
      </c>
      <c r="V16" s="308">
        <f t="shared" si="2"/>
        <v>29443.782303259926</v>
      </c>
      <c r="X16" s="308">
        <f t="shared" si="9"/>
        <v>0</v>
      </c>
      <c r="Y16" s="308">
        <f t="shared" si="3"/>
        <v>29443.78</v>
      </c>
      <c r="Z16" s="308">
        <f t="shared" si="4"/>
        <v>0</v>
      </c>
      <c r="AB16" s="665"/>
      <c r="AC16" s="309"/>
    </row>
    <row r="17" spans="1:29" x14ac:dyDescent="0.2">
      <c r="A17" s="247">
        <v>12</v>
      </c>
      <c r="B17" s="311" t="s">
        <v>289</v>
      </c>
      <c r="C17" s="312" t="s">
        <v>290</v>
      </c>
      <c r="D17" s="303" t="str">
        <f>IF(COUNTIF('Surv2-3'!P:P,'Annual Rev &amp; Fees'!B17)&gt;0,"H","")</f>
        <v/>
      </c>
      <c r="E17" s="303">
        <v>1</v>
      </c>
      <c r="F17" s="304">
        <f t="shared" si="8"/>
        <v>8.2079823622643044E-3</v>
      </c>
      <c r="G17" s="305">
        <f t="shared" si="7"/>
        <v>8.7069381729876598E-3</v>
      </c>
      <c r="H17" s="306"/>
      <c r="I17" s="307">
        <f>'3083'!$J$107</f>
        <v>6691008.5299999993</v>
      </c>
      <c r="J17" s="307">
        <f>'3083'!$J$109</f>
        <v>6307576.6599999992</v>
      </c>
      <c r="K17" s="307">
        <f>'3083'!$J$114</f>
        <v>-54919.68</v>
      </c>
      <c r="L17" s="307">
        <f>'3083'!$J$116</f>
        <v>6636088.8499999996</v>
      </c>
      <c r="M17" s="308">
        <f>'3083'!$J$124</f>
        <v>552656</v>
      </c>
      <c r="N17" s="309"/>
      <c r="O17" s="307">
        <f>'3083'!E28</f>
        <v>179.4</v>
      </c>
      <c r="P17" s="802">
        <f>'3083'!E50</f>
        <v>11.96</v>
      </c>
      <c r="Q17" s="819">
        <f>(-SUMIFS('Surv2-3'!J:J,'Surv2-3'!H:H,$B17,'Surv2-3'!I:I,"&lt;=103")-SUMIFS('Surv2-3'!C:C,'Surv2-3'!A:A,$B17,'Surv2-3'!B:B,"&lt;=103")-SUMIFS('Surv2-3'!J:J,'Surv2-3'!H:H,$B17,'Surv2-3'!I:I,130)-SUMIFS('Surv2-3'!C:C,'Surv2-3'!A:A,$B17,'Surv2-3'!B:B,130))/O17+1</f>
        <v>1</v>
      </c>
      <c r="R17" s="802">
        <f>'3083'!E97</f>
        <v>1</v>
      </c>
      <c r="T17" s="308">
        <f t="shared" si="0"/>
        <v>37296.591583054622</v>
      </c>
      <c r="U17" s="308">
        <f t="shared" si="1"/>
        <v>-306.1297658862876</v>
      </c>
      <c r="V17" s="308">
        <f t="shared" si="2"/>
        <v>36990.461817168332</v>
      </c>
      <c r="X17" s="308">
        <f t="shared" si="9"/>
        <v>0</v>
      </c>
      <c r="Y17" s="308">
        <f t="shared" si="3"/>
        <v>36990.46</v>
      </c>
      <c r="Z17" s="308">
        <f t="shared" si="4"/>
        <v>0</v>
      </c>
      <c r="AB17" s="665"/>
      <c r="AC17" s="309"/>
    </row>
    <row r="18" spans="1:29" x14ac:dyDescent="0.2">
      <c r="A18" s="247">
        <v>13</v>
      </c>
      <c r="B18" s="311" t="s">
        <v>291</v>
      </c>
      <c r="C18" s="312" t="s">
        <v>292</v>
      </c>
      <c r="D18" s="313" t="str">
        <f>IF(COUNTIF('Surv2-3'!P:P,'Annual Rev &amp; Fees'!B18)&gt;0,"H","")</f>
        <v/>
      </c>
      <c r="E18" s="313">
        <v>1</v>
      </c>
      <c r="F18" s="304">
        <f>-K18/I18</f>
        <v>2.9581151360899741E-2</v>
      </c>
      <c r="G18" s="305">
        <f t="shared" si="7"/>
        <v>3.0597415047178667E-2</v>
      </c>
      <c r="H18" s="306"/>
      <c r="I18" s="307">
        <f>'3345'!$J$107</f>
        <v>1165783.8999999999</v>
      </c>
      <c r="J18" s="307">
        <f>'3345'!$J$109</f>
        <v>1127063.51</v>
      </c>
      <c r="K18" s="307">
        <f>'3345'!$J$114</f>
        <v>-34485.230000000003</v>
      </c>
      <c r="L18" s="307">
        <f>'3345'!$J$116</f>
        <v>1131298.67</v>
      </c>
      <c r="M18" s="308">
        <f>'3345'!$J$124</f>
        <v>93448.16</v>
      </c>
      <c r="N18" s="309"/>
      <c r="O18" s="307">
        <f>'3345'!E28</f>
        <v>83</v>
      </c>
      <c r="P18" s="802">
        <f>'3345'!E50</f>
        <v>81.5</v>
      </c>
      <c r="Q18" s="819">
        <f>(-SUMIFS('Surv2-3'!J:J,'Surv2-3'!H:H,$B18,'Surv2-3'!I:I,"&lt;=103")-SUMIFS('Surv2-3'!C:C,'Surv2-3'!A:A,$B18,'Surv2-3'!B:B,"&lt;=103")-SUMIFS('Surv2-3'!J:J,'Surv2-3'!H:H,$B18,'Surv2-3'!I:I,130)-SUMIFS('Surv2-3'!C:C,'Surv2-3'!A:A,$B18,'Surv2-3'!B:B,130))/O18+1</f>
        <v>1</v>
      </c>
      <c r="R18" s="802">
        <f>'3345'!E97</f>
        <v>75</v>
      </c>
      <c r="T18" s="308">
        <f t="shared" si="0"/>
        <v>14045.589156626505</v>
      </c>
      <c r="U18" s="308">
        <f t="shared" si="1"/>
        <v>-415.48469879518075</v>
      </c>
      <c r="V18" s="308">
        <f t="shared" si="2"/>
        <v>13630.104457831325</v>
      </c>
      <c r="X18" s="308">
        <f t="shared" si="9"/>
        <v>0</v>
      </c>
      <c r="Y18" s="308">
        <f t="shared" si="3"/>
        <v>13630.1</v>
      </c>
      <c r="Z18" s="308">
        <f t="shared" si="4"/>
        <v>0</v>
      </c>
      <c r="AB18" s="665"/>
      <c r="AC18" s="309"/>
    </row>
    <row r="19" spans="1:29" x14ac:dyDescent="0.2">
      <c r="A19" s="247">
        <v>14</v>
      </c>
      <c r="B19" s="311">
        <v>3362</v>
      </c>
      <c r="C19" s="312" t="s">
        <v>364</v>
      </c>
      <c r="D19" s="313" t="str">
        <f>IF(COUNTIF('Surv2-3'!P:P,'Annual Rev &amp; Fees'!B19)&gt;0,"H","")</f>
        <v/>
      </c>
      <c r="E19" s="313"/>
      <c r="F19" s="304">
        <f>-K19/I19</f>
        <v>4.7283718078118542E-2</v>
      </c>
      <c r="G19" s="305">
        <f t="shared" ref="G19" si="10">-K19/J19</f>
        <v>5.0000001419196659E-2</v>
      </c>
      <c r="H19" s="306"/>
      <c r="I19" s="307">
        <f>'3362'!$J$107</f>
        <v>1490204.3</v>
      </c>
      <c r="J19" s="307">
        <f>'3362'!$J$109</f>
        <v>1409247.96</v>
      </c>
      <c r="K19" s="307">
        <f>'3362'!$J$114</f>
        <v>-70462.399999999994</v>
      </c>
      <c r="L19" s="307">
        <f>'3362'!$J$116</f>
        <v>1419741.9000000001</v>
      </c>
      <c r="M19" s="308">
        <f>'3362'!$J$124</f>
        <v>118496.38</v>
      </c>
      <c r="N19" s="309"/>
      <c r="O19" s="307">
        <f>'3362'!E28</f>
        <v>161.11000000000001</v>
      </c>
      <c r="P19" s="802">
        <f>'3362'!E50</f>
        <v>22.529999999999998</v>
      </c>
      <c r="Q19" s="819">
        <f>(-SUMIFS('Surv2-3'!J:J,'Surv2-3'!H:H,$B19,'Surv2-3'!I:I,"&lt;=103")-SUMIFS('Surv2-3'!C:C,'Surv2-3'!A:A,$B19,'Surv2-3'!B:B,"&lt;=103")-SUMIFS('Surv2-3'!J:J,'Surv2-3'!H:H,$B19,'Surv2-3'!I:I,130)-SUMIFS('Surv2-3'!C:C,'Surv2-3'!A:A,$B19,'Surv2-3'!B:B,130))/O19+1</f>
        <v>0.13984234374030169</v>
      </c>
      <c r="R19" s="802">
        <f>'3362'!E97</f>
        <v>0</v>
      </c>
      <c r="T19" s="308">
        <f t="shared" ref="T19" si="11">I19/O19</f>
        <v>9249.6077214325614</v>
      </c>
      <c r="U19" s="308">
        <f t="shared" ref="U19" si="12">K19/O19</f>
        <v>-437.35584383340569</v>
      </c>
      <c r="V19" s="308">
        <f t="shared" ref="V19" si="13">L19/O19</f>
        <v>8812.2518775991557</v>
      </c>
      <c r="X19" s="308">
        <f t="shared" ref="X19" si="14">IF(D19="H",V19,0)</f>
        <v>0</v>
      </c>
      <c r="Y19" s="308">
        <f t="shared" ref="Y19" si="15">ROUND(IF(E19=1,V19,0),2)</f>
        <v>0</v>
      </c>
      <c r="Z19" s="308">
        <f t="shared" ref="Z19" si="16">IF(AND(X19=0,Y19=0),V19,)</f>
        <v>8812.2518775991557</v>
      </c>
      <c r="AB19" s="665"/>
      <c r="AC19" s="309"/>
    </row>
    <row r="20" spans="1:29" x14ac:dyDescent="0.2">
      <c r="A20" s="247">
        <v>15</v>
      </c>
      <c r="B20" s="311" t="s">
        <v>293</v>
      </c>
      <c r="C20" s="302" t="s">
        <v>294</v>
      </c>
      <c r="D20" s="303" t="str">
        <f>IF(COUNTIF('Surv2-3'!P:P,'Annual Rev &amp; Fees'!B20)&gt;0,"H","")</f>
        <v/>
      </c>
      <c r="E20" s="303" t="s">
        <v>580</v>
      </c>
      <c r="F20" s="304">
        <f t="shared" si="8"/>
        <v>4.5070592884570637E-3</v>
      </c>
      <c r="G20" s="305">
        <f t="shared" si="7"/>
        <v>4.7650358697776084E-3</v>
      </c>
      <c r="H20" s="306"/>
      <c r="I20" s="307">
        <f>'3381'!$J$107</f>
        <v>9400399.9700000007</v>
      </c>
      <c r="J20" s="307">
        <f>'3381'!$J$109</f>
        <v>8891467.1699999999</v>
      </c>
      <c r="K20" s="307">
        <f>'3381'!$J$114</f>
        <v>-42368.160000000003</v>
      </c>
      <c r="L20" s="307">
        <f>'3381'!$J$116</f>
        <v>9358031.8100000005</v>
      </c>
      <c r="M20" s="308">
        <f>'3381'!$J$124</f>
        <v>778883.11</v>
      </c>
      <c r="N20" s="309"/>
      <c r="O20" s="307">
        <f>'3381'!E28</f>
        <v>1049.31</v>
      </c>
      <c r="P20" s="802">
        <f>'3381'!E50</f>
        <v>185.09</v>
      </c>
      <c r="Q20" s="819">
        <f>(-SUMIFS('Surv2-3'!J:J,'Surv2-3'!H:H,$B20,'Surv2-3'!I:I,"&lt;=103")-SUMIFS('Surv2-3'!C:C,'Surv2-3'!A:A,$B20,'Surv2-3'!B:B,"&lt;=103")-SUMIFS('Surv2-3'!J:J,'Surv2-3'!H:H,$B20,'Surv2-3'!I:I,130)-SUMIFS('Surv2-3'!C:C,'Surv2-3'!A:A,$B20,'Surv2-3'!B:B,130))/O20+1</f>
        <v>0.17639210528823712</v>
      </c>
      <c r="R20" s="802">
        <f>'3381'!E97</f>
        <v>111</v>
      </c>
      <c r="T20" s="308">
        <f>I20/O20</f>
        <v>8958.6489883828435</v>
      </c>
      <c r="U20" s="308">
        <f>K20/O20</f>
        <v>-40.377162135117366</v>
      </c>
      <c r="V20" s="308">
        <f>L20/O20</f>
        <v>8918.2718262477265</v>
      </c>
      <c r="X20" s="308">
        <f t="shared" si="9"/>
        <v>0</v>
      </c>
      <c r="Y20" s="308">
        <f t="shared" si="3"/>
        <v>0</v>
      </c>
      <c r="Z20" s="308">
        <f t="shared" si="4"/>
        <v>8918.2718262477265</v>
      </c>
      <c r="AB20" s="665"/>
      <c r="AC20" s="309"/>
    </row>
    <row r="21" spans="1:29" x14ac:dyDescent="0.2">
      <c r="A21" s="247">
        <v>16</v>
      </c>
      <c r="B21" s="311" t="s">
        <v>295</v>
      </c>
      <c r="C21" s="302" t="s">
        <v>296</v>
      </c>
      <c r="D21" s="303" t="str">
        <f>IF(COUNTIF('Surv2-3'!P:P,'Annual Rev &amp; Fees'!B21)&gt;0,"H","")</f>
        <v/>
      </c>
      <c r="E21" s="303" t="s">
        <v>580</v>
      </c>
      <c r="F21" s="304">
        <f t="shared" si="8"/>
        <v>4.5300532539500948E-2</v>
      </c>
      <c r="G21" s="305">
        <f t="shared" si="7"/>
        <v>4.7748193092954014E-2</v>
      </c>
      <c r="H21" s="306"/>
      <c r="I21" s="307">
        <f>'3382'!$J$107</f>
        <v>2457969.7800000003</v>
      </c>
      <c r="J21" s="307">
        <f>'3382'!$J$109</f>
        <v>2331969.7100000004</v>
      </c>
      <c r="K21" s="307">
        <f>'3382'!$J$114</f>
        <v>-111347.34</v>
      </c>
      <c r="L21" s="307">
        <f>'3382'!$J$116</f>
        <v>2346622.4400000004</v>
      </c>
      <c r="M21" s="308">
        <f>'3382'!$J$124</f>
        <v>195261.53</v>
      </c>
      <c r="N21" s="309"/>
      <c r="O21" s="307">
        <f>'3382'!E28</f>
        <v>261.78999999999996</v>
      </c>
      <c r="P21" s="802">
        <f>'3382'!E50</f>
        <v>52.02</v>
      </c>
      <c r="Q21" s="819">
        <f>(-SUMIFS('Surv2-3'!J:J,'Surv2-3'!H:H,$B21,'Surv2-3'!I:I,"&lt;=103")-SUMIFS('Surv2-3'!C:C,'Surv2-3'!A:A,$B21,'Surv2-3'!B:B,"&lt;=103")-SUMIFS('Surv2-3'!J:J,'Surv2-3'!H:H,$B21,'Surv2-3'!I:I,130)-SUMIFS('Surv2-3'!C:C,'Surv2-3'!A:A,$B21,'Surv2-3'!B:B,130))/O21+1</f>
        <v>0.19870888880400317</v>
      </c>
      <c r="R21" s="802">
        <f>'3382'!E97</f>
        <v>236</v>
      </c>
      <c r="T21" s="308">
        <f>I21/O21</f>
        <v>9389.0896520111564</v>
      </c>
      <c r="U21" s="308">
        <f>K21/O21</f>
        <v>-425.33076129722303</v>
      </c>
      <c r="V21" s="308">
        <f>L21/O21</f>
        <v>8963.7588907139343</v>
      </c>
      <c r="X21" s="308">
        <f t="shared" si="9"/>
        <v>0</v>
      </c>
      <c r="Y21" s="308">
        <f t="shared" si="3"/>
        <v>0</v>
      </c>
      <c r="Z21" s="308">
        <f t="shared" si="4"/>
        <v>8963.7588907139343</v>
      </c>
      <c r="AB21" s="665"/>
      <c r="AC21" s="309"/>
    </row>
    <row r="22" spans="1:29" x14ac:dyDescent="0.2">
      <c r="A22" s="247"/>
      <c r="B22" s="311" t="s">
        <v>297</v>
      </c>
      <c r="C22" s="314" t="s">
        <v>298</v>
      </c>
      <c r="D22" s="303" t="str">
        <f>IF(COUNTIF('Surv2-3'!P:P,'Annual Rev &amp; Fees'!B22)&gt;0,"H","")</f>
        <v/>
      </c>
      <c r="E22" s="303"/>
      <c r="F22" s="304"/>
      <c r="G22" s="305"/>
      <c r="H22" s="306"/>
      <c r="I22" s="307"/>
      <c r="J22" s="307"/>
      <c r="K22" s="307"/>
      <c r="L22" s="307"/>
      <c r="M22" s="308"/>
      <c r="N22" s="309"/>
      <c r="O22" s="307"/>
      <c r="P22" s="802"/>
      <c r="Q22" s="819"/>
      <c r="R22" s="802"/>
      <c r="T22" s="308"/>
      <c r="U22" s="308"/>
      <c r="V22" s="308"/>
      <c r="X22" s="308"/>
      <c r="Y22" s="308"/>
      <c r="Z22" s="308"/>
      <c r="AB22" s="665"/>
      <c r="AC22" s="309"/>
    </row>
    <row r="23" spans="1:29" x14ac:dyDescent="0.2">
      <c r="A23" s="247">
        <v>17</v>
      </c>
      <c r="B23" s="311" t="s">
        <v>299</v>
      </c>
      <c r="C23" s="312" t="s">
        <v>300</v>
      </c>
      <c r="D23" s="313" t="str">
        <f>IF(COUNTIF('Surv2-3'!P:P,'Annual Rev &amp; Fees'!B23)&gt;0,"H","")</f>
        <v/>
      </c>
      <c r="E23" s="313" t="s">
        <v>580</v>
      </c>
      <c r="F23" s="304">
        <f t="shared" si="8"/>
        <v>4.724985847694977E-2</v>
      </c>
      <c r="G23" s="305">
        <f t="shared" si="7"/>
        <v>4.9999999999999996E-2</v>
      </c>
      <c r="H23" s="306"/>
      <c r="I23" s="307">
        <f>'3394'!$J$107</f>
        <v>1788719.2200000002</v>
      </c>
      <c r="J23" s="307">
        <f>'3394'!$J$109</f>
        <v>1690334.6</v>
      </c>
      <c r="K23" s="307">
        <f>'3394'!$J$114</f>
        <v>-84516.73</v>
      </c>
      <c r="L23" s="307">
        <f>'3394'!$J$116</f>
        <v>1704202.4900000002</v>
      </c>
      <c r="M23" s="308">
        <f>'3394'!$J$124</f>
        <v>142110.34</v>
      </c>
      <c r="N23" s="309"/>
      <c r="O23" s="307">
        <f>'3394'!E28</f>
        <v>192.97999999999996</v>
      </c>
      <c r="P23" s="802">
        <f>'3394'!E50</f>
        <v>17.5</v>
      </c>
      <c r="Q23" s="819">
        <f>(-SUMIFS('Surv2-3'!J:J,'Surv2-3'!H:H,$B23,'Surv2-3'!I:I,"&lt;=103")-SUMIFS('Surv2-3'!C:C,'Surv2-3'!A:A,$B23,'Surv2-3'!B:B,"&lt;=103")-SUMIFS('Surv2-3'!J:J,'Surv2-3'!H:H,$B23,'Surv2-3'!I:I,130)-SUMIFS('Surv2-3'!C:C,'Surv2-3'!A:A,$B23,'Surv2-3'!B:B,130))/O23+1</f>
        <v>9.0682972328738565E-2</v>
      </c>
      <c r="R23" s="802">
        <f>'3394'!E97</f>
        <v>8</v>
      </c>
      <c r="T23" s="308">
        <f t="shared" ref="T23:T34" si="17">I23/O23</f>
        <v>9268.9357446367521</v>
      </c>
      <c r="U23" s="308">
        <f t="shared" ref="U23:U34" si="18">K23/O23</f>
        <v>-437.95590216602761</v>
      </c>
      <c r="V23" s="308">
        <f t="shared" ref="V23:V34" si="19">L23/O23</f>
        <v>8830.979842470726</v>
      </c>
      <c r="X23" s="308">
        <f t="shared" si="9"/>
        <v>0</v>
      </c>
      <c r="Y23" s="308">
        <f t="shared" si="3"/>
        <v>0</v>
      </c>
      <c r="Z23" s="308">
        <f t="shared" si="4"/>
        <v>8830.979842470726</v>
      </c>
      <c r="AB23" s="665"/>
      <c r="AC23" s="309"/>
    </row>
    <row r="24" spans="1:29" x14ac:dyDescent="0.2">
      <c r="A24" s="247">
        <v>18</v>
      </c>
      <c r="B24" s="311" t="s">
        <v>301</v>
      </c>
      <c r="C24" s="312" t="s">
        <v>302</v>
      </c>
      <c r="D24" s="313" t="str">
        <f>IF(COUNTIF('Surv2-3'!P:P,'Annual Rev &amp; Fees'!B24)&gt;0,"H","")</f>
        <v/>
      </c>
      <c r="E24" s="313" t="s">
        <v>580</v>
      </c>
      <c r="F24" s="304">
        <f t="shared" si="8"/>
        <v>2.1988729192373605E-2</v>
      </c>
      <c r="G24" s="305">
        <f t="shared" si="7"/>
        <v>2.3267502210016805E-2</v>
      </c>
      <c r="H24" s="306"/>
      <c r="I24" s="307">
        <f>'3395'!$J$107</f>
        <v>4814572.46</v>
      </c>
      <c r="J24" s="307">
        <f>'3395'!$J$109</f>
        <v>4549965.4000000004</v>
      </c>
      <c r="K24" s="307">
        <f>'3395'!$J$114</f>
        <v>-105866.33</v>
      </c>
      <c r="L24" s="307">
        <f>'3395'!$J$116</f>
        <v>4708706.13</v>
      </c>
      <c r="M24" s="308">
        <f>'3395'!$J$124</f>
        <v>392347.75</v>
      </c>
      <c r="N24" s="309"/>
      <c r="O24" s="307">
        <f>'3395'!E28</f>
        <v>537.23</v>
      </c>
      <c r="P24" s="802">
        <f>'3395'!E50</f>
        <v>58.5</v>
      </c>
      <c r="Q24" s="819">
        <f>(-SUMIFS('Surv2-3'!J:J,'Surv2-3'!H:H,$B24,'Surv2-3'!I:I,"&lt;=103")-SUMIFS('Surv2-3'!C:C,'Surv2-3'!A:A,$B24,'Surv2-3'!B:B,"&lt;=103")-SUMIFS('Surv2-3'!J:J,'Surv2-3'!H:H,$B24,'Surv2-3'!I:I,130)-SUMIFS('Surv2-3'!C:C,'Surv2-3'!A:A,$B24,'Surv2-3'!B:B,130))/O24+1</f>
        <v>0.10889190849356889</v>
      </c>
      <c r="R24" s="802">
        <f>'3395'!E97</f>
        <v>23.5</v>
      </c>
      <c r="T24" s="308">
        <f t="shared" si="17"/>
        <v>8961.8458760679787</v>
      </c>
      <c r="U24" s="308">
        <f t="shared" si="18"/>
        <v>-197.05960203264897</v>
      </c>
      <c r="V24" s="308">
        <f t="shared" si="19"/>
        <v>8764.7862740353285</v>
      </c>
      <c r="X24" s="308">
        <f t="shared" si="9"/>
        <v>0</v>
      </c>
      <c r="Y24" s="308">
        <f t="shared" si="3"/>
        <v>0</v>
      </c>
      <c r="Z24" s="308">
        <f t="shared" si="4"/>
        <v>8764.7862740353285</v>
      </c>
      <c r="AB24" s="665"/>
      <c r="AC24" s="309"/>
    </row>
    <row r="25" spans="1:29" x14ac:dyDescent="0.2">
      <c r="A25" s="247">
        <v>19</v>
      </c>
      <c r="B25" s="311" t="s">
        <v>303</v>
      </c>
      <c r="C25" s="312" t="s">
        <v>304</v>
      </c>
      <c r="D25" s="313" t="str">
        <f>IF(COUNTIF('Surv2-3'!P:P,'Annual Rev &amp; Fees'!B25)&gt;0,"H","")</f>
        <v/>
      </c>
      <c r="E25" s="313" t="s">
        <v>580</v>
      </c>
      <c r="F25" s="304">
        <f t="shared" si="8"/>
        <v>6.7597089592063122E-3</v>
      </c>
      <c r="G25" s="305">
        <f t="shared" si="7"/>
        <v>7.1231152408444878E-3</v>
      </c>
      <c r="H25" s="306"/>
      <c r="I25" s="307">
        <f>'3396'!$J$107</f>
        <v>6296535.8799999999</v>
      </c>
      <c r="J25" s="307">
        <f>'3396'!$J$109</f>
        <v>5975299.9299999997</v>
      </c>
      <c r="K25" s="307">
        <f>'3396'!$J$114</f>
        <v>-42562.75</v>
      </c>
      <c r="L25" s="307">
        <f>'3396'!$J$116</f>
        <v>6253973.1299999999</v>
      </c>
      <c r="M25" s="308">
        <f>'3396'!$J$124</f>
        <v>518439.3</v>
      </c>
      <c r="N25" s="309"/>
      <c r="O25" s="307">
        <f>'3396'!E28</f>
        <v>701.94</v>
      </c>
      <c r="P25" s="802">
        <f>'3396'!E50</f>
        <v>90.36</v>
      </c>
      <c r="Q25" s="819">
        <f>(-SUMIFS('Surv2-3'!J:J,'Surv2-3'!H:H,$B25,'Surv2-3'!I:I,"&lt;=103")-SUMIFS('Surv2-3'!C:C,'Surv2-3'!A:A,$B25,'Surv2-3'!B:B,"&lt;=103")-SUMIFS('Surv2-3'!J:J,'Surv2-3'!H:H,$B25,'Surv2-3'!I:I,130)-SUMIFS('Surv2-3'!C:C,'Surv2-3'!A:A,$B25,'Surv2-3'!B:B,130))/O25+1</f>
        <v>0.19158332621021745</v>
      </c>
      <c r="R25" s="802">
        <f>'3396'!E97</f>
        <v>268</v>
      </c>
      <c r="T25" s="308">
        <f t="shared" si="17"/>
        <v>8970.191013476935</v>
      </c>
      <c r="U25" s="308">
        <f t="shared" si="18"/>
        <v>-60.635880559591982</v>
      </c>
      <c r="V25" s="308">
        <f t="shared" si="19"/>
        <v>8909.5551329173431</v>
      </c>
      <c r="X25" s="308">
        <f t="shared" si="9"/>
        <v>0</v>
      </c>
      <c r="Y25" s="308">
        <f t="shared" si="3"/>
        <v>0</v>
      </c>
      <c r="Z25" s="308">
        <f t="shared" si="4"/>
        <v>8909.5551329173431</v>
      </c>
      <c r="AB25" s="665"/>
      <c r="AC25" s="309"/>
    </row>
    <row r="26" spans="1:29" x14ac:dyDescent="0.2">
      <c r="A26" s="247">
        <v>20</v>
      </c>
      <c r="B26" s="311" t="s">
        <v>305</v>
      </c>
      <c r="C26" s="302" t="s">
        <v>306</v>
      </c>
      <c r="D26" s="303" t="str">
        <f>IF(COUNTIF('Surv2-3'!P:P,'Annual Rev &amp; Fees'!B26)&gt;0,"H","")</f>
        <v/>
      </c>
      <c r="E26" s="303" t="s">
        <v>580</v>
      </c>
      <c r="F26" s="304">
        <f t="shared" si="8"/>
        <v>4.7497680970404674E-2</v>
      </c>
      <c r="G26" s="305">
        <f t="shared" si="7"/>
        <v>4.9999996551729924E-2</v>
      </c>
      <c r="H26" s="306"/>
      <c r="I26" s="307">
        <f>'3398'!$J$107</f>
        <v>915835.65999999992</v>
      </c>
      <c r="J26" s="307">
        <f>'3398'!$J$109</f>
        <v>870001.46</v>
      </c>
      <c r="K26" s="307">
        <f>'3398'!$J$114</f>
        <v>-43500.07</v>
      </c>
      <c r="L26" s="307">
        <f>'3398'!$J$116</f>
        <v>872335.59</v>
      </c>
      <c r="M26" s="308">
        <f>'3398'!$J$124</f>
        <v>71814.87</v>
      </c>
      <c r="N26" s="309"/>
      <c r="O26" s="307">
        <f>'3398'!E28</f>
        <v>101.89999999999999</v>
      </c>
      <c r="P26" s="802">
        <f>'3398'!E50</f>
        <v>24.349999999999998</v>
      </c>
      <c r="Q26" s="819">
        <f>(-SUMIFS('Surv2-3'!J:J,'Surv2-3'!H:H,$B26,'Surv2-3'!I:I,"&lt;=103")-SUMIFS('Surv2-3'!C:C,'Surv2-3'!A:A,$B26,'Surv2-3'!B:B,"&lt;=103")-SUMIFS('Surv2-3'!J:J,'Surv2-3'!H:H,$B26,'Surv2-3'!I:I,130)-SUMIFS('Surv2-3'!C:C,'Surv2-3'!A:A,$B26,'Surv2-3'!B:B,130))/O26+1</f>
        <v>0.28056918547595677</v>
      </c>
      <c r="R26" s="802">
        <f>'3398'!E97</f>
        <v>74.5</v>
      </c>
      <c r="T26" s="308">
        <f t="shared" si="17"/>
        <v>8987.5923454367021</v>
      </c>
      <c r="U26" s="308">
        <f t="shared" si="18"/>
        <v>-426.88979391560355</v>
      </c>
      <c r="V26" s="308">
        <f t="shared" si="19"/>
        <v>8560.7025515210989</v>
      </c>
      <c r="X26" s="308">
        <f t="shared" si="9"/>
        <v>0</v>
      </c>
      <c r="Y26" s="308">
        <f t="shared" si="3"/>
        <v>0</v>
      </c>
      <c r="Z26" s="308">
        <f t="shared" si="4"/>
        <v>8560.7025515210989</v>
      </c>
      <c r="AB26" s="665"/>
      <c r="AC26" s="309"/>
    </row>
    <row r="27" spans="1:29" x14ac:dyDescent="0.2">
      <c r="A27" s="247">
        <v>21</v>
      </c>
      <c r="B27" s="311" t="s">
        <v>307</v>
      </c>
      <c r="C27" s="302" t="s">
        <v>308</v>
      </c>
      <c r="D27" s="303" t="str">
        <f>IF(COUNTIF('Surv2-3'!P:P,'Annual Rev &amp; Fees'!B27)&gt;0,"H","")</f>
        <v/>
      </c>
      <c r="E27" s="303">
        <v>1</v>
      </c>
      <c r="F27" s="304">
        <f t="shared" si="8"/>
        <v>3.1619087495163477E-2</v>
      </c>
      <c r="G27" s="305">
        <f t="shared" si="7"/>
        <v>3.2771667531338589E-2</v>
      </c>
      <c r="H27" s="306"/>
      <c r="I27" s="307">
        <f>'3400'!$J$107</f>
        <v>1153954.8700000001</v>
      </c>
      <c r="J27" s="307">
        <f>'3400'!$J$109</f>
        <v>1113370.26</v>
      </c>
      <c r="K27" s="307">
        <f>'3400'!$J$114</f>
        <v>-36487</v>
      </c>
      <c r="L27" s="307">
        <f>'3400'!$J$116</f>
        <v>1117467.8700000001</v>
      </c>
      <c r="M27" s="308">
        <f>'3400'!$J$124</f>
        <v>91709.02</v>
      </c>
      <c r="N27" s="309"/>
      <c r="O27" s="307">
        <f>'3400'!E28</f>
        <v>91.06</v>
      </c>
      <c r="P27" s="802">
        <f>'3400'!E50</f>
        <v>91.06</v>
      </c>
      <c r="Q27" s="819">
        <f>(-SUMIFS('Surv2-3'!J:J,'Surv2-3'!H:H,$B27,'Surv2-3'!I:I,"&lt;=103")-SUMIFS('Surv2-3'!C:C,'Surv2-3'!A:A,$B27,'Surv2-3'!B:B,"&lt;=103")-SUMIFS('Surv2-3'!J:J,'Surv2-3'!H:H,$B27,'Surv2-3'!I:I,130)-SUMIFS('Surv2-3'!C:C,'Surv2-3'!A:A,$B27,'Surv2-3'!B:B,130))/O27+1</f>
        <v>1</v>
      </c>
      <c r="R27" s="802">
        <f>'3400'!E97</f>
        <v>33</v>
      </c>
      <c r="T27" s="308">
        <f t="shared" si="17"/>
        <v>12672.467274324623</v>
      </c>
      <c r="U27" s="308">
        <f t="shared" si="18"/>
        <v>-400.69185152646605</v>
      </c>
      <c r="V27" s="308">
        <f t="shared" si="19"/>
        <v>12271.775422798157</v>
      </c>
      <c r="X27" s="308">
        <f t="shared" si="9"/>
        <v>0</v>
      </c>
      <c r="Y27" s="308">
        <f t="shared" si="3"/>
        <v>12271.78</v>
      </c>
      <c r="Z27" s="308">
        <f t="shared" si="4"/>
        <v>0</v>
      </c>
      <c r="AB27" s="665"/>
      <c r="AC27" s="309"/>
    </row>
    <row r="28" spans="1:29" x14ac:dyDescent="0.2">
      <c r="A28" s="247">
        <v>22</v>
      </c>
      <c r="B28" s="311" t="s">
        <v>309</v>
      </c>
      <c r="C28" s="302" t="s">
        <v>310</v>
      </c>
      <c r="D28" s="303" t="str">
        <f>IF(COUNTIF('Surv2-3'!P:P,'Annual Rev &amp; Fees'!B28)&gt;0,"H","")</f>
        <v/>
      </c>
      <c r="E28" s="303">
        <v>0</v>
      </c>
      <c r="F28" s="304">
        <f t="shared" si="8"/>
        <v>2.9994682384071578E-2</v>
      </c>
      <c r="G28" s="305">
        <f t="shared" si="7"/>
        <v>3.1651179045452664E-2</v>
      </c>
      <c r="H28" s="306"/>
      <c r="I28" s="307">
        <f>'3401'!$J$107</f>
        <v>3411698.07</v>
      </c>
      <c r="J28" s="307">
        <f>'3401'!$J$109</f>
        <v>3233143.38</v>
      </c>
      <c r="K28" s="307">
        <f>'3401'!$J$114</f>
        <v>-102332.8</v>
      </c>
      <c r="L28" s="307">
        <f>'3401'!$J$116</f>
        <v>3309365.27</v>
      </c>
      <c r="M28" s="308">
        <f>'3401'!$J$124</f>
        <v>272864.13</v>
      </c>
      <c r="N28" s="309"/>
      <c r="O28" s="307">
        <f>'3401'!E28</f>
        <v>394.93</v>
      </c>
      <c r="P28" s="802">
        <f>'3401'!E50</f>
        <v>80.419999999999987</v>
      </c>
      <c r="Q28" s="819">
        <f>(-SUMIFS('Surv2-3'!J:J,'Surv2-3'!H:H,$B28,'Surv2-3'!I:I,"&lt;=103")-SUMIFS('Surv2-3'!C:C,'Surv2-3'!A:A,$B28,'Surv2-3'!B:B,"&lt;=103")-SUMIFS('Surv2-3'!J:J,'Surv2-3'!H:H,$B28,'Surv2-3'!I:I,130)-SUMIFS('Surv2-3'!C:C,'Surv2-3'!A:A,$B28,'Surv2-3'!B:B,130))/O28+1</f>
        <v>0.2154812245208011</v>
      </c>
      <c r="R28" s="802">
        <f>'3401'!E97</f>
        <v>191.5</v>
      </c>
      <c r="T28" s="308">
        <f t="shared" si="17"/>
        <v>8638.7412199630307</v>
      </c>
      <c r="U28" s="308">
        <f t="shared" si="18"/>
        <v>-259.11629909097815</v>
      </c>
      <c r="V28" s="308">
        <f t="shared" si="19"/>
        <v>8379.6249208720528</v>
      </c>
      <c r="X28" s="308">
        <f t="shared" si="9"/>
        <v>0</v>
      </c>
      <c r="Y28" s="308">
        <f t="shared" si="3"/>
        <v>0</v>
      </c>
      <c r="Z28" s="308">
        <f t="shared" si="4"/>
        <v>8379.6249208720528</v>
      </c>
      <c r="AB28" s="665"/>
      <c r="AC28" s="309"/>
    </row>
    <row r="29" spans="1:29" x14ac:dyDescent="0.2">
      <c r="A29" s="247">
        <v>23</v>
      </c>
      <c r="B29" s="311" t="s">
        <v>311</v>
      </c>
      <c r="C29" s="302" t="s">
        <v>312</v>
      </c>
      <c r="D29" s="303" t="str">
        <f>IF(COUNTIF('Surv2-3'!P:P,'Annual Rev &amp; Fees'!B29)&gt;0,"H","")</f>
        <v>H</v>
      </c>
      <c r="E29" s="303" t="s">
        <v>580</v>
      </c>
      <c r="F29" s="304">
        <f t="shared" si="8"/>
        <v>1.2070480789228261E-2</v>
      </c>
      <c r="G29" s="305">
        <f t="shared" si="7"/>
        <v>1.2762915934417895E-2</v>
      </c>
      <c r="H29" s="306"/>
      <c r="I29" s="307">
        <f>'3413'!$J$107</f>
        <v>3586939.97</v>
      </c>
      <c r="J29" s="307">
        <f>'3413'!$J$109</f>
        <v>3392335.2800000003</v>
      </c>
      <c r="K29" s="307">
        <f>'3413'!$J$114</f>
        <v>-43296.09</v>
      </c>
      <c r="L29" s="307">
        <f>'3413'!$J$116</f>
        <v>3543643.8800000004</v>
      </c>
      <c r="M29" s="308">
        <f>'3413'!$J$124</f>
        <v>295168.63</v>
      </c>
      <c r="N29" s="309"/>
      <c r="O29" s="307">
        <f>'3413'!E28</f>
        <v>391.76000000000005</v>
      </c>
      <c r="P29" s="802">
        <f>'3413'!E50</f>
        <v>85.5</v>
      </c>
      <c r="Q29" s="819">
        <f>(-SUMIFS('Surv2-3'!J:J,'Surv2-3'!H:H,$B29,'Surv2-3'!I:I,"&lt;=103")-SUMIFS('Surv2-3'!C:C,'Surv2-3'!A:A,$B29,'Surv2-3'!B:B,"&lt;=103")-SUMIFS('Surv2-3'!J:J,'Surv2-3'!H:H,$B29,'Surv2-3'!I:I,130)-SUMIFS('Surv2-3'!C:C,'Surv2-3'!A:A,$B29,'Surv2-3'!B:B,130))/O29+1</f>
        <v>0.21824586481519315</v>
      </c>
      <c r="R29" s="802">
        <f>'3413'!E97</f>
        <v>0</v>
      </c>
      <c r="T29" s="308">
        <f t="shared" si="17"/>
        <v>9155.9627578109048</v>
      </c>
      <c r="U29" s="308">
        <f t="shared" si="18"/>
        <v>-110.51687257504592</v>
      </c>
      <c r="V29" s="308">
        <f t="shared" si="19"/>
        <v>9045.4458852358584</v>
      </c>
      <c r="X29" s="308">
        <f t="shared" si="9"/>
        <v>9045.4458852358584</v>
      </c>
      <c r="Y29" s="308">
        <f t="shared" si="3"/>
        <v>0</v>
      </c>
      <c r="Z29" s="308">
        <f t="shared" si="4"/>
        <v>0</v>
      </c>
      <c r="AB29" s="665"/>
      <c r="AC29" s="309"/>
    </row>
    <row r="30" spans="1:29" x14ac:dyDescent="0.2">
      <c r="A30" s="247">
        <v>24</v>
      </c>
      <c r="B30" s="311" t="s">
        <v>313</v>
      </c>
      <c r="C30" s="302" t="s">
        <v>314</v>
      </c>
      <c r="D30" s="303" t="str">
        <f>IF(COUNTIF('Surv2-3'!P:P,'Annual Rev &amp; Fees'!B30)&gt;0,"H","")</f>
        <v/>
      </c>
      <c r="E30" s="303" t="s">
        <v>580</v>
      </c>
      <c r="F30" s="304">
        <f t="shared" si="8"/>
        <v>1.9783079409692577E-2</v>
      </c>
      <c r="G30" s="305">
        <f t="shared" si="7"/>
        <v>2.090790480291611E-2</v>
      </c>
      <c r="H30" s="306"/>
      <c r="I30" s="307">
        <f>'3421'!$J$107</f>
        <v>4995260.24</v>
      </c>
      <c r="J30" s="307">
        <f>'3421'!$J$109</f>
        <v>4726519.99</v>
      </c>
      <c r="K30" s="307">
        <f>'3421'!$J$114</f>
        <v>-98821.63</v>
      </c>
      <c r="L30" s="307">
        <f>'3421'!$J$116</f>
        <v>4896438.6100000003</v>
      </c>
      <c r="M30" s="308">
        <f>'3421'!$J$124</f>
        <v>403828.21</v>
      </c>
      <c r="N30" s="309"/>
      <c r="O30" s="307">
        <f>'3421'!E28</f>
        <v>597.86</v>
      </c>
      <c r="P30" s="802">
        <f>'3421'!E50</f>
        <v>109.86</v>
      </c>
      <c r="Q30" s="819">
        <f>(-SUMIFS('Surv2-3'!J:J,'Surv2-3'!H:H,$B30,'Surv2-3'!I:I,"&lt;=103")-SUMIFS('Surv2-3'!C:C,'Surv2-3'!A:A,$B30,'Surv2-3'!B:B,"&lt;=103")-SUMIFS('Surv2-3'!J:J,'Surv2-3'!H:H,$B30,'Surv2-3'!I:I,130)-SUMIFS('Surv2-3'!C:C,'Surv2-3'!A:A,$B30,'Surv2-3'!B:B,130))/O30+1</f>
        <v>0.19571471581975708</v>
      </c>
      <c r="R30" s="802">
        <f>'3421'!E97</f>
        <v>67.000500000000002</v>
      </c>
      <c r="T30" s="308">
        <f t="shared" si="17"/>
        <v>8355.2340681764963</v>
      </c>
      <c r="U30" s="308">
        <f t="shared" si="18"/>
        <v>-165.29225905730439</v>
      </c>
      <c r="V30" s="308">
        <f t="shared" si="19"/>
        <v>8189.9418091191919</v>
      </c>
      <c r="X30" s="308">
        <f t="shared" si="9"/>
        <v>0</v>
      </c>
      <c r="Y30" s="308">
        <f t="shared" si="3"/>
        <v>0</v>
      </c>
      <c r="Z30" s="308">
        <f t="shared" si="4"/>
        <v>8189.9418091191919</v>
      </c>
      <c r="AB30" s="665"/>
      <c r="AC30" s="309"/>
    </row>
    <row r="31" spans="1:29" x14ac:dyDescent="0.2">
      <c r="A31" s="247">
        <v>25</v>
      </c>
      <c r="B31" s="311" t="s">
        <v>315</v>
      </c>
      <c r="C31" s="302" t="s">
        <v>316</v>
      </c>
      <c r="D31" s="303" t="str">
        <f>IF(COUNTIF('Surv2-3'!P:P,'Annual Rev &amp; Fees'!B31)&gt;0,"H","")</f>
        <v>H</v>
      </c>
      <c r="E31" s="303" t="s">
        <v>580</v>
      </c>
      <c r="F31" s="304">
        <f t="shared" si="8"/>
        <v>4.7387005833488876E-3</v>
      </c>
      <c r="G31" s="305">
        <f t="shared" si="7"/>
        <v>5.0119785093090509E-3</v>
      </c>
      <c r="H31" s="306"/>
      <c r="I31" s="307">
        <f>'3431'!$J$107</f>
        <v>8930895.5600000005</v>
      </c>
      <c r="J31" s="307">
        <f>'3431'!$J$109</f>
        <v>8443938.8399999999</v>
      </c>
      <c r="K31" s="307">
        <f>'3431'!$J$114</f>
        <v>-42320.84</v>
      </c>
      <c r="L31" s="307">
        <f>'3431'!$J$116</f>
        <v>8888574.7200000007</v>
      </c>
      <c r="M31" s="308">
        <f>'3431'!$J$124</f>
        <v>740549.13</v>
      </c>
      <c r="N31" s="309"/>
      <c r="O31" s="307">
        <f>'3431'!E28</f>
        <v>997.61000000000013</v>
      </c>
      <c r="P31" s="802">
        <f>'3431'!E50</f>
        <v>143.48000000000002</v>
      </c>
      <c r="Q31" s="819">
        <f>(-SUMIFS('Surv2-3'!J:J,'Surv2-3'!H:H,$B31,'Surv2-3'!I:I,"&lt;=103")-SUMIFS('Surv2-3'!C:C,'Surv2-3'!A:A,$B31,'Surv2-3'!B:B,"&lt;=103")-SUMIFS('Surv2-3'!J:J,'Surv2-3'!H:H,$B31,'Surv2-3'!I:I,130)-SUMIFS('Surv2-3'!C:C,'Surv2-3'!A:A,$B31,'Surv2-3'!B:B,130))/O31+1</f>
        <v>0.14382373873557819</v>
      </c>
      <c r="R31" s="802">
        <f>'3431'!E97</f>
        <v>35.5</v>
      </c>
      <c r="T31" s="308">
        <f t="shared" si="17"/>
        <v>8952.2915367728874</v>
      </c>
      <c r="U31" s="308">
        <f t="shared" si="18"/>
        <v>-42.42222912761499</v>
      </c>
      <c r="V31" s="308">
        <f t="shared" si="19"/>
        <v>8909.869307645271</v>
      </c>
      <c r="X31" s="308">
        <f t="shared" si="9"/>
        <v>8909.869307645271</v>
      </c>
      <c r="Y31" s="308">
        <f t="shared" si="3"/>
        <v>0</v>
      </c>
      <c r="Z31" s="308">
        <f t="shared" si="4"/>
        <v>0</v>
      </c>
      <c r="AB31" s="665"/>
      <c r="AC31" s="309"/>
    </row>
    <row r="32" spans="1:29" x14ac:dyDescent="0.2">
      <c r="A32" s="247">
        <v>26</v>
      </c>
      <c r="B32" s="311">
        <v>3441</v>
      </c>
      <c r="C32" s="312" t="s">
        <v>317</v>
      </c>
      <c r="D32" s="313" t="str">
        <f>IF(COUNTIF('Surv2-3'!P:P,'Annual Rev &amp; Fees'!B32)&gt;0,"H","")</f>
        <v>H</v>
      </c>
      <c r="E32" s="313" t="s">
        <v>580</v>
      </c>
      <c r="F32" s="304">
        <f t="shared" si="8"/>
        <v>9.0707707300738041E-3</v>
      </c>
      <c r="G32" s="305">
        <f t="shared" si="7"/>
        <v>9.5644362815725231E-3</v>
      </c>
      <c r="H32" s="306"/>
      <c r="I32" s="307">
        <f>'3441'!$J$107</f>
        <v>4696987.8600000013</v>
      </c>
      <c r="J32" s="307">
        <f>'3441'!$J$109</f>
        <v>4454554.2200000016</v>
      </c>
      <c r="K32" s="307">
        <f>'3441'!$J$114</f>
        <v>-42605.3</v>
      </c>
      <c r="L32" s="307">
        <f>'3441'!$J$116</f>
        <v>4654382.5600000015</v>
      </c>
      <c r="M32" s="308">
        <f>'3441'!$J$124</f>
        <v>387198.96</v>
      </c>
      <c r="N32" s="309"/>
      <c r="O32" s="307">
        <f>'3441'!E28</f>
        <v>522.77</v>
      </c>
      <c r="P32" s="802">
        <f>'3441'!E50</f>
        <v>71</v>
      </c>
      <c r="Q32" s="819">
        <f>(-SUMIFS('Surv2-3'!J:J,'Surv2-3'!H:H,$B32,'Surv2-3'!I:I,"&lt;=103")-SUMIFS('Surv2-3'!C:C,'Surv2-3'!A:A,$B32,'Surv2-3'!B:B,"&lt;=103")-SUMIFS('Surv2-3'!J:J,'Surv2-3'!H:H,$B32,'Surv2-3'!I:I,130)-SUMIFS('Surv2-3'!C:C,'Surv2-3'!A:A,$B32,'Surv2-3'!B:B,130))/O32+1</f>
        <v>0.13581498555770211</v>
      </c>
      <c r="R32" s="802">
        <f>'3441'!E97</f>
        <v>346.5</v>
      </c>
      <c r="T32" s="308">
        <f t="shared" si="17"/>
        <v>8984.8075826845488</v>
      </c>
      <c r="U32" s="308">
        <f t="shared" si="18"/>
        <v>-81.499129636360166</v>
      </c>
      <c r="V32" s="308">
        <f t="shared" si="19"/>
        <v>8903.3084530481883</v>
      </c>
      <c r="X32" s="308">
        <f t="shared" si="9"/>
        <v>8903.3084530481883</v>
      </c>
      <c r="Y32" s="308">
        <f t="shared" si="3"/>
        <v>0</v>
      </c>
      <c r="Z32" s="308">
        <f t="shared" si="4"/>
        <v>0</v>
      </c>
      <c r="AB32" s="665"/>
      <c r="AC32" s="309"/>
    </row>
    <row r="33" spans="1:29" x14ac:dyDescent="0.2">
      <c r="A33" s="247">
        <v>27</v>
      </c>
      <c r="B33" s="311">
        <v>3924</v>
      </c>
      <c r="C33" s="312" t="s">
        <v>318</v>
      </c>
      <c r="D33" s="303" t="str">
        <f>IF(COUNTIF('Surv2-3'!P:P,'Annual Rev &amp; Fees'!B33)&gt;0,"H","")</f>
        <v/>
      </c>
      <c r="E33" s="303" t="s">
        <v>580</v>
      </c>
      <c r="F33" s="304">
        <f t="shared" si="8"/>
        <v>2.9112964362726441E-2</v>
      </c>
      <c r="G33" s="305">
        <f t="shared" si="7"/>
        <v>3.071781250108787E-2</v>
      </c>
      <c r="H33" s="306"/>
      <c r="I33" s="307">
        <f>'3924'!$J$107</f>
        <v>3594654.9000000008</v>
      </c>
      <c r="J33" s="307">
        <f>'3924'!$J$109</f>
        <v>3406852.620000001</v>
      </c>
      <c r="K33" s="307">
        <f>'3924'!$J$114</f>
        <v>-104651.06</v>
      </c>
      <c r="L33" s="307">
        <f>'3924'!$J$116</f>
        <v>3490003.8400000008</v>
      </c>
      <c r="M33" s="308">
        <f>'3924'!$J$124</f>
        <v>289378.23</v>
      </c>
      <c r="N33" s="309"/>
      <c r="O33" s="307">
        <f>'3924'!E28</f>
        <v>406.93</v>
      </c>
      <c r="P33" s="802">
        <f>'3924'!E50</f>
        <v>75.97</v>
      </c>
      <c r="Q33" s="819">
        <f>(-SUMIFS('Surv2-3'!J:J,'Surv2-3'!H:H,$B33,'Surv2-3'!I:I,"&lt;=103")-SUMIFS('Surv2-3'!C:C,'Surv2-3'!A:A,$B33,'Surv2-3'!B:B,"&lt;=103")-SUMIFS('Surv2-3'!J:J,'Surv2-3'!H:H,$B33,'Surv2-3'!I:I,130)-SUMIFS('Surv2-3'!C:C,'Surv2-3'!A:A,$B33,'Surv2-3'!B:B,130))/O33+1</f>
        <v>0.19054874302705627</v>
      </c>
      <c r="R33" s="802">
        <f>'3924'!E97</f>
        <v>236</v>
      </c>
      <c r="T33" s="308">
        <f t="shared" si="17"/>
        <v>8833.5952129358884</v>
      </c>
      <c r="U33" s="308">
        <f t="shared" si="18"/>
        <v>-257.1721426289534</v>
      </c>
      <c r="V33" s="308">
        <f t="shared" si="19"/>
        <v>8576.4230703069334</v>
      </c>
      <c r="X33" s="308">
        <f t="shared" si="9"/>
        <v>0</v>
      </c>
      <c r="Y33" s="308">
        <f t="shared" si="3"/>
        <v>0</v>
      </c>
      <c r="Z33" s="308">
        <f t="shared" si="4"/>
        <v>8576.4230703069334</v>
      </c>
      <c r="AB33" s="665"/>
      <c r="AC33" s="309"/>
    </row>
    <row r="34" spans="1:29" x14ac:dyDescent="0.2">
      <c r="A34" s="247">
        <v>28</v>
      </c>
      <c r="B34" s="311" t="s">
        <v>319</v>
      </c>
      <c r="C34" s="302" t="s">
        <v>320</v>
      </c>
      <c r="D34" s="303" t="str">
        <f>IF(COUNTIF('Surv2-3'!P:P,'Annual Rev &amp; Fees'!B34)&gt;0,"H","")</f>
        <v>H</v>
      </c>
      <c r="E34" s="303" t="s">
        <v>580</v>
      </c>
      <c r="F34" s="304">
        <f t="shared" si="8"/>
        <v>1.8910885579950066E-2</v>
      </c>
      <c r="G34" s="305">
        <f t="shared" si="7"/>
        <v>1.9999999071975562E-2</v>
      </c>
      <c r="H34" s="306"/>
      <c r="I34" s="307">
        <f>'3941'!$J$107</f>
        <v>2051309.5399999998</v>
      </c>
      <c r="J34" s="307">
        <f>'3941'!$J$109</f>
        <v>1939604.0899999999</v>
      </c>
      <c r="K34" s="307">
        <f>'3941'!$J$114</f>
        <v>-38792.080000000002</v>
      </c>
      <c r="L34" s="307">
        <f>'3941'!$J$116</f>
        <v>2012517.4599999997</v>
      </c>
      <c r="M34" s="308">
        <f>'3941'!$J$124</f>
        <v>167870.46</v>
      </c>
      <c r="N34" s="309"/>
      <c r="O34" s="307">
        <f>'3941'!E28</f>
        <v>224.29999999999998</v>
      </c>
      <c r="P34" s="802">
        <f>'3941'!E50</f>
        <v>33.03</v>
      </c>
      <c r="Q34" s="819">
        <f>(-SUMIFS('Surv2-3'!J:J,'Surv2-3'!H:H,$B34,'Surv2-3'!I:I,"&lt;=103")-SUMIFS('Surv2-3'!C:C,'Surv2-3'!A:A,$B34,'Surv2-3'!B:B,"&lt;=103")-SUMIFS('Surv2-3'!J:J,'Surv2-3'!H:H,$B34,'Surv2-3'!I:I,130)-SUMIFS('Surv2-3'!C:C,'Surv2-3'!A:A,$B34,'Surv2-3'!B:B,130))/O34+1</f>
        <v>0.14725813642443153</v>
      </c>
      <c r="R34" s="802">
        <f>'3941'!E97</f>
        <v>0</v>
      </c>
      <c r="T34" s="308">
        <f t="shared" si="17"/>
        <v>9145.3835934016934</v>
      </c>
      <c r="U34" s="308">
        <f t="shared" si="18"/>
        <v>-172.94730271957204</v>
      </c>
      <c r="V34" s="308">
        <f t="shared" si="19"/>
        <v>8972.4362906821225</v>
      </c>
      <c r="X34" s="308">
        <f t="shared" si="9"/>
        <v>8972.4362906821225</v>
      </c>
      <c r="Y34" s="308">
        <f t="shared" si="3"/>
        <v>0</v>
      </c>
      <c r="Z34" s="308">
        <f t="shared" si="4"/>
        <v>0</v>
      </c>
      <c r="AB34" s="665"/>
      <c r="AC34" s="309"/>
    </row>
    <row r="35" spans="1:29" x14ac:dyDescent="0.2">
      <c r="A35" s="247"/>
      <c r="B35" s="311" t="s">
        <v>321</v>
      </c>
      <c r="C35" s="314" t="s">
        <v>322</v>
      </c>
      <c r="D35" s="303" t="str">
        <f>IF(COUNTIF('Surv2-3'!P:P,'Annual Rev &amp; Fees'!B35)&gt;0,"H","")</f>
        <v/>
      </c>
      <c r="E35" s="303" t="s">
        <v>580</v>
      </c>
      <c r="F35" s="304"/>
      <c r="G35" s="305"/>
      <c r="H35" s="306"/>
      <c r="I35" s="307"/>
      <c r="J35" s="307"/>
      <c r="K35" s="307"/>
      <c r="L35" s="307"/>
      <c r="M35" s="308"/>
      <c r="N35" s="309"/>
      <c r="O35" s="307"/>
      <c r="P35" s="802"/>
      <c r="Q35" s="819"/>
      <c r="R35" s="802"/>
      <c r="T35" s="308"/>
      <c r="U35" s="308"/>
      <c r="V35" s="308"/>
      <c r="X35" s="308"/>
      <c r="Y35" s="308"/>
      <c r="Z35" s="308"/>
      <c r="AB35" s="665"/>
      <c r="AC35" s="309"/>
    </row>
    <row r="36" spans="1:29" x14ac:dyDescent="0.2">
      <c r="A36" s="247">
        <v>29</v>
      </c>
      <c r="B36" s="311" t="s">
        <v>323</v>
      </c>
      <c r="C36" s="302" t="s">
        <v>324</v>
      </c>
      <c r="D36" s="303" t="str">
        <f>IF(COUNTIF('Surv2-3'!P:P,'Annual Rev &amp; Fees'!B36)&gt;0,"H","")</f>
        <v/>
      </c>
      <c r="E36" s="303" t="s">
        <v>580</v>
      </c>
      <c r="F36" s="304">
        <f t="shared" si="8"/>
        <v>1.8165954387268687E-2</v>
      </c>
      <c r="G36" s="305">
        <f t="shared" si="7"/>
        <v>1.9191204888777708E-2</v>
      </c>
      <c r="H36" s="306"/>
      <c r="I36" s="307">
        <f>'3971'!$J$107</f>
        <v>5520827.4700000007</v>
      </c>
      <c r="J36" s="307">
        <f>'3971'!$J$109</f>
        <v>5225888.6600000011</v>
      </c>
      <c r="K36" s="307">
        <f>'3971'!$J$114</f>
        <v>-100291.1</v>
      </c>
      <c r="L36" s="307">
        <f>'3971'!$J$116</f>
        <v>5420536.370000001</v>
      </c>
      <c r="M36" s="308">
        <f>'3971'!$J$124</f>
        <v>446791.37</v>
      </c>
      <c r="N36" s="309"/>
      <c r="O36" s="307">
        <f>'3971'!E28</f>
        <v>651.34</v>
      </c>
      <c r="P36" s="802">
        <f>'3971'!E50</f>
        <v>133.83000000000001</v>
      </c>
      <c r="Q36" s="819">
        <f>(-SUMIFS('Surv2-3'!J:J,'Surv2-3'!H:H,$B36,'Surv2-3'!I:I,"&lt;=103")-SUMIFS('Surv2-3'!C:C,'Surv2-3'!A:A,$B36,'Surv2-3'!B:B,"&lt;=103")-SUMIFS('Surv2-3'!J:J,'Surv2-3'!H:H,$B36,'Surv2-3'!I:I,130)-SUMIFS('Surv2-3'!C:C,'Surv2-3'!A:A,$B36,'Surv2-3'!B:B,130))/O36+1</f>
        <v>0.20546872601099275</v>
      </c>
      <c r="R36" s="802">
        <f>'3971'!E97</f>
        <v>130.5</v>
      </c>
      <c r="T36" s="308">
        <f>I36/O36</f>
        <v>8476.1069026929108</v>
      </c>
      <c r="U36" s="308">
        <f>K36/O36</f>
        <v>-153.97657137593271</v>
      </c>
      <c r="V36" s="308">
        <f>L36/O36</f>
        <v>8322.1303313169792</v>
      </c>
      <c r="X36" s="308">
        <f t="shared" si="9"/>
        <v>0</v>
      </c>
      <c r="Y36" s="308">
        <f t="shared" si="3"/>
        <v>0</v>
      </c>
      <c r="Z36" s="308">
        <f t="shared" si="4"/>
        <v>8322.1303313169792</v>
      </c>
      <c r="AB36" s="665"/>
      <c r="AC36" s="309"/>
    </row>
    <row r="37" spans="1:29" x14ac:dyDescent="0.2">
      <c r="A37" s="247">
        <v>30</v>
      </c>
      <c r="B37" s="311" t="s">
        <v>325</v>
      </c>
      <c r="C37" s="302" t="s">
        <v>326</v>
      </c>
      <c r="D37" s="303" t="str">
        <f>IF(COUNTIF('Surv2-3'!P:P,'Annual Rev &amp; Fees'!B37)&gt;0,"H","")</f>
        <v/>
      </c>
      <c r="E37" s="303" t="s">
        <v>580</v>
      </c>
      <c r="F37" s="304">
        <f t="shared" si="8"/>
        <v>1.85079787000401E-2</v>
      </c>
      <c r="G37" s="305">
        <f t="shared" si="7"/>
        <v>1.9568553192912681E-2</v>
      </c>
      <c r="H37" s="306"/>
      <c r="I37" s="307">
        <f>'4001'!$J$107</f>
        <v>5743931.9399999995</v>
      </c>
      <c r="J37" s="307">
        <f>'4001'!$J$109</f>
        <v>5432622.8899999997</v>
      </c>
      <c r="K37" s="307">
        <f>'4001'!$J$114</f>
        <v>-106308.57</v>
      </c>
      <c r="L37" s="307">
        <f>'4001'!$J$116</f>
        <v>5637623.3699999992</v>
      </c>
      <c r="M37" s="308">
        <f>'4001'!$J$124</f>
        <v>469922.57</v>
      </c>
      <c r="N37" s="309"/>
      <c r="O37" s="307">
        <f>'4001'!E28</f>
        <v>638.78000000000009</v>
      </c>
      <c r="P37" s="802">
        <f>'4001'!E50</f>
        <v>75.56</v>
      </c>
      <c r="Q37" s="819">
        <f>(-SUMIFS('Surv2-3'!J:J,'Surv2-3'!H:H,$B37,'Surv2-3'!I:I,"&lt;=103")-SUMIFS('Surv2-3'!C:C,'Surv2-3'!A:A,$B37,'Surv2-3'!B:B,"&lt;=103")-SUMIFS('Surv2-3'!J:J,'Surv2-3'!H:H,$B37,'Surv2-3'!I:I,130)-SUMIFS('Surv2-3'!C:C,'Surv2-3'!A:A,$B37,'Surv2-3'!B:B,130))/O37+1</f>
        <v>0.11828798647421657</v>
      </c>
      <c r="R37" s="802">
        <f>'4001'!E97</f>
        <v>91</v>
      </c>
      <c r="T37" s="308">
        <f>I37/O37</f>
        <v>8992.0347224396482</v>
      </c>
      <c r="U37" s="308">
        <f>K37/O37</f>
        <v>-166.42438711293403</v>
      </c>
      <c r="V37" s="308">
        <f>L37/O37</f>
        <v>8825.6103353267135</v>
      </c>
      <c r="X37" s="308">
        <f t="shared" si="9"/>
        <v>0</v>
      </c>
      <c r="Y37" s="308">
        <f t="shared" si="3"/>
        <v>0</v>
      </c>
      <c r="Z37" s="308">
        <f t="shared" si="4"/>
        <v>8825.6103353267135</v>
      </c>
      <c r="AB37" s="665"/>
      <c r="AC37" s="309"/>
    </row>
    <row r="38" spans="1:29" x14ac:dyDescent="0.2">
      <c r="A38" s="247">
        <v>31</v>
      </c>
      <c r="B38" s="311">
        <v>4002</v>
      </c>
      <c r="C38" s="302" t="s">
        <v>327</v>
      </c>
      <c r="D38" s="303" t="str">
        <f>IF(COUNTIF('Surv2-3'!P:P,'Annual Rev &amp; Fees'!B38)&gt;0,"H","")</f>
        <v/>
      </c>
      <c r="E38" s="303" t="s">
        <v>580</v>
      </c>
      <c r="F38" s="304">
        <f t="shared" si="8"/>
        <v>1.3507853047558154E-2</v>
      </c>
      <c r="G38" s="305">
        <f t="shared" si="7"/>
        <v>1.4294373165069943E-2</v>
      </c>
      <c r="H38" s="306"/>
      <c r="I38" s="307">
        <f>'4002'!$J$107</f>
        <v>7874387.5599999996</v>
      </c>
      <c r="J38" s="307">
        <f>'4002'!$J$109</f>
        <v>7441114.6799999997</v>
      </c>
      <c r="K38" s="307">
        <f>'4002'!$J$114</f>
        <v>-106366.07</v>
      </c>
      <c r="L38" s="307">
        <f>'4002'!$J$116</f>
        <v>7768021.4899999993</v>
      </c>
      <c r="M38" s="308">
        <f>'4002'!$J$124</f>
        <v>647682.96</v>
      </c>
      <c r="N38" s="309"/>
      <c r="O38" s="307">
        <f>'4002'!E28</f>
        <v>874.47000000000014</v>
      </c>
      <c r="P38" s="802">
        <f>'4002'!E50</f>
        <v>76.440000000000012</v>
      </c>
      <c r="Q38" s="819">
        <f>(-SUMIFS('Surv2-3'!J:J,'Surv2-3'!H:H,$B38,'Surv2-3'!I:I,"&lt;=103")-SUMIFS('Surv2-3'!C:C,'Surv2-3'!A:A,$B38,'Surv2-3'!B:B,"&lt;=103")-SUMIFS('Surv2-3'!J:J,'Surv2-3'!H:H,$B38,'Surv2-3'!I:I,130)-SUMIFS('Surv2-3'!C:C,'Surv2-3'!A:A,$B38,'Surv2-3'!B:B,130))/O38+1</f>
        <v>8.7412947270918417E-2</v>
      </c>
      <c r="R38" s="802">
        <f>'4002'!E97</f>
        <v>0.5</v>
      </c>
      <c r="T38" s="308">
        <f>I38/O38</f>
        <v>9004.7543769368858</v>
      </c>
      <c r="U38" s="308">
        <f>K38/O38</f>
        <v>-121.63489885301954</v>
      </c>
      <c r="V38" s="308">
        <f>L38/O38</f>
        <v>8883.119478083865</v>
      </c>
      <c r="X38" s="308">
        <f t="shared" si="9"/>
        <v>0</v>
      </c>
      <c r="Y38" s="308">
        <f t="shared" si="3"/>
        <v>0</v>
      </c>
      <c r="Z38" s="308">
        <f t="shared" si="4"/>
        <v>8883.119478083865</v>
      </c>
      <c r="AB38" s="665"/>
      <c r="AC38" s="309"/>
    </row>
    <row r="39" spans="1:29" x14ac:dyDescent="0.2">
      <c r="A39" s="247"/>
      <c r="B39" s="311">
        <v>4012</v>
      </c>
      <c r="C39" s="314" t="s">
        <v>328</v>
      </c>
      <c r="D39" s="303" t="str">
        <f>IF(COUNTIF('Surv2-3'!P:P,'Annual Rev &amp; Fees'!B39)&gt;0,"H","")</f>
        <v/>
      </c>
      <c r="E39" s="303" t="s">
        <v>580</v>
      </c>
      <c r="F39" s="304"/>
      <c r="G39" s="305"/>
      <c r="H39" s="306"/>
      <c r="I39" s="307">
        <f>'4012'!$J$107</f>
        <v>0</v>
      </c>
      <c r="J39" s="307">
        <f>'4012'!$J$109</f>
        <v>0</v>
      </c>
      <c r="K39" s="307">
        <f>'4012'!$J$114</f>
        <v>0</v>
      </c>
      <c r="L39" s="307">
        <f>'4012'!$J$116</f>
        <v>0</v>
      </c>
      <c r="M39" s="308">
        <f>'4012'!$J$124</f>
        <v>0</v>
      </c>
      <c r="N39" s="309"/>
      <c r="O39" s="307">
        <f>'4012'!E28</f>
        <v>0</v>
      </c>
      <c r="P39" s="802">
        <f>'4012'!E50</f>
        <v>0</v>
      </c>
      <c r="Q39" s="819"/>
      <c r="R39" s="802">
        <f>'4012'!E97</f>
        <v>0</v>
      </c>
      <c r="T39" s="308"/>
      <c r="U39" s="308"/>
      <c r="V39" s="308"/>
      <c r="X39" s="308">
        <f t="shared" si="9"/>
        <v>0</v>
      </c>
      <c r="Y39" s="308">
        <f t="shared" si="3"/>
        <v>0</v>
      </c>
      <c r="Z39" s="308">
        <f t="shared" si="4"/>
        <v>0</v>
      </c>
      <c r="AB39" s="665"/>
      <c r="AC39" s="309"/>
    </row>
    <row r="40" spans="1:29" x14ac:dyDescent="0.2">
      <c r="A40" s="247">
        <v>32</v>
      </c>
      <c r="B40" s="311">
        <v>4013</v>
      </c>
      <c r="C40" s="302" t="s">
        <v>329</v>
      </c>
      <c r="D40" s="303" t="str">
        <f>IF(COUNTIF('Surv2-3'!P:P,'Annual Rev &amp; Fees'!B40)&gt;0,"H","")</f>
        <v>H</v>
      </c>
      <c r="E40" s="303" t="s">
        <v>580</v>
      </c>
      <c r="F40" s="304">
        <f t="shared" si="8"/>
        <v>3.1189001816146547E-3</v>
      </c>
      <c r="G40" s="305">
        <f t="shared" si="7"/>
        <v>3.2853020802939103E-3</v>
      </c>
      <c r="H40" s="306"/>
      <c r="I40" s="307">
        <f>'4013'!$J$107</f>
        <v>13634488.93</v>
      </c>
      <c r="J40" s="307">
        <f>'4013'!$J$109</f>
        <v>12943896.469999999</v>
      </c>
      <c r="K40" s="307">
        <f>'4013'!$J$114</f>
        <v>-42524.61</v>
      </c>
      <c r="L40" s="307">
        <f>'4013'!$J$116</f>
        <v>13591964.32</v>
      </c>
      <c r="M40" s="308">
        <f>'4013'!$J$124</f>
        <v>1128637.3899999999</v>
      </c>
      <c r="N40" s="309"/>
      <c r="O40" s="307">
        <f>'4013'!E28</f>
        <v>1521.93</v>
      </c>
      <c r="P40" s="802">
        <f>'4013'!E50</f>
        <v>169.53</v>
      </c>
      <c r="Q40" s="819">
        <f>(-SUMIFS('Surv2-3'!J:J,'Surv2-3'!H:H,$B40,'Surv2-3'!I:I,"&lt;=103")-SUMIFS('Surv2-3'!C:C,'Surv2-3'!A:A,$B40,'Surv2-3'!B:B,"&lt;=103")-SUMIFS('Surv2-3'!J:J,'Surv2-3'!H:H,$B40,'Surv2-3'!I:I,130)-SUMIFS('Surv2-3'!C:C,'Surv2-3'!A:A,$B40,'Surv2-3'!B:B,130))/O40+1</f>
        <v>0.14062407600875204</v>
      </c>
      <c r="R40" s="802">
        <f>'4013'!E97</f>
        <v>28.5</v>
      </c>
      <c r="T40" s="308">
        <f>I40/O40</f>
        <v>8958.6833362901052</v>
      </c>
      <c r="U40" s="308">
        <f>K40/O40</f>
        <v>-27.94123908458339</v>
      </c>
      <c r="V40" s="308">
        <f>L40/O40</f>
        <v>8930.7420972055224</v>
      </c>
      <c r="X40" s="308">
        <f t="shared" si="9"/>
        <v>8930.7420972055224</v>
      </c>
      <c r="Y40" s="308">
        <f t="shared" si="3"/>
        <v>0</v>
      </c>
      <c r="Z40" s="308">
        <f t="shared" si="4"/>
        <v>0</v>
      </c>
      <c r="AB40" s="665"/>
      <c r="AC40" s="309"/>
    </row>
    <row r="41" spans="1:29" x14ac:dyDescent="0.2">
      <c r="A41" s="247">
        <v>33</v>
      </c>
      <c r="B41" s="311">
        <v>4020</v>
      </c>
      <c r="C41" s="312" t="s">
        <v>330</v>
      </c>
      <c r="D41" s="303" t="str">
        <f>IF(COUNTIF('Surv2-3'!P:P,'Annual Rev &amp; Fees'!B41)&gt;0,"H","")</f>
        <v/>
      </c>
      <c r="E41" s="303" t="s">
        <v>580</v>
      </c>
      <c r="F41" s="304">
        <f t="shared" si="8"/>
        <v>9.5749693325854011E-3</v>
      </c>
      <c r="G41" s="305">
        <f t="shared" si="7"/>
        <v>1.0123014424452353E-2</v>
      </c>
      <c r="H41" s="306"/>
      <c r="I41" s="307">
        <f>'4020'!$J$107</f>
        <v>11103658.540000001</v>
      </c>
      <c r="J41" s="307">
        <f>'4020'!$J$109</f>
        <v>10502522.82</v>
      </c>
      <c r="K41" s="307">
        <f>'4020'!$J$114</f>
        <v>-106317.19</v>
      </c>
      <c r="L41" s="307">
        <f>'4020'!$J$116</f>
        <v>10997341.350000001</v>
      </c>
      <c r="M41" s="308">
        <f>'4020'!$J$124</f>
        <v>916273.89</v>
      </c>
      <c r="N41" s="309"/>
      <c r="O41" s="307">
        <f>'4020'!E28</f>
        <v>1234.8099999999997</v>
      </c>
      <c r="P41" s="802">
        <f>'4020'!E50</f>
        <v>158.13</v>
      </c>
      <c r="Q41" s="819">
        <f>(-SUMIFS('Surv2-3'!J:J,'Surv2-3'!H:H,$B41,'Surv2-3'!I:I,"&lt;=103")-SUMIFS('Surv2-3'!C:C,'Surv2-3'!A:A,$B41,'Surv2-3'!B:B,"&lt;=103")-SUMIFS('Surv2-3'!J:J,'Surv2-3'!H:H,$B41,'Surv2-3'!I:I,130)-SUMIFS('Surv2-3'!C:C,'Surv2-3'!A:A,$B41,'Surv2-3'!B:B,130))/O41+1</f>
        <v>0.12806018739725111</v>
      </c>
      <c r="R41" s="802">
        <f>'4020'!E97</f>
        <v>251</v>
      </c>
      <c r="T41" s="308">
        <f>I41/O41</f>
        <v>8992.2000469707928</v>
      </c>
      <c r="U41" s="308">
        <f>K41/O41</f>
        <v>-86.100039682218338</v>
      </c>
      <c r="V41" s="308">
        <f>L41/O41</f>
        <v>8906.1000072885745</v>
      </c>
      <c r="X41" s="308">
        <f t="shared" si="9"/>
        <v>0</v>
      </c>
      <c r="Y41" s="308">
        <f t="shared" si="3"/>
        <v>0</v>
      </c>
      <c r="Z41" s="308">
        <f t="shared" si="4"/>
        <v>8906.1000072885745</v>
      </c>
      <c r="AB41" s="665"/>
      <c r="AC41" s="309"/>
    </row>
    <row r="42" spans="1:29" x14ac:dyDescent="0.2">
      <c r="A42" s="247"/>
      <c r="B42" s="311">
        <v>4030</v>
      </c>
      <c r="C42" s="821" t="s">
        <v>331</v>
      </c>
      <c r="D42" s="303" t="str">
        <f>IF(COUNTIF('Surv2-3'!P:P,'Annual Rev &amp; Fees'!B42)&gt;0,"H","")</f>
        <v/>
      </c>
      <c r="E42" s="303" t="s">
        <v>580</v>
      </c>
      <c r="F42" s="304" t="str">
        <f>IFERROR(-K42/I42,"")</f>
        <v/>
      </c>
      <c r="G42" s="305" t="str">
        <f>IFERROR(-K42/J42,"")</f>
        <v/>
      </c>
      <c r="H42" s="306"/>
      <c r="I42" s="307">
        <f>'4030'!$J$107</f>
        <v>0</v>
      </c>
      <c r="J42" s="307">
        <f>'4030'!$J$109</f>
        <v>0</v>
      </c>
      <c r="K42" s="307">
        <f>'4030'!$J$114</f>
        <v>0</v>
      </c>
      <c r="L42" s="307">
        <f>'4030'!$J$116</f>
        <v>0</v>
      </c>
      <c r="M42" s="308">
        <f>'4030'!$J$124</f>
        <v>0</v>
      </c>
      <c r="N42" s="309"/>
      <c r="O42" s="307">
        <f>'4030'!E28</f>
        <v>0</v>
      </c>
      <c r="P42" s="802">
        <f>'4030'!E50</f>
        <v>0</v>
      </c>
      <c r="Q42" s="819"/>
      <c r="R42" s="802">
        <f>'4030'!E97</f>
        <v>0</v>
      </c>
      <c r="T42" s="308">
        <f>IFERROR(I42/O42,0)</f>
        <v>0</v>
      </c>
      <c r="U42" s="308">
        <f>IFERROR(K42/O42,0)</f>
        <v>0</v>
      </c>
      <c r="V42" s="308">
        <f>IFERROR(L42/O42,0)</f>
        <v>0</v>
      </c>
      <c r="X42" s="308">
        <f t="shared" si="9"/>
        <v>0</v>
      </c>
      <c r="Y42" s="308">
        <f t="shared" si="3"/>
        <v>0</v>
      </c>
      <c r="Z42" s="308">
        <f>IF(AND(X42=0,Y42=0),V42,)</f>
        <v>0</v>
      </c>
      <c r="AB42" s="665"/>
      <c r="AC42" s="309"/>
    </row>
    <row r="43" spans="1:29" x14ac:dyDescent="0.2">
      <c r="A43" s="247">
        <v>34</v>
      </c>
      <c r="B43" s="311">
        <v>4031</v>
      </c>
      <c r="C43" s="312" t="s">
        <v>332</v>
      </c>
      <c r="D43" s="303" t="str">
        <f>IF(COUNTIF('Surv2-3'!P:P,'Annual Rev &amp; Fees'!B43)&gt;0,"H","")</f>
        <v/>
      </c>
      <c r="E43" s="303" t="s">
        <v>580</v>
      </c>
      <c r="F43" s="304">
        <f t="shared" si="8"/>
        <v>2.9694655851921825E-2</v>
      </c>
      <c r="G43" s="305">
        <f t="shared" si="7"/>
        <v>3.1410979942153618E-2</v>
      </c>
      <c r="H43" s="306"/>
      <c r="I43" s="307">
        <f>'4031'!$J$107</f>
        <v>3554031.7599999993</v>
      </c>
      <c r="J43" s="307">
        <f>'4031'!$J$109</f>
        <v>3359836.2799999993</v>
      </c>
      <c r="K43" s="307">
        <f>'4031'!$J$114</f>
        <v>-105535.75</v>
      </c>
      <c r="L43" s="307">
        <f>'4031'!$J$116</f>
        <v>3448496.0099999993</v>
      </c>
      <c r="M43" s="308">
        <f>'4031'!$J$124</f>
        <v>287325.83</v>
      </c>
      <c r="N43" s="309"/>
      <c r="O43" s="307">
        <f>'4031'!E28</f>
        <v>397.9500000000001</v>
      </c>
      <c r="P43" s="802">
        <f>'4031'!E50</f>
        <v>50.61</v>
      </c>
      <c r="Q43" s="819">
        <f>(-SUMIFS('Surv2-3'!J:J,'Surv2-3'!H:H,$B43,'Surv2-3'!I:I,"&lt;=103")-SUMIFS('Surv2-3'!C:C,'Surv2-3'!A:A,$B43,'Surv2-3'!B:B,"&lt;=103")-SUMIFS('Surv2-3'!J:J,'Surv2-3'!H:H,$B43,'Surv2-3'!I:I,130)-SUMIFS('Surv2-3'!C:C,'Surv2-3'!A:A,$B43,'Surv2-3'!B:B,130))/O43+1</f>
        <v>0.12717678100263885</v>
      </c>
      <c r="R43" s="802">
        <f>'4031'!E97</f>
        <v>0</v>
      </c>
      <c r="T43" s="308">
        <f>I43/O43</f>
        <v>8930.8500062821931</v>
      </c>
      <c r="U43" s="308">
        <f>K43/O43</f>
        <v>-265.19851740168355</v>
      </c>
      <c r="V43" s="308">
        <f>L43/O43</f>
        <v>8665.6514888805086</v>
      </c>
      <c r="X43" s="308">
        <f t="shared" si="9"/>
        <v>0</v>
      </c>
      <c r="Y43" s="308">
        <f t="shared" si="3"/>
        <v>0</v>
      </c>
      <c r="Z43" s="308">
        <f>IF(AND(X43=0,Y43=0),V43,)</f>
        <v>8665.6514888805086</v>
      </c>
      <c r="AB43" s="665"/>
      <c r="AC43" s="309"/>
    </row>
    <row r="44" spans="1:29" x14ac:dyDescent="0.2">
      <c r="A44" s="247">
        <v>35</v>
      </c>
      <c r="B44" s="315">
        <v>4041</v>
      </c>
      <c r="C44" s="316" t="s">
        <v>333</v>
      </c>
      <c r="D44" s="317" t="str">
        <f>IF(COUNTIF('Surv2-3'!P:P,'Annual Rev &amp; Fees'!B44)&gt;0,"H","")</f>
        <v>H</v>
      </c>
      <c r="E44" s="317" t="s">
        <v>580</v>
      </c>
      <c r="F44" s="304">
        <f t="shared" si="8"/>
        <v>1.8914423884836933E-2</v>
      </c>
      <c r="G44" s="305">
        <f t="shared" si="7"/>
        <v>1.9999997398147559E-2</v>
      </c>
      <c r="H44" s="306"/>
      <c r="I44" s="307">
        <f>'4041'!$J$107</f>
        <v>812800.86</v>
      </c>
      <c r="J44" s="307">
        <f>'4041'!$J$109</f>
        <v>768683.1</v>
      </c>
      <c r="K44" s="307">
        <f>'4041'!$J$114</f>
        <v>-15373.66</v>
      </c>
      <c r="L44" s="307">
        <f>'4041'!$J$116</f>
        <v>797427.19999999995</v>
      </c>
      <c r="M44" s="308">
        <f>'4041'!$J$124</f>
        <v>66236</v>
      </c>
      <c r="N44" s="309"/>
      <c r="O44" s="307">
        <f>'4041'!E28</f>
        <v>94.8</v>
      </c>
      <c r="P44" s="802">
        <f>'4041'!E50</f>
        <v>18.91</v>
      </c>
      <c r="Q44" s="819">
        <f>(-SUMIFS('Surv2-3'!J:J,'Surv2-3'!H:H,$B44,'Surv2-3'!I:I,"&lt;=103")-SUMIFS('Surv2-3'!C:C,'Surv2-3'!A:A,$B44,'Surv2-3'!B:B,"&lt;=103")-SUMIFS('Surv2-3'!J:J,'Surv2-3'!H:H,$B44,'Surv2-3'!I:I,130)-SUMIFS('Surv2-3'!C:C,'Surv2-3'!A:A,$B44,'Surv2-3'!B:B,130))/O44+1</f>
        <v>0.19947257383966222</v>
      </c>
      <c r="R44" s="802">
        <f>'4041'!E97</f>
        <v>0</v>
      </c>
      <c r="T44" s="308">
        <f>I44/O44</f>
        <v>8573.8487341772161</v>
      </c>
      <c r="U44" s="308">
        <f>K44/O44</f>
        <v>-162.16940928270043</v>
      </c>
      <c r="V44" s="308">
        <f>L44/O44</f>
        <v>8411.6793248945141</v>
      </c>
      <c r="X44" s="308">
        <f t="shared" si="9"/>
        <v>8411.6793248945141</v>
      </c>
      <c r="Y44" s="308">
        <f t="shared" si="3"/>
        <v>0</v>
      </c>
      <c r="Z44" s="308">
        <f t="shared" si="4"/>
        <v>0</v>
      </c>
      <c r="AB44" s="665"/>
      <c r="AC44" s="309"/>
    </row>
    <row r="45" spans="1:29" x14ac:dyDescent="0.2">
      <c r="A45" s="247">
        <v>36</v>
      </c>
      <c r="B45" s="318">
        <v>4050</v>
      </c>
      <c r="C45" s="319" t="s">
        <v>334</v>
      </c>
      <c r="D45" s="320" t="str">
        <f>IF(COUNTIF('Surv2-3'!P:P,'Annual Rev &amp; Fees'!B45)&gt;0,"H","")</f>
        <v/>
      </c>
      <c r="E45" s="320" t="s">
        <v>580</v>
      </c>
      <c r="F45" s="304">
        <f t="shared" si="8"/>
        <v>1.8644880997899738E-2</v>
      </c>
      <c r="G45" s="305">
        <f t="shared" si="7"/>
        <v>1.972791311175574E-2</v>
      </c>
      <c r="H45" s="306"/>
      <c r="I45" s="307">
        <f>'4050'!$J$107</f>
        <v>5650361.620000001</v>
      </c>
      <c r="J45" s="307">
        <f>'4050'!$J$109</f>
        <v>5340165.4500000011</v>
      </c>
      <c r="K45" s="307">
        <f>'4050'!$J$114</f>
        <v>-105350.32</v>
      </c>
      <c r="L45" s="307">
        <f>'4050'!$J$116</f>
        <v>5545011.3000000007</v>
      </c>
      <c r="M45" s="308">
        <f>'4050'!$J$124</f>
        <v>462214.15</v>
      </c>
      <c r="N45" s="309"/>
      <c r="O45" s="307">
        <f>'4050'!E28</f>
        <v>633.62000000000012</v>
      </c>
      <c r="P45" s="802">
        <f>'4050'!E50</f>
        <v>65.5</v>
      </c>
      <c r="Q45" s="819">
        <f>(-SUMIFS('Surv2-3'!J:J,'Surv2-3'!H:H,$B45,'Surv2-3'!I:I,"&lt;=103")-SUMIFS('Surv2-3'!C:C,'Surv2-3'!A:A,$B45,'Surv2-3'!B:B,"&lt;=103")-SUMIFS('Surv2-3'!J:J,'Surv2-3'!H:H,$B45,'Surv2-3'!I:I,130)-SUMIFS('Surv2-3'!C:C,'Surv2-3'!A:A,$B45,'Surv2-3'!B:B,130))/O45+1</f>
        <v>0.10337426217606782</v>
      </c>
      <c r="R45" s="802">
        <f>'4050'!E97</f>
        <v>0</v>
      </c>
      <c r="T45" s="308">
        <f>I45/O45</f>
        <v>8917.5872289384806</v>
      </c>
      <c r="U45" s="308">
        <f>K45/O45</f>
        <v>-166.26735267194846</v>
      </c>
      <c r="V45" s="308">
        <f>L45/O45</f>
        <v>8751.3198762665306</v>
      </c>
      <c r="X45" s="308">
        <f t="shared" si="9"/>
        <v>0</v>
      </c>
      <c r="Y45" s="308">
        <f t="shared" si="3"/>
        <v>0</v>
      </c>
      <c r="Z45" s="308">
        <f t="shared" si="4"/>
        <v>8751.3198762665306</v>
      </c>
      <c r="AB45" s="665"/>
      <c r="AC45" s="309"/>
    </row>
    <row r="46" spans="1:29" x14ac:dyDescent="0.2">
      <c r="A46" s="247">
        <v>37</v>
      </c>
      <c r="B46" s="318">
        <v>4051</v>
      </c>
      <c r="C46" s="319" t="s">
        <v>335</v>
      </c>
      <c r="D46" s="320" t="str">
        <f>IF(COUNTIF('Surv2-3'!P:P,'Annual Rev &amp; Fees'!B46)&gt;0,"H","")</f>
        <v/>
      </c>
      <c r="E46" s="320" t="s">
        <v>580</v>
      </c>
      <c r="F46" s="304">
        <f t="shared" si="8"/>
        <v>1.8990788957635445E-2</v>
      </c>
      <c r="G46" s="305">
        <f t="shared" si="7"/>
        <v>2.009678571536655E-2</v>
      </c>
      <c r="H46" s="306"/>
      <c r="I46" s="307">
        <f>'4051'!$J$107</f>
        <v>5570312.0200000005</v>
      </c>
      <c r="J46" s="307">
        <f>'4051'!$J$109</f>
        <v>5263758.1700000009</v>
      </c>
      <c r="K46" s="307">
        <f>'4051'!$J$114</f>
        <v>-105784.62</v>
      </c>
      <c r="L46" s="307">
        <f>'4051'!$J$116</f>
        <v>5464527.4000000004</v>
      </c>
      <c r="M46" s="308">
        <f>'4051'!$J$124</f>
        <v>455499.59</v>
      </c>
      <c r="N46" s="309"/>
      <c r="O46" s="307">
        <f>'4051'!E28</f>
        <v>621.99</v>
      </c>
      <c r="P46" s="802">
        <f>'4051'!E50</f>
        <v>64.5</v>
      </c>
      <c r="Q46" s="819">
        <f>(-SUMIFS('Surv2-3'!J:J,'Surv2-3'!H:H,$B46,'Surv2-3'!I:I,"&lt;=103")-SUMIFS('Surv2-3'!C:C,'Surv2-3'!A:A,$B46,'Surv2-3'!B:B,"&lt;=103")-SUMIFS('Surv2-3'!J:J,'Surv2-3'!H:H,$B46,'Surv2-3'!I:I,130)-SUMIFS('Surv2-3'!C:C,'Surv2-3'!A:A,$B46,'Surv2-3'!B:B,130))/O46+1</f>
        <v>0.103699416389331</v>
      </c>
      <c r="R46" s="802">
        <f>'4051'!E97</f>
        <v>0</v>
      </c>
      <c r="T46" s="308">
        <f>I46/O46</f>
        <v>8955.6295438833422</v>
      </c>
      <c r="U46" s="308">
        <f>K46/O46</f>
        <v>-170.07447065065352</v>
      </c>
      <c r="V46" s="308">
        <f>L46/O46</f>
        <v>8785.5550732326883</v>
      </c>
      <c r="X46" s="308">
        <f t="shared" si="9"/>
        <v>0</v>
      </c>
      <c r="Y46" s="308">
        <f t="shared" si="3"/>
        <v>0</v>
      </c>
      <c r="Z46" s="308">
        <f t="shared" si="4"/>
        <v>8785.5550732326883</v>
      </c>
      <c r="AB46" s="665"/>
      <c r="AC46" s="309"/>
    </row>
    <row r="47" spans="1:29" x14ac:dyDescent="0.2">
      <c r="A47" s="247">
        <v>38</v>
      </c>
      <c r="B47" s="318">
        <v>4061</v>
      </c>
      <c r="C47" s="321" t="s">
        <v>336</v>
      </c>
      <c r="D47" s="320" t="str">
        <f>IF(COUNTIF('Surv2-3'!P:P,'Annual Rev &amp; Fees'!B47)&gt;0,"H","")</f>
        <v/>
      </c>
      <c r="E47" s="320" t="s">
        <v>580</v>
      </c>
      <c r="F47" s="304">
        <f t="shared" si="8"/>
        <v>1.2767257914753397E-2</v>
      </c>
      <c r="G47" s="305">
        <f t="shared" si="7"/>
        <v>1.3505775385738765E-2</v>
      </c>
      <c r="H47" s="306"/>
      <c r="I47" s="307">
        <f>'4061'!$J$107</f>
        <v>8208371.0300000003</v>
      </c>
      <c r="J47" s="307">
        <f>'4061'!$J$109</f>
        <v>7759524.1299999999</v>
      </c>
      <c r="K47" s="307">
        <f>'4061'!$J$114</f>
        <v>-104798.39</v>
      </c>
      <c r="L47" s="307">
        <f>'4061'!$J$116</f>
        <v>8103572.6400000006</v>
      </c>
      <c r="M47" s="308">
        <f>'4061'!$J$124</f>
        <v>675732.22</v>
      </c>
      <c r="N47" s="309"/>
      <c r="O47" s="307">
        <f>'4061'!E28</f>
        <v>925.53000000000009</v>
      </c>
      <c r="P47" s="802">
        <f>'4061'!E50</f>
        <v>75.5</v>
      </c>
      <c r="Q47" s="819">
        <f>(-SUMIFS('Surv2-3'!J:J,'Surv2-3'!H:H,$B47,'Surv2-3'!I:I,"&lt;=103")-SUMIFS('Surv2-3'!C:C,'Surv2-3'!A:A,$B47,'Surv2-3'!B:B,"&lt;=103")-SUMIFS('Surv2-3'!J:J,'Surv2-3'!H:H,$B47,'Surv2-3'!I:I,130)-SUMIFS('Surv2-3'!C:C,'Surv2-3'!A:A,$B47,'Surv2-3'!B:B,130))/O47+1</f>
        <v>8.1574881419295031E-2</v>
      </c>
      <c r="R47" s="802">
        <f>'4061'!E97</f>
        <v>102</v>
      </c>
      <c r="T47" s="308">
        <f>I47/O47</f>
        <v>8868.8330254016619</v>
      </c>
      <c r="U47" s="308">
        <f>K47/O47</f>
        <v>-113.23067863818568</v>
      </c>
      <c r="V47" s="308">
        <f>L47/O47</f>
        <v>8755.602346763475</v>
      </c>
      <c r="X47" s="308">
        <f t="shared" si="9"/>
        <v>0</v>
      </c>
      <c r="Y47" s="308">
        <f t="shared" si="3"/>
        <v>0</v>
      </c>
      <c r="Z47" s="308">
        <f t="shared" si="4"/>
        <v>8755.602346763475</v>
      </c>
      <c r="AB47" s="665"/>
      <c r="AC47" s="309"/>
    </row>
    <row r="48" spans="1:29" x14ac:dyDescent="0.2">
      <c r="A48" s="247"/>
      <c r="B48" s="318">
        <v>4080</v>
      </c>
      <c r="C48" s="322" t="s">
        <v>337</v>
      </c>
      <c r="D48" s="317" t="str">
        <f>IF(COUNTIF('Surv2-3'!P:P,'Annual Rev &amp; Fees'!B48)&gt;0,"H","")</f>
        <v/>
      </c>
      <c r="E48" s="317" t="s">
        <v>580</v>
      </c>
      <c r="F48" s="304"/>
      <c r="G48" s="305"/>
      <c r="H48" s="306"/>
      <c r="I48" s="307"/>
      <c r="J48" s="307"/>
      <c r="K48" s="307"/>
      <c r="L48" s="307"/>
      <c r="M48" s="308"/>
      <c r="N48" s="309"/>
      <c r="O48" s="307"/>
      <c r="P48" s="802"/>
      <c r="Q48" s="819"/>
      <c r="R48" s="802"/>
      <c r="T48" s="308"/>
      <c r="U48" s="308"/>
      <c r="V48" s="308"/>
      <c r="X48" s="308"/>
      <c r="Y48" s="308"/>
      <c r="Z48" s="308"/>
      <c r="AB48" s="665"/>
      <c r="AC48" s="309"/>
    </row>
    <row r="49" spans="1:29" x14ac:dyDescent="0.2">
      <c r="A49" s="247">
        <v>39</v>
      </c>
      <c r="B49" s="318">
        <v>4081</v>
      </c>
      <c r="C49" s="321" t="s">
        <v>338</v>
      </c>
      <c r="D49" s="317" t="str">
        <f>IF(COUNTIF('Surv2-3'!P:P,'Annual Rev &amp; Fees'!B49)&gt;0,"H","")</f>
        <v/>
      </c>
      <c r="E49" s="317" t="s">
        <v>580</v>
      </c>
      <c r="F49" s="304">
        <f t="shared" si="8"/>
        <v>4.7323900621291354E-2</v>
      </c>
      <c r="G49" s="305">
        <f t="shared" si="7"/>
        <v>4.9999998986090199E-2</v>
      </c>
      <c r="H49" s="306"/>
      <c r="I49" s="307">
        <f>'4081'!$J$107</f>
        <v>1042053.7899999999</v>
      </c>
      <c r="J49" s="307">
        <f>'4081'!$J$109</f>
        <v>986281.0199999999</v>
      </c>
      <c r="K49" s="307">
        <f>'4081'!$J$114</f>
        <v>-49314.05</v>
      </c>
      <c r="L49" s="307">
        <f>'4081'!$J$116</f>
        <v>992739.73999999987</v>
      </c>
      <c r="M49" s="308">
        <f>'4081'!$J$124</f>
        <v>81947.66</v>
      </c>
      <c r="N49" s="309"/>
      <c r="O49" s="307">
        <f>'4081'!E28</f>
        <v>123.15</v>
      </c>
      <c r="P49" s="802">
        <f>'4081'!E50</f>
        <v>21.46</v>
      </c>
      <c r="Q49" s="819">
        <f>(-SUMIFS('Surv2-3'!J:J,'Surv2-3'!H:H,$B49,'Surv2-3'!I:I,"&lt;=103")-SUMIFS('Surv2-3'!C:C,'Surv2-3'!A:A,$B49,'Surv2-3'!B:B,"&lt;=103")-SUMIFS('Surv2-3'!J:J,'Surv2-3'!H:H,$B49,'Surv2-3'!I:I,130)-SUMIFS('Surv2-3'!C:C,'Surv2-3'!A:A,$B49,'Surv2-3'!B:B,130))/O49+1</f>
        <v>0.17425903369874141</v>
      </c>
      <c r="R49" s="802">
        <f>'4081'!E97</f>
        <v>32.5</v>
      </c>
      <c r="T49" s="308">
        <f>I49/O49</f>
        <v>8461.6629313844896</v>
      </c>
      <c r="U49" s="308">
        <f>K49/O49</f>
        <v>-400.43889565570441</v>
      </c>
      <c r="V49" s="308">
        <f>L49/O49</f>
        <v>8061.2240357287847</v>
      </c>
      <c r="X49" s="308">
        <f t="shared" si="9"/>
        <v>0</v>
      </c>
      <c r="Y49" s="308">
        <f t="shared" si="3"/>
        <v>0</v>
      </c>
      <c r="Z49" s="308">
        <f t="shared" si="4"/>
        <v>8061.2240357287847</v>
      </c>
      <c r="AB49" s="665"/>
      <c r="AC49" s="309"/>
    </row>
    <row r="50" spans="1:29" x14ac:dyDescent="0.2">
      <c r="A50" s="247">
        <v>40</v>
      </c>
      <c r="B50" s="318">
        <v>4090</v>
      </c>
      <c r="C50" s="321" t="s">
        <v>339</v>
      </c>
      <c r="D50" s="317" t="str">
        <f>IF(COUNTIF('Surv2-3'!P:P,'Annual Rev &amp; Fees'!B50)&gt;0,"H","")</f>
        <v/>
      </c>
      <c r="E50" s="317" t="s">
        <v>580</v>
      </c>
      <c r="F50" s="304">
        <f t="shared" si="8"/>
        <v>3.6514052925743695E-2</v>
      </c>
      <c r="G50" s="305">
        <f t="shared" si="7"/>
        <v>3.8631518803022194E-2</v>
      </c>
      <c r="H50" s="306"/>
      <c r="I50" s="307">
        <f>'4090'!$J$107</f>
        <v>2759912.4699999997</v>
      </c>
      <c r="J50" s="307">
        <f>'4090'!$J$109</f>
        <v>2608636.4999999995</v>
      </c>
      <c r="K50" s="307">
        <f>'4090'!$J$114</f>
        <v>-100775.59</v>
      </c>
      <c r="L50" s="307">
        <f>'4090'!$J$116</f>
        <v>2659136.88</v>
      </c>
      <c r="M50" s="308">
        <f>'4090'!$J$124</f>
        <v>221237.29</v>
      </c>
      <c r="N50" s="309"/>
      <c r="O50" s="307">
        <f>'4090'!E28</f>
        <v>323.57</v>
      </c>
      <c r="P50" s="802">
        <f>'4090'!E50</f>
        <v>42.91</v>
      </c>
      <c r="Q50" s="819">
        <f>(-SUMIFS('Surv2-3'!J:J,'Surv2-3'!H:H,$B50,'Surv2-3'!I:I,"&lt;=103")-SUMIFS('Surv2-3'!C:C,'Surv2-3'!A:A,$B50,'Surv2-3'!B:B,"&lt;=103")-SUMIFS('Surv2-3'!J:J,'Surv2-3'!H:H,$B50,'Surv2-3'!I:I,130)-SUMIFS('Surv2-3'!C:C,'Surv2-3'!A:A,$B50,'Surv2-3'!B:B,130))/O50+1</f>
        <v>0.13261427202769116</v>
      </c>
      <c r="R50" s="802">
        <f>'4090'!E97</f>
        <v>0</v>
      </c>
      <c r="T50" s="308">
        <f>I50/O50</f>
        <v>8529.5684705009735</v>
      </c>
      <c r="U50" s="308">
        <f>K50/O50</f>
        <v>-311.44911456562721</v>
      </c>
      <c r="V50" s="308">
        <f>L50/O50</f>
        <v>8218.1193559353469</v>
      </c>
      <c r="X50" s="308">
        <f t="shared" si="9"/>
        <v>0</v>
      </c>
      <c r="Y50" s="308">
        <f t="shared" si="3"/>
        <v>0</v>
      </c>
      <c r="Z50" s="308">
        <f t="shared" si="4"/>
        <v>8218.1193559353469</v>
      </c>
      <c r="AB50" s="665"/>
      <c r="AC50" s="309"/>
    </row>
    <row r="51" spans="1:29" x14ac:dyDescent="0.2">
      <c r="A51" s="247">
        <v>41</v>
      </c>
      <c r="B51" s="318">
        <v>4091</v>
      </c>
      <c r="C51" s="321" t="s">
        <v>340</v>
      </c>
      <c r="D51" s="317" t="str">
        <f>IF(COUNTIF('Surv2-3'!P:P,'Annual Rev &amp; Fees'!B51)&gt;0,"H","")</f>
        <v/>
      </c>
      <c r="E51" s="317" t="s">
        <v>580</v>
      </c>
      <c r="F51" s="304">
        <f t="shared" si="8"/>
        <v>2.9969086224749898E-2</v>
      </c>
      <c r="G51" s="305">
        <f t="shared" si="7"/>
        <v>3.1708988916242367E-2</v>
      </c>
      <c r="H51" s="306"/>
      <c r="I51" s="307">
        <f>'4091'!$J$107</f>
        <v>3630750.34</v>
      </c>
      <c r="J51" s="307">
        <f>'4091'!$J$109</f>
        <v>3431527.58</v>
      </c>
      <c r="K51" s="307">
        <f>'4091'!$J$114</f>
        <v>-108810.27</v>
      </c>
      <c r="L51" s="307">
        <f>'4091'!$J$116</f>
        <v>3521940.07</v>
      </c>
      <c r="M51" s="308">
        <f>'4091'!$J$124</f>
        <v>293781.88</v>
      </c>
      <c r="N51" s="309"/>
      <c r="O51" s="307">
        <f>'4091'!E28</f>
        <v>394.21000000000004</v>
      </c>
      <c r="P51" s="802">
        <f>'4091'!E50</f>
        <v>43</v>
      </c>
      <c r="Q51" s="819">
        <f>(-SUMIFS('Surv2-3'!J:J,'Surv2-3'!H:H,$B51,'Surv2-3'!I:I,"&lt;=103")-SUMIFS('Surv2-3'!C:C,'Surv2-3'!A:A,$B51,'Surv2-3'!B:B,"&lt;=103")-SUMIFS('Surv2-3'!J:J,'Surv2-3'!H:H,$B51,'Surv2-3'!I:I,130)-SUMIFS('Surv2-3'!C:C,'Surv2-3'!A:A,$B51,'Surv2-3'!B:B,130))/O51+1</f>
        <v>0.10907891732832764</v>
      </c>
      <c r="R51" s="802">
        <f>'4091'!E97</f>
        <v>0</v>
      </c>
      <c r="T51" s="308">
        <f>I51/O51</f>
        <v>9210.1933994571409</v>
      </c>
      <c r="U51" s="308">
        <f>K51/O51</f>
        <v>-276.02108013495342</v>
      </c>
      <c r="V51" s="308">
        <f>L51/O51</f>
        <v>8934.1723193221878</v>
      </c>
      <c r="X51" s="308">
        <f t="shared" si="9"/>
        <v>0</v>
      </c>
      <c r="Y51" s="308">
        <f t="shared" si="3"/>
        <v>0</v>
      </c>
      <c r="Z51" s="308">
        <f t="shared" si="4"/>
        <v>8934.1723193221878</v>
      </c>
      <c r="AB51" s="665"/>
      <c r="AC51" s="309"/>
    </row>
    <row r="52" spans="1:29" x14ac:dyDescent="0.2">
      <c r="A52" s="247">
        <v>42</v>
      </c>
      <c r="B52" s="318">
        <v>4100</v>
      </c>
      <c r="C52" s="321" t="s">
        <v>341</v>
      </c>
      <c r="D52" s="317" t="str">
        <f>IF(COUNTIF('Surv2-3'!P:P,'Annual Rev &amp; Fees'!B52)&gt;0,"H","")</f>
        <v/>
      </c>
      <c r="E52" s="317">
        <v>1</v>
      </c>
      <c r="F52" s="304">
        <f t="shared" si="8"/>
        <v>7.7075999250231439E-3</v>
      </c>
      <c r="G52" s="305">
        <f t="shared" si="7"/>
        <v>8.1786392168002146E-3</v>
      </c>
      <c r="H52" s="306"/>
      <c r="I52" s="307">
        <f>'4100'!$J$107</f>
        <v>4349342.2500000009</v>
      </c>
      <c r="J52" s="307">
        <f>'4100'!$J$109</f>
        <v>4098846.9000000008</v>
      </c>
      <c r="K52" s="307">
        <f>'4100'!$J$114</f>
        <v>-33522.99</v>
      </c>
      <c r="L52" s="307">
        <f>'4100'!$J$116</f>
        <v>4315819.2600000007</v>
      </c>
      <c r="M52" s="308">
        <f>'4100'!$J$124</f>
        <v>359492.69</v>
      </c>
      <c r="N52" s="309"/>
      <c r="O52" s="307">
        <f>'4100'!E28</f>
        <v>111</v>
      </c>
      <c r="P52" s="802">
        <f>'4100'!E50</f>
        <v>4</v>
      </c>
      <c r="Q52" s="819">
        <f>(-SUMIFS('Surv2-3'!J:J,'Surv2-3'!H:H,$B52,'Surv2-3'!I:I,"&lt;=103")-SUMIFS('Surv2-3'!C:C,'Surv2-3'!A:A,$B52,'Surv2-3'!B:B,"&lt;=103")-SUMIFS('Surv2-3'!J:J,'Surv2-3'!H:H,$B52,'Surv2-3'!I:I,130)-SUMIFS('Surv2-3'!C:C,'Surv2-3'!A:A,$B52,'Surv2-3'!B:B,130))/O52+1</f>
        <v>1</v>
      </c>
      <c r="R52" s="802">
        <f>'4100'!E97</f>
        <v>6</v>
      </c>
      <c r="T52" s="308">
        <f>I52/O52</f>
        <v>39183.263513513521</v>
      </c>
      <c r="U52" s="308">
        <f>K52/O52</f>
        <v>-302.00891891891888</v>
      </c>
      <c r="V52" s="308">
        <f>L52/O52</f>
        <v>38881.254594594604</v>
      </c>
      <c r="X52" s="308">
        <f t="shared" si="9"/>
        <v>0</v>
      </c>
      <c r="Y52" s="308">
        <f t="shared" si="3"/>
        <v>38881.25</v>
      </c>
      <c r="Z52" s="308">
        <f t="shared" si="4"/>
        <v>0</v>
      </c>
      <c r="AB52" s="665"/>
      <c r="AC52" s="309"/>
    </row>
    <row r="53" spans="1:29" x14ac:dyDescent="0.2">
      <c r="A53" s="247">
        <v>43</v>
      </c>
      <c r="B53" s="318">
        <v>4102</v>
      </c>
      <c r="C53" s="321" t="s">
        <v>342</v>
      </c>
      <c r="D53" s="317" t="str">
        <f>IF(COUNTIF('Surv2-3'!P:P,'Annual Rev &amp; Fees'!B53)&gt;0,"H","")</f>
        <v/>
      </c>
      <c r="E53" s="317" t="s">
        <v>580</v>
      </c>
      <c r="F53" s="304">
        <f t="shared" si="8"/>
        <v>4.7263990721943136E-2</v>
      </c>
      <c r="G53" s="305">
        <f t="shared" si="7"/>
        <v>5.0000002599514738E-2</v>
      </c>
      <c r="H53" s="306"/>
      <c r="I53" s="307">
        <f>'4102'!$J$107</f>
        <v>1627823.6100000003</v>
      </c>
      <c r="J53" s="307">
        <f>'4102'!$J$109</f>
        <v>1538748.7200000004</v>
      </c>
      <c r="K53" s="307">
        <f>'4102'!$J$114</f>
        <v>-76937.440000000002</v>
      </c>
      <c r="L53" s="307">
        <f>'4102'!$J$116</f>
        <v>1550886.1700000004</v>
      </c>
      <c r="M53" s="308">
        <f>'4102'!$J$124</f>
        <v>129374.31</v>
      </c>
      <c r="N53" s="309"/>
      <c r="O53" s="307">
        <f>'4102'!E28</f>
        <v>178.89000000000001</v>
      </c>
      <c r="P53" s="802">
        <f>'4102'!E50</f>
        <v>18.649999999999999</v>
      </c>
      <c r="Q53" s="819">
        <f>(-SUMIFS('Surv2-3'!J:J,'Surv2-3'!H:H,$B53,'Surv2-3'!I:I,"&lt;=103")-SUMIFS('Surv2-3'!C:C,'Surv2-3'!A:A,$B53,'Surv2-3'!B:B,"&lt;=103")-SUMIFS('Surv2-3'!J:J,'Surv2-3'!H:H,$B53,'Surv2-3'!I:I,130)-SUMIFS('Surv2-3'!C:C,'Surv2-3'!A:A,$B53,'Surv2-3'!B:B,130))/O53+1</f>
        <v>0.10425401084465336</v>
      </c>
      <c r="R53" s="802">
        <f>'4102'!E97</f>
        <v>0</v>
      </c>
      <c r="T53" s="308">
        <v>0</v>
      </c>
      <c r="U53" s="308">
        <v>0</v>
      </c>
      <c r="V53" s="308">
        <v>0</v>
      </c>
      <c r="X53" s="308">
        <f t="shared" si="9"/>
        <v>0</v>
      </c>
      <c r="Y53" s="308">
        <f t="shared" si="3"/>
        <v>0</v>
      </c>
      <c r="Z53" s="308">
        <f>IF(AND(X53=0,Y53=0),V53,)</f>
        <v>0</v>
      </c>
      <c r="AB53" s="665"/>
      <c r="AC53" s="309"/>
    </row>
    <row r="54" spans="1:29" x14ac:dyDescent="0.2">
      <c r="A54" s="247">
        <v>44</v>
      </c>
      <c r="B54" s="318">
        <v>4103</v>
      </c>
      <c r="C54" s="321" t="s">
        <v>343</v>
      </c>
      <c r="D54" s="317" t="str">
        <f>IF(COUNTIF('Surv2-3'!P:P,'Annual Rev &amp; Fees'!B54)&gt;0,"H","")</f>
        <v/>
      </c>
      <c r="E54" s="317" t="s">
        <v>580</v>
      </c>
      <c r="F54" s="304">
        <f>IF(I54=0,0,-K54/I54)</f>
        <v>1.2307100166335849E-2</v>
      </c>
      <c r="G54" s="305">
        <f t="shared" si="7"/>
        <v>1.2997546120083804E-2</v>
      </c>
      <c r="H54" s="306"/>
      <c r="I54" s="307">
        <f>'4103'!$J$107</f>
        <v>8455465.4299999978</v>
      </c>
      <c r="J54" s="307">
        <f>'4103'!$J$109</f>
        <v>8006300.4999999981</v>
      </c>
      <c r="K54" s="307">
        <f>'4103'!$J$114</f>
        <v>-104062.26</v>
      </c>
      <c r="L54" s="307">
        <f>'4103'!$J$116</f>
        <v>8351403.1699999981</v>
      </c>
      <c r="M54" s="308">
        <f>'4103'!$J$124</f>
        <v>693688.39</v>
      </c>
      <c r="N54" s="309"/>
      <c r="O54" s="307">
        <f>'4103'!E28</f>
        <v>961.71999999999991</v>
      </c>
      <c r="P54" s="802">
        <f>'4103'!E50</f>
        <v>112.58</v>
      </c>
      <c r="Q54" s="819">
        <f>(-SUMIFS('Surv2-3'!J:J,'Surv2-3'!H:H,$B54,'Surv2-3'!I:I,"&lt;=103")-SUMIFS('Surv2-3'!C:C,'Surv2-3'!A:A,$B54,'Surv2-3'!B:B,"&lt;=103")-SUMIFS('Surv2-3'!J:J,'Surv2-3'!H:H,$B54,'Surv2-3'!I:I,130)-SUMIFS('Surv2-3'!C:C,'Surv2-3'!A:A,$B54,'Surv2-3'!B:B,130))/O54+1</f>
        <v>0.16373788628706909</v>
      </c>
      <c r="R54" s="802">
        <f>'4103'!E97</f>
        <v>0.5</v>
      </c>
      <c r="T54" s="308">
        <f>IF(O54=0,0,I54/O54)</f>
        <v>8792.0241130474551</v>
      </c>
      <c r="U54" s="308">
        <f>IF(O54=0,0,K54/O54)</f>
        <v>-108.20432142411514</v>
      </c>
      <c r="V54" s="308">
        <f>IF(O54=0,0,L54/O54)</f>
        <v>8683.8197916233403</v>
      </c>
      <c r="X54" s="308">
        <f t="shared" si="9"/>
        <v>0</v>
      </c>
      <c r="Y54" s="308">
        <f t="shared" si="3"/>
        <v>0</v>
      </c>
      <c r="Z54" s="308">
        <f>IF(AND(X54=0,Y54=0),V54,)</f>
        <v>8683.8197916233403</v>
      </c>
      <c r="AB54" s="665"/>
      <c r="AC54" s="309"/>
    </row>
    <row r="55" spans="1:29" x14ac:dyDescent="0.2">
      <c r="A55" s="247">
        <v>45</v>
      </c>
      <c r="B55" s="318">
        <v>4111</v>
      </c>
      <c r="C55" s="321" t="s">
        <v>344</v>
      </c>
      <c r="D55" s="317" t="str">
        <f>IF(COUNTIF('Surv2-3'!P:P,'Annual Rev &amp; Fees'!B55)&gt;0,"H","")</f>
        <v/>
      </c>
      <c r="E55" s="317" t="s">
        <v>580</v>
      </c>
      <c r="F55" s="304">
        <f>IF(I55=0,0,-K55/I55)</f>
        <v>3.6036688641566152E-2</v>
      </c>
      <c r="G55" s="305">
        <f t="shared" si="7"/>
        <v>3.8128354736660576E-2</v>
      </c>
      <c r="H55" s="306"/>
      <c r="I55" s="307">
        <f>'4111'!$J$107</f>
        <v>2752376.6399999997</v>
      </c>
      <c r="J55" s="307">
        <f>'4111'!$J$109</f>
        <v>2601385.2599999998</v>
      </c>
      <c r="K55" s="307">
        <f>'4111'!$J$114</f>
        <v>-99186.54</v>
      </c>
      <c r="L55" s="307">
        <f>'4111'!$J$116</f>
        <v>2653190.0999999996</v>
      </c>
      <c r="M55" s="308">
        <f>'4111'!$J$124</f>
        <v>219735.54</v>
      </c>
      <c r="N55" s="309"/>
      <c r="O55" s="307">
        <f>'4111'!E28</f>
        <v>327.84000000000003</v>
      </c>
      <c r="P55" s="802">
        <f>'4111'!E50</f>
        <v>37.07</v>
      </c>
      <c r="Q55" s="819">
        <f>(-SUMIFS('Surv2-3'!J:J,'Surv2-3'!H:H,$B55,'Surv2-3'!I:I,"&lt;=103")-SUMIFS('Surv2-3'!C:C,'Surv2-3'!A:A,$B55,'Surv2-3'!B:B,"&lt;=103")-SUMIFS('Surv2-3'!J:J,'Surv2-3'!H:H,$B55,'Surv2-3'!I:I,130)-SUMIFS('Surv2-3'!C:C,'Surv2-3'!A:A,$B55,'Surv2-3'!B:B,130))/O55+1</f>
        <v>0.1891471449487554</v>
      </c>
      <c r="R55" s="802">
        <f>'4111'!E97</f>
        <v>1</v>
      </c>
      <c r="T55" s="308">
        <f>IF(O55=0,0,I55/O55)</f>
        <v>8395.4875549048302</v>
      </c>
      <c r="U55" s="308">
        <f>IF(O55=0,0,K55/O55)</f>
        <v>-302.54557101024886</v>
      </c>
      <c r="V55" s="308">
        <f>IF(O55=0,0,L55/O55)</f>
        <v>8092.9419838945805</v>
      </c>
      <c r="X55" s="308">
        <f t="shared" si="9"/>
        <v>0</v>
      </c>
      <c r="Y55" s="308">
        <f t="shared" si="3"/>
        <v>0</v>
      </c>
      <c r="Z55" s="308">
        <f>IF(AND(X55=0,Y55=0),V55,)</f>
        <v>8092.9419838945805</v>
      </c>
      <c r="AB55" s="665"/>
      <c r="AC55" s="309"/>
    </row>
    <row r="56" spans="1:29" x14ac:dyDescent="0.2">
      <c r="A56" s="247">
        <v>46</v>
      </c>
      <c r="B56" s="318">
        <v>4131</v>
      </c>
      <c r="C56" s="321" t="s">
        <v>345</v>
      </c>
      <c r="D56" s="317" t="str">
        <f>IF(COUNTIF('Surv2-3'!P:P,'Annual Rev &amp; Fees'!B56)&gt;0,"H","")</f>
        <v/>
      </c>
      <c r="E56" s="317" t="s">
        <v>580</v>
      </c>
      <c r="F56" s="304">
        <f>IF(I56=0,0,-K56/I56)</f>
        <v>4.7255704019800768E-2</v>
      </c>
      <c r="G56" s="305">
        <f t="shared" si="7"/>
        <v>5.0000002597719591E-2</v>
      </c>
      <c r="H56" s="306"/>
      <c r="I56" s="307">
        <f>'4131'!$J$107</f>
        <v>1018271.36</v>
      </c>
      <c r="J56" s="307">
        <f>'4131'!$J$109</f>
        <v>962382.54999999993</v>
      </c>
      <c r="K56" s="307">
        <f>'4131'!$J$114</f>
        <v>-48119.13</v>
      </c>
      <c r="L56" s="307">
        <f>'4131'!$J$116</f>
        <v>970152.23</v>
      </c>
      <c r="M56" s="308">
        <f>'4131'!$J$124</f>
        <v>80422.789999999994</v>
      </c>
      <c r="N56" s="309"/>
      <c r="O56" s="307">
        <f>'4131'!E28</f>
        <v>121.44</v>
      </c>
      <c r="P56" s="802">
        <f>'4131'!E50</f>
        <v>11.969999999999999</v>
      </c>
      <c r="Q56" s="819">
        <f>(-SUMIFS('Surv2-3'!J:J,'Surv2-3'!H:H,$B56,'Surv2-3'!I:I,"&lt;=103")-SUMIFS('Surv2-3'!C:C,'Surv2-3'!A:A,$B56,'Surv2-3'!B:B,"&lt;=103")-SUMIFS('Surv2-3'!J:J,'Surv2-3'!H:H,$B56,'Surv2-3'!I:I,130)-SUMIFS('Surv2-3'!C:C,'Surv2-3'!A:A,$B56,'Surv2-3'!B:B,130))/O56+1</f>
        <v>0.16147891963109351</v>
      </c>
      <c r="R56" s="802">
        <f>'4131'!E97</f>
        <v>0.5</v>
      </c>
      <c r="T56" s="308">
        <f>IF(O56=0,0,I56/O56)</f>
        <v>8384.974967061924</v>
      </c>
      <c r="U56" s="308">
        <f>IF(O56=0,0,K56/O56)</f>
        <v>-396.237895256917</v>
      </c>
      <c r="V56" s="308">
        <f>IF(O56=0,0,L56/O56)</f>
        <v>7988.737071805007</v>
      </c>
      <c r="X56" s="308">
        <f t="shared" si="9"/>
        <v>0</v>
      </c>
      <c r="Y56" s="308">
        <f t="shared" si="3"/>
        <v>0</v>
      </c>
      <c r="Z56" s="308">
        <f>IF(AND(X56=0,Y56=0),V56,)</f>
        <v>7988.737071805007</v>
      </c>
      <c r="AB56" s="665"/>
      <c r="AC56" s="309"/>
    </row>
    <row r="57" spans="1:29" x14ac:dyDescent="0.2">
      <c r="A57" s="247"/>
      <c r="B57" s="318"/>
      <c r="C57" s="321"/>
      <c r="D57" s="787"/>
      <c r="E57" s="787" t="s">
        <v>580</v>
      </c>
      <c r="F57" s="788">
        <f>IF(I57=0,0,-K57/I57)</f>
        <v>0</v>
      </c>
      <c r="G57" s="788" t="str">
        <f>IFERROR(-K57/J57,"")</f>
        <v/>
      </c>
      <c r="H57" s="789"/>
      <c r="I57" s="790">
        <f>'4141'!$J$107</f>
        <v>0</v>
      </c>
      <c r="J57" s="790">
        <f>'4141'!$J$109</f>
        <v>0</v>
      </c>
      <c r="K57" s="790">
        <f>'4141'!$J$114</f>
        <v>0</v>
      </c>
      <c r="L57" s="790">
        <f>'4141'!$J$116</f>
        <v>0</v>
      </c>
      <c r="M57" s="791">
        <f>'4141'!$J$124</f>
        <v>0</v>
      </c>
      <c r="N57" s="792"/>
      <c r="O57" s="790" cm="1">
        <f t="array" ref="O57:P57">'4141'!E29:F29</f>
        <v>0</v>
      </c>
      <c r="P57" s="790">
        <v>0</v>
      </c>
      <c r="Q57" s="820"/>
      <c r="R57" s="790"/>
      <c r="S57" s="793"/>
      <c r="T57" s="791">
        <f>IF(O57=0,0,I57/O57)</f>
        <v>0</v>
      </c>
      <c r="U57" s="791">
        <f>IF(O57=0,0,K57/O57)</f>
        <v>0</v>
      </c>
      <c r="V57" s="791">
        <f>IF(O57=0,0,L57/O57)</f>
        <v>0</v>
      </c>
      <c r="W57" s="793"/>
      <c r="X57" s="791">
        <f t="shared" ref="X57" si="20">IF(D57="H",V57,0)</f>
        <v>0</v>
      </c>
      <c r="Y57" s="791">
        <f t="shared" ref="Y57" si="21">ROUND(IF(E57=1,V57,0),2)</f>
        <v>0</v>
      </c>
      <c r="Z57" s="791">
        <f>IF(AND(X57=0,Y57=0),V57,)</f>
        <v>0</v>
      </c>
      <c r="AB57" s="665"/>
      <c r="AC57" s="309"/>
    </row>
    <row r="58" spans="1:29" x14ac:dyDescent="0.2">
      <c r="A58" s="323"/>
    </row>
    <row r="59" spans="1:29" x14ac:dyDescent="0.2">
      <c r="D59" s="247">
        <f>COUNTIF(D6:D58,"H")</f>
        <v>9</v>
      </c>
      <c r="E59" s="325">
        <f>SUM(E6:E58)</f>
        <v>9</v>
      </c>
      <c r="F59" s="306">
        <f>-K59/I59</f>
        <v>1.4567977496461377E-2</v>
      </c>
      <c r="G59" s="306">
        <f t="shared" si="7"/>
        <v>1.538824112021819E-2</v>
      </c>
      <c r="I59" s="309">
        <f>SUM(I6:I58)</f>
        <v>213102595.11000001</v>
      </c>
      <c r="J59" s="309">
        <f>SUM(J6:J58)</f>
        <v>201743252.24999997</v>
      </c>
      <c r="K59" s="309">
        <f>SUM(K6:K58)</f>
        <v>-3104473.8100000005</v>
      </c>
      <c r="L59" s="309">
        <f>SUM(L6:L58)</f>
        <v>209998121.29999995</v>
      </c>
      <c r="M59" s="309">
        <f>SUM(M6:M58)</f>
        <v>17454412.300000004</v>
      </c>
      <c r="O59" s="309">
        <f>SUM(O6:O58)</f>
        <v>21121.920000000002</v>
      </c>
      <c r="P59" s="309">
        <f>SUM(P6:P58)</f>
        <v>3232.85</v>
      </c>
      <c r="Q59" s="309"/>
      <c r="R59" s="309">
        <f>SUM(R6:R58)</f>
        <v>3969.0005000000001</v>
      </c>
      <c r="T59" s="309" t="e">
        <f>SUM(T6:T58)</f>
        <v>#DIV/0!</v>
      </c>
      <c r="U59" s="324">
        <f>K59/O59</f>
        <v>-146.97876944898951</v>
      </c>
      <c r="V59" s="324">
        <f>L59/O59</f>
        <v>9942.1890292170374</v>
      </c>
      <c r="X59" s="309">
        <f>AVERAGEIF(X9:X55,"&lt;&gt;0")</f>
        <v>8977.0507037154948</v>
      </c>
      <c r="Y59" s="309">
        <f>AVERAGEIF(Y9:Y55,"&lt;&gt;0")</f>
        <v>26618.202499999999</v>
      </c>
      <c r="Z59" s="309" t="e">
        <f>AVERAGEIF(Z6:Z56,"&lt;&gt;0")</f>
        <v>#DIV/0!</v>
      </c>
    </row>
    <row r="60" spans="1:29" x14ac:dyDescent="0.2">
      <c r="O60" s="309"/>
      <c r="P60" s="309"/>
      <c r="Q60" s="309"/>
    </row>
    <row r="61" spans="1:29" x14ac:dyDescent="0.2">
      <c r="C61" s="246" t="s">
        <v>346</v>
      </c>
      <c r="I61" s="326">
        <f>Consolidated!I142</f>
        <v>213102595.11000001</v>
      </c>
      <c r="J61" s="326">
        <f>Consolidated!I144</f>
        <v>201743252.24999997</v>
      </c>
      <c r="K61" s="326">
        <f>Consolidated!I149</f>
        <v>-3104473.8100000005</v>
      </c>
      <c r="L61" s="326">
        <f>I61+K61</f>
        <v>209998121.30000001</v>
      </c>
      <c r="M61" s="326">
        <f>Consolidated!I159</f>
        <v>17454412.300000004</v>
      </c>
    </row>
    <row r="62" spans="1:29" x14ac:dyDescent="0.2">
      <c r="L62" s="327"/>
    </row>
    <row r="63" spans="1:29" ht="13.5" thickBot="1" x14ac:dyDescent="0.25">
      <c r="C63" s="246" t="s">
        <v>347</v>
      </c>
      <c r="I63" s="328">
        <f>I61-I59</f>
        <v>0</v>
      </c>
      <c r="J63" s="328">
        <f>J61-J59</f>
        <v>0</v>
      </c>
      <c r="K63" s="328">
        <f>K61-K59</f>
        <v>0</v>
      </c>
      <c r="L63" s="328">
        <f>L61-L59</f>
        <v>0</v>
      </c>
      <c r="M63" s="328">
        <f>M61-M59</f>
        <v>0</v>
      </c>
    </row>
    <row r="64" spans="1:29" ht="13.5" thickTop="1" x14ac:dyDescent="0.2">
      <c r="L64" s="324"/>
    </row>
    <row r="65" spans="12:12" x14ac:dyDescent="0.2">
      <c r="L65" s="309"/>
    </row>
    <row r="66" spans="12:12" x14ac:dyDescent="0.2">
      <c r="L66" s="329"/>
    </row>
    <row r="67" spans="12:12" x14ac:dyDescent="0.2">
      <c r="L67" s="548"/>
    </row>
    <row r="68" spans="12:12" x14ac:dyDescent="0.2">
      <c r="L68" s="309"/>
    </row>
  </sheetData>
  <mergeCells count="3">
    <mergeCell ref="I4:L4"/>
    <mergeCell ref="T4:V4"/>
    <mergeCell ref="X4:Z4"/>
  </mergeCells>
  <conditionalFormatting sqref="B6:C7 E6:E7">
    <cfRule type="expression" dxfId="9" priority="7" stopIfTrue="1">
      <formula>MOD(ROW(),2)=0</formula>
    </cfRule>
  </conditionalFormatting>
  <conditionalFormatting sqref="D6:D8">
    <cfRule type="expression" dxfId="8" priority="6" stopIfTrue="1">
      <formula>MOD(ROW(),2)=0</formula>
    </cfRule>
  </conditionalFormatting>
  <conditionalFormatting sqref="F6:G8">
    <cfRule type="expression" dxfId="7" priority="5" stopIfTrue="1">
      <formula>MOD(ROW(),2)=0</formula>
    </cfRule>
  </conditionalFormatting>
  <conditionalFormatting sqref="I6:M57 T6:V57 X6:Z57 B8 B9:G57">
    <cfRule type="expression" dxfId="6" priority="8" stopIfTrue="1">
      <formula>MOD(ROW(),2)=0</formula>
    </cfRule>
  </conditionalFormatting>
  <conditionalFormatting sqref="O60:Q60">
    <cfRule type="cellIs" dxfId="5" priority="9" stopIfTrue="1" operator="equal">
      <formula>0</formula>
    </cfRule>
  </conditionalFormatting>
  <conditionalFormatting sqref="O6:R57">
    <cfRule type="expression" dxfId="4" priority="1" stopIfTrue="1">
      <formula>MOD(ROW(),2)=0</formula>
    </cfRule>
  </conditionalFormatting>
  <pageMargins left="0.7" right="0.7" top="0.75" bottom="0.75" header="0.3" footer="0.3"/>
  <pageSetup orientation="portrait" r:id="rId1"/>
  <ignoredErrors>
    <ignoredError sqref="T42:V42 F42:G4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1"/>
  <sheetViews>
    <sheetView workbookViewId="0">
      <pane xSplit="1" ySplit="4" topLeftCell="B5" activePane="bottomRight" state="frozen"/>
      <selection pane="topRight" activeCell="B1" sqref="B1"/>
      <selection pane="bottomLeft" activeCell="A5" sqref="A5"/>
      <selection pane="bottomRight" activeCell="F30" sqref="F30"/>
    </sheetView>
  </sheetViews>
  <sheetFormatPr defaultColWidth="9.140625" defaultRowHeight="12.75" x14ac:dyDescent="0.2"/>
  <cols>
    <col min="1" max="1" width="4.140625" style="246" bestFit="1" customWidth="1"/>
    <col min="2" max="2" width="9.140625" style="246"/>
    <col min="3" max="3" width="52.140625" style="246" bestFit="1" customWidth="1"/>
    <col min="4" max="4" width="2.140625" style="246" customWidth="1"/>
    <col min="5" max="5" width="9.140625" style="246" customWidth="1"/>
    <col min="6" max="6" width="52.140625" style="246" bestFit="1" customWidth="1"/>
    <col min="7" max="16384" width="9.140625" style="246"/>
  </cols>
  <sheetData>
    <row r="1" spans="1:10" ht="15.75" x14ac:dyDescent="0.25">
      <c r="B1" s="804" t="s">
        <v>348</v>
      </c>
      <c r="C1" s="330"/>
      <c r="D1" s="330"/>
      <c r="E1" s="331"/>
      <c r="F1" s="330"/>
    </row>
    <row r="2" spans="1:10" x14ac:dyDescent="0.2">
      <c r="B2" s="332"/>
      <c r="C2" s="330"/>
      <c r="D2" s="330"/>
      <c r="E2" s="331"/>
      <c r="F2" s="330"/>
    </row>
    <row r="3" spans="1:10" x14ac:dyDescent="0.2">
      <c r="B3" s="926" t="s">
        <v>349</v>
      </c>
      <c r="C3" s="927"/>
      <c r="D3" s="330"/>
      <c r="E3" s="926" t="s">
        <v>350</v>
      </c>
      <c r="F3" s="927"/>
    </row>
    <row r="4" spans="1:10" x14ac:dyDescent="0.2">
      <c r="B4" s="333" t="s">
        <v>351</v>
      </c>
      <c r="C4" s="334" t="s">
        <v>352</v>
      </c>
      <c r="D4" s="330"/>
      <c r="E4" s="333" t="s">
        <v>351</v>
      </c>
      <c r="F4" s="334" t="s">
        <v>352</v>
      </c>
    </row>
    <row r="5" spans="1:10" x14ac:dyDescent="0.2">
      <c r="A5" s="323">
        <v>1</v>
      </c>
      <c r="B5" s="663" t="s">
        <v>269</v>
      </c>
      <c r="C5" s="261" t="s">
        <v>620</v>
      </c>
      <c r="D5" s="330"/>
      <c r="E5" s="335" t="s">
        <v>307</v>
      </c>
      <c r="F5" s="336" t="s">
        <v>308</v>
      </c>
    </row>
    <row r="6" spans="1:10" x14ac:dyDescent="0.2">
      <c r="A6" s="323">
        <v>2</v>
      </c>
      <c r="B6" s="335" t="s">
        <v>271</v>
      </c>
      <c r="C6" s="336" t="s">
        <v>379</v>
      </c>
      <c r="D6" s="330"/>
      <c r="E6" s="335" t="s">
        <v>319</v>
      </c>
      <c r="F6" s="336" t="s">
        <v>320</v>
      </c>
      <c r="I6" s="338"/>
    </row>
    <row r="7" spans="1:10" x14ac:dyDescent="0.2">
      <c r="A7" s="323">
        <v>3</v>
      </c>
      <c r="B7" s="663" t="s">
        <v>582</v>
      </c>
      <c r="C7" s="261" t="s">
        <v>583</v>
      </c>
      <c r="D7" s="330"/>
      <c r="E7" s="335" t="s">
        <v>353</v>
      </c>
      <c r="F7" s="336" t="s">
        <v>354</v>
      </c>
    </row>
    <row r="8" spans="1:10" x14ac:dyDescent="0.2">
      <c r="A8" s="323">
        <v>4</v>
      </c>
      <c r="B8" s="335" t="s">
        <v>273</v>
      </c>
      <c r="C8" s="336" t="s">
        <v>274</v>
      </c>
      <c r="D8" s="330"/>
      <c r="E8" s="335" t="s">
        <v>291</v>
      </c>
      <c r="F8" s="336" t="s">
        <v>292</v>
      </c>
    </row>
    <row r="9" spans="1:10" x14ac:dyDescent="0.2">
      <c r="A9" s="323">
        <v>5</v>
      </c>
      <c r="B9" s="663" t="s">
        <v>275</v>
      </c>
      <c r="C9" s="261" t="s">
        <v>276</v>
      </c>
      <c r="D9" s="330"/>
      <c r="E9" s="335" t="s">
        <v>355</v>
      </c>
      <c r="F9" s="337" t="s">
        <v>356</v>
      </c>
      <c r="I9" s="338"/>
    </row>
    <row r="10" spans="1:10" x14ac:dyDescent="0.2">
      <c r="A10" s="323">
        <v>6</v>
      </c>
      <c r="B10" s="335" t="s">
        <v>277</v>
      </c>
      <c r="C10" s="336" t="s">
        <v>278</v>
      </c>
      <c r="D10" s="330"/>
      <c r="E10" s="335" t="s">
        <v>277</v>
      </c>
      <c r="F10" s="337" t="s">
        <v>278</v>
      </c>
      <c r="I10" s="338"/>
    </row>
    <row r="11" spans="1:10" x14ac:dyDescent="0.2">
      <c r="A11" s="323">
        <v>7</v>
      </c>
      <c r="B11" s="663" t="s">
        <v>279</v>
      </c>
      <c r="C11" s="261" t="s">
        <v>357</v>
      </c>
      <c r="D11" s="330"/>
      <c r="E11" s="335" t="s">
        <v>305</v>
      </c>
      <c r="F11" s="337" t="s">
        <v>306</v>
      </c>
      <c r="I11" s="339"/>
      <c r="J11" s="340"/>
    </row>
    <row r="12" spans="1:10" x14ac:dyDescent="0.2">
      <c r="A12" s="323">
        <v>8</v>
      </c>
      <c r="B12" s="335" t="s">
        <v>281</v>
      </c>
      <c r="C12" s="336" t="s">
        <v>358</v>
      </c>
      <c r="D12" s="330"/>
      <c r="E12" s="335" t="s">
        <v>359</v>
      </c>
      <c r="F12" s="336" t="s">
        <v>338</v>
      </c>
    </row>
    <row r="13" spans="1:10" x14ac:dyDescent="0.2">
      <c r="A13" s="323">
        <v>9</v>
      </c>
      <c r="B13" s="663" t="s">
        <v>283</v>
      </c>
      <c r="C13" s="261" t="s">
        <v>284</v>
      </c>
      <c r="D13" s="330"/>
      <c r="E13" s="335" t="s">
        <v>360</v>
      </c>
      <c r="F13" s="337" t="s">
        <v>330</v>
      </c>
      <c r="I13" s="341"/>
    </row>
    <row r="14" spans="1:10" x14ac:dyDescent="0.2">
      <c r="A14" s="323">
        <v>10</v>
      </c>
      <c r="B14" s="335" t="s">
        <v>285</v>
      </c>
      <c r="C14" s="336" t="s">
        <v>286</v>
      </c>
      <c r="D14" s="330"/>
      <c r="E14" s="335" t="s">
        <v>361</v>
      </c>
      <c r="F14" s="337" t="s">
        <v>336</v>
      </c>
      <c r="I14" s="342"/>
      <c r="J14" s="343"/>
    </row>
    <row r="15" spans="1:10" x14ac:dyDescent="0.2">
      <c r="A15" s="323">
        <v>11</v>
      </c>
      <c r="B15" s="663" t="s">
        <v>287</v>
      </c>
      <c r="C15" s="261" t="s">
        <v>288</v>
      </c>
      <c r="D15" s="330"/>
      <c r="E15" s="335" t="s">
        <v>295</v>
      </c>
      <c r="F15" s="336" t="s">
        <v>296</v>
      </c>
      <c r="I15" s="339"/>
      <c r="J15" s="340"/>
    </row>
    <row r="16" spans="1:10" x14ac:dyDescent="0.2">
      <c r="A16" s="323">
        <v>12</v>
      </c>
      <c r="B16" s="335" t="s">
        <v>289</v>
      </c>
      <c r="C16" s="336" t="s">
        <v>362</v>
      </c>
      <c r="D16" s="330"/>
      <c r="E16" s="335" t="s">
        <v>303</v>
      </c>
      <c r="F16" s="336" t="s">
        <v>363</v>
      </c>
      <c r="I16" s="345"/>
      <c r="J16" s="346"/>
    </row>
    <row r="17" spans="1:10" x14ac:dyDescent="0.2">
      <c r="A17" s="323">
        <v>13</v>
      </c>
      <c r="B17" s="663" t="s">
        <v>291</v>
      </c>
      <c r="C17" s="261" t="s">
        <v>292</v>
      </c>
      <c r="D17" s="330"/>
      <c r="E17" s="335" t="s">
        <v>293</v>
      </c>
      <c r="F17" s="336" t="s">
        <v>294</v>
      </c>
      <c r="I17" s="662"/>
      <c r="J17" s="346"/>
    </row>
    <row r="18" spans="1:10" x14ac:dyDescent="0.2">
      <c r="A18" s="323">
        <v>14</v>
      </c>
      <c r="B18" s="335" t="s">
        <v>607</v>
      </c>
      <c r="C18" s="336" t="s">
        <v>364</v>
      </c>
      <c r="D18" s="330"/>
      <c r="E18" s="335" t="s">
        <v>273</v>
      </c>
      <c r="F18" s="336" t="s">
        <v>274</v>
      </c>
    </row>
    <row r="19" spans="1:10" x14ac:dyDescent="0.2">
      <c r="A19" s="323">
        <v>15</v>
      </c>
      <c r="B19" s="663" t="s">
        <v>293</v>
      </c>
      <c r="C19" s="261" t="s">
        <v>294</v>
      </c>
      <c r="D19" s="330"/>
      <c r="E19" s="335" t="s">
        <v>299</v>
      </c>
      <c r="F19" s="336" t="s">
        <v>300</v>
      </c>
    </row>
    <row r="20" spans="1:10" x14ac:dyDescent="0.2">
      <c r="A20" s="323">
        <v>16</v>
      </c>
      <c r="B20" s="335" t="s">
        <v>295</v>
      </c>
      <c r="C20" s="336" t="s">
        <v>296</v>
      </c>
      <c r="D20" s="330"/>
      <c r="E20" s="335" t="s">
        <v>283</v>
      </c>
      <c r="F20" s="336" t="s">
        <v>284</v>
      </c>
    </row>
    <row r="21" spans="1:10" x14ac:dyDescent="0.2">
      <c r="A21" s="323">
        <v>17</v>
      </c>
      <c r="B21" s="663" t="s">
        <v>299</v>
      </c>
      <c r="C21" s="261" t="s">
        <v>300</v>
      </c>
      <c r="D21" s="330"/>
      <c r="E21" s="335" t="s">
        <v>366</v>
      </c>
      <c r="F21" s="337" t="s">
        <v>318</v>
      </c>
    </row>
    <row r="22" spans="1:10" x14ac:dyDescent="0.2">
      <c r="A22" s="323">
        <v>18</v>
      </c>
      <c r="B22" s="335" t="s">
        <v>301</v>
      </c>
      <c r="C22" s="336" t="s">
        <v>365</v>
      </c>
      <c r="D22" s="330"/>
      <c r="E22" s="255" t="s">
        <v>269</v>
      </c>
      <c r="F22" s="246" t="s">
        <v>620</v>
      </c>
    </row>
    <row r="23" spans="1:10" x14ac:dyDescent="0.2">
      <c r="A23" s="323">
        <v>19</v>
      </c>
      <c r="B23" s="663" t="s">
        <v>303</v>
      </c>
      <c r="C23" s="261" t="s">
        <v>363</v>
      </c>
      <c r="D23" s="330"/>
      <c r="E23" s="335" t="s">
        <v>323</v>
      </c>
      <c r="F23" s="336" t="s">
        <v>324</v>
      </c>
    </row>
    <row r="24" spans="1:10" x14ac:dyDescent="0.2">
      <c r="A24" s="323">
        <v>20</v>
      </c>
      <c r="B24" s="335" t="s">
        <v>305</v>
      </c>
      <c r="C24" s="336" t="s">
        <v>306</v>
      </c>
      <c r="D24" s="330"/>
      <c r="E24" s="335" t="s">
        <v>287</v>
      </c>
      <c r="F24" s="337" t="s">
        <v>288</v>
      </c>
    </row>
    <row r="25" spans="1:10" x14ac:dyDescent="0.2">
      <c r="A25" s="323">
        <v>21</v>
      </c>
      <c r="B25" s="663" t="s">
        <v>307</v>
      </c>
      <c r="C25" s="261" t="s">
        <v>308</v>
      </c>
      <c r="D25" s="330"/>
      <c r="E25" s="335" t="s">
        <v>582</v>
      </c>
      <c r="F25" s="336" t="s">
        <v>583</v>
      </c>
    </row>
    <row r="26" spans="1:10" x14ac:dyDescent="0.2">
      <c r="A26" s="323">
        <v>22</v>
      </c>
      <c r="B26" s="335" t="s">
        <v>309</v>
      </c>
      <c r="C26" s="336" t="s">
        <v>310</v>
      </c>
      <c r="D26" s="330"/>
      <c r="E26" s="335" t="s">
        <v>279</v>
      </c>
      <c r="F26" s="337" t="s">
        <v>367</v>
      </c>
    </row>
    <row r="27" spans="1:10" x14ac:dyDescent="0.2">
      <c r="A27" s="323">
        <v>23</v>
      </c>
      <c r="B27" s="663" t="s">
        <v>311</v>
      </c>
      <c r="C27" s="261" t="s">
        <v>312</v>
      </c>
      <c r="D27" s="330"/>
      <c r="E27" s="335" t="s">
        <v>309</v>
      </c>
      <c r="F27" s="337" t="s">
        <v>310</v>
      </c>
    </row>
    <row r="28" spans="1:10" x14ac:dyDescent="0.2">
      <c r="A28" s="323">
        <v>24</v>
      </c>
      <c r="B28" s="335" t="s">
        <v>313</v>
      </c>
      <c r="C28" s="336" t="s">
        <v>314</v>
      </c>
      <c r="D28" s="330"/>
      <c r="E28" s="335" t="s">
        <v>368</v>
      </c>
      <c r="F28" s="337" t="s">
        <v>335</v>
      </c>
      <c r="I28" s="280"/>
    </row>
    <row r="29" spans="1:10" x14ac:dyDescent="0.2">
      <c r="A29" s="323">
        <v>25</v>
      </c>
      <c r="B29" s="663" t="s">
        <v>315</v>
      </c>
      <c r="C29" s="261" t="s">
        <v>316</v>
      </c>
      <c r="D29" s="330"/>
      <c r="E29" s="335" t="s">
        <v>371</v>
      </c>
      <c r="F29" s="337" t="s">
        <v>334</v>
      </c>
      <c r="I29" s="280"/>
    </row>
    <row r="30" spans="1:10" x14ac:dyDescent="0.2">
      <c r="A30" s="323">
        <v>26</v>
      </c>
      <c r="B30" s="335" t="s">
        <v>369</v>
      </c>
      <c r="C30" s="336" t="s">
        <v>370</v>
      </c>
      <c r="D30" s="330"/>
      <c r="E30" s="335" t="s">
        <v>372</v>
      </c>
      <c r="F30" s="336" t="s">
        <v>327</v>
      </c>
    </row>
    <row r="31" spans="1:10" x14ac:dyDescent="0.2">
      <c r="A31" s="323">
        <v>27</v>
      </c>
      <c r="B31" s="663" t="s">
        <v>366</v>
      </c>
      <c r="C31" s="261" t="s">
        <v>318</v>
      </c>
      <c r="D31" s="330"/>
      <c r="E31" s="335" t="s">
        <v>325</v>
      </c>
      <c r="F31" s="337" t="s">
        <v>326</v>
      </c>
    </row>
    <row r="32" spans="1:10" x14ac:dyDescent="0.2">
      <c r="A32" s="323">
        <v>28</v>
      </c>
      <c r="B32" s="335" t="s">
        <v>319</v>
      </c>
      <c r="C32" s="336" t="s">
        <v>320</v>
      </c>
      <c r="D32" s="330"/>
      <c r="E32" s="335" t="s">
        <v>315</v>
      </c>
      <c r="F32" s="337" t="s">
        <v>316</v>
      </c>
    </row>
    <row r="33" spans="1:6" x14ac:dyDescent="0.2">
      <c r="A33" s="323">
        <v>29</v>
      </c>
      <c r="B33" s="663" t="s">
        <v>323</v>
      </c>
      <c r="C33" s="261" t="s">
        <v>324</v>
      </c>
      <c r="D33" s="330"/>
      <c r="E33" s="335" t="s">
        <v>611</v>
      </c>
      <c r="F33" s="336" t="s">
        <v>344</v>
      </c>
    </row>
    <row r="34" spans="1:6" x14ac:dyDescent="0.2">
      <c r="A34" s="323">
        <v>30</v>
      </c>
      <c r="B34" s="335" t="s">
        <v>325</v>
      </c>
      <c r="C34" s="336" t="s">
        <v>326</v>
      </c>
      <c r="D34" s="330"/>
      <c r="E34" s="348" t="s">
        <v>311</v>
      </c>
      <c r="F34" s="337" t="s">
        <v>312</v>
      </c>
    </row>
    <row r="35" spans="1:6" x14ac:dyDescent="0.2">
      <c r="A35" s="323">
        <v>31</v>
      </c>
      <c r="B35" s="663" t="s">
        <v>372</v>
      </c>
      <c r="C35" s="261" t="s">
        <v>327</v>
      </c>
      <c r="D35" s="330"/>
      <c r="E35" s="335" t="s">
        <v>374</v>
      </c>
      <c r="F35" s="337" t="s">
        <v>333</v>
      </c>
    </row>
    <row r="36" spans="1:6" x14ac:dyDescent="0.2">
      <c r="A36" s="323">
        <v>32</v>
      </c>
      <c r="B36" s="335" t="s">
        <v>373</v>
      </c>
      <c r="C36" s="336" t="s">
        <v>329</v>
      </c>
      <c r="D36" s="330"/>
      <c r="E36" s="335" t="s">
        <v>373</v>
      </c>
      <c r="F36" s="337" t="s">
        <v>329</v>
      </c>
    </row>
    <row r="37" spans="1:6" x14ac:dyDescent="0.2">
      <c r="A37" s="323">
        <v>33</v>
      </c>
      <c r="B37" s="663" t="s">
        <v>360</v>
      </c>
      <c r="C37" s="261" t="s">
        <v>330</v>
      </c>
      <c r="D37" s="330"/>
      <c r="E37" s="335" t="s">
        <v>301</v>
      </c>
      <c r="F37" s="336" t="s">
        <v>365</v>
      </c>
    </row>
    <row r="38" spans="1:6" x14ac:dyDescent="0.2">
      <c r="A38" s="323">
        <v>34</v>
      </c>
      <c r="B38" s="335" t="s">
        <v>608</v>
      </c>
      <c r="C38" s="336" t="s">
        <v>332</v>
      </c>
      <c r="D38" s="330"/>
      <c r="E38" s="335" t="s">
        <v>610</v>
      </c>
      <c r="F38" s="337" t="s">
        <v>340</v>
      </c>
    </row>
    <row r="39" spans="1:6" x14ac:dyDescent="0.2">
      <c r="A39" s="323">
        <v>35</v>
      </c>
      <c r="B39" s="663" t="s">
        <v>374</v>
      </c>
      <c r="C39" s="261" t="s">
        <v>333</v>
      </c>
      <c r="D39" s="330"/>
      <c r="E39" s="335" t="s">
        <v>608</v>
      </c>
      <c r="F39" s="337" t="s">
        <v>332</v>
      </c>
    </row>
    <row r="40" spans="1:6" x14ac:dyDescent="0.2">
      <c r="A40" s="323">
        <v>36</v>
      </c>
      <c r="B40" s="335" t="s">
        <v>371</v>
      </c>
      <c r="C40" s="336" t="s">
        <v>334</v>
      </c>
      <c r="D40" s="330"/>
      <c r="E40" s="335" t="s">
        <v>375</v>
      </c>
      <c r="F40" s="336" t="s">
        <v>345</v>
      </c>
    </row>
    <row r="41" spans="1:6" x14ac:dyDescent="0.2">
      <c r="A41" s="323">
        <v>37</v>
      </c>
      <c r="B41" s="663" t="s">
        <v>368</v>
      </c>
      <c r="C41" s="261" t="s">
        <v>335</v>
      </c>
      <c r="D41" s="330"/>
      <c r="E41" s="335" t="s">
        <v>607</v>
      </c>
      <c r="F41" s="336" t="s">
        <v>364</v>
      </c>
    </row>
    <row r="42" spans="1:6" x14ac:dyDescent="0.2">
      <c r="A42" s="323">
        <v>38</v>
      </c>
      <c r="B42" s="335" t="s">
        <v>361</v>
      </c>
      <c r="C42" s="336" t="s">
        <v>336</v>
      </c>
      <c r="D42" s="330"/>
      <c r="E42" s="335" t="s">
        <v>275</v>
      </c>
      <c r="F42" s="336" t="s">
        <v>276</v>
      </c>
    </row>
    <row r="43" spans="1:6" x14ac:dyDescent="0.2">
      <c r="A43" s="323">
        <v>39</v>
      </c>
      <c r="B43" s="663" t="s">
        <v>359</v>
      </c>
      <c r="C43" s="261" t="s">
        <v>338</v>
      </c>
      <c r="D43" s="330"/>
      <c r="E43" s="335" t="s">
        <v>369</v>
      </c>
      <c r="F43" s="347" t="s">
        <v>370</v>
      </c>
    </row>
    <row r="44" spans="1:6" x14ac:dyDescent="0.2">
      <c r="A44" s="323">
        <v>40</v>
      </c>
      <c r="B44" s="335" t="s">
        <v>609</v>
      </c>
      <c r="C44" s="336" t="s">
        <v>376</v>
      </c>
      <c r="D44" s="330"/>
      <c r="E44" s="335" t="s">
        <v>609</v>
      </c>
      <c r="F44" s="336" t="s">
        <v>376</v>
      </c>
    </row>
    <row r="45" spans="1:6" x14ac:dyDescent="0.2">
      <c r="A45" s="323">
        <v>41</v>
      </c>
      <c r="B45" s="663" t="s">
        <v>610</v>
      </c>
      <c r="C45" s="261" t="s">
        <v>340</v>
      </c>
      <c r="D45" s="330"/>
      <c r="E45" s="335" t="s">
        <v>377</v>
      </c>
      <c r="F45" s="336" t="s">
        <v>378</v>
      </c>
    </row>
    <row r="46" spans="1:6" x14ac:dyDescent="0.2">
      <c r="A46" s="323">
        <v>42</v>
      </c>
      <c r="B46" s="335" t="s">
        <v>355</v>
      </c>
      <c r="C46" s="336" t="s">
        <v>356</v>
      </c>
      <c r="D46" s="330"/>
      <c r="E46" s="335" t="s">
        <v>289</v>
      </c>
      <c r="F46" s="344" t="s">
        <v>362</v>
      </c>
    </row>
    <row r="47" spans="1:6" x14ac:dyDescent="0.2">
      <c r="A47" s="323">
        <v>43</v>
      </c>
      <c r="B47" s="663" t="s">
        <v>353</v>
      </c>
      <c r="C47" s="261" t="s">
        <v>354</v>
      </c>
      <c r="D47" s="330"/>
      <c r="E47" s="335" t="s">
        <v>281</v>
      </c>
      <c r="F47" s="337" t="s">
        <v>358</v>
      </c>
    </row>
    <row r="48" spans="1:6" x14ac:dyDescent="0.2">
      <c r="A48" s="323">
        <v>44</v>
      </c>
      <c r="B48" s="335" t="s">
        <v>377</v>
      </c>
      <c r="C48" s="336" t="s">
        <v>378</v>
      </c>
      <c r="D48" s="330"/>
      <c r="E48" s="335" t="s">
        <v>271</v>
      </c>
      <c r="F48" s="336" t="s">
        <v>379</v>
      </c>
    </row>
    <row r="49" spans="1:6" x14ac:dyDescent="0.2">
      <c r="A49" s="323">
        <v>45</v>
      </c>
      <c r="B49" s="663" t="s">
        <v>611</v>
      </c>
      <c r="C49" s="261" t="s">
        <v>344</v>
      </c>
      <c r="D49" s="330"/>
      <c r="E49" s="335" t="s">
        <v>285</v>
      </c>
      <c r="F49" s="337" t="s">
        <v>286</v>
      </c>
    </row>
    <row r="50" spans="1:6" x14ac:dyDescent="0.2">
      <c r="A50" s="323">
        <v>46</v>
      </c>
      <c r="B50" s="335" t="s">
        <v>375</v>
      </c>
      <c r="C50" s="336" t="s">
        <v>345</v>
      </c>
      <c r="D50" s="330"/>
      <c r="E50" s="335" t="s">
        <v>313</v>
      </c>
      <c r="F50" s="336" t="s">
        <v>314</v>
      </c>
    </row>
    <row r="51" spans="1:6" x14ac:dyDescent="0.2">
      <c r="D51" s="330"/>
    </row>
  </sheetData>
  <autoFilter ref="E4:F4" xr:uid="{025B3CB8-0B22-4075-AE07-7260CBF8B9C4}"/>
  <sortState xmlns:xlrd2="http://schemas.microsoft.com/office/spreadsheetml/2017/richdata2" ref="E5:F50">
    <sortCondition ref="F4:F50"/>
  </sortState>
  <mergeCells count="2">
    <mergeCell ref="B3:C3"/>
    <mergeCell ref="E3:F3"/>
  </mergeCells>
  <conditionalFormatting sqref="B5:C5 B7:C7 B9:C9 B11:C11 B13:C13 B15:C15 B17:C17 B19:C19 B21:C21 B23:C23 B25:C25 B27:C27 B29:C29 B31:C31 B33:C33 B35:C35 B37:C37 B39:C39 B41:C41 B43:C43 B45:C45 B47:C47 B49:C49">
    <cfRule type="expression" dxfId="3" priority="11" stopIfTrue="1">
      <formula>MOD(ROW(),2)=0</formula>
    </cfRule>
  </conditionalFormatting>
  <conditionalFormatting sqref="E5:F50">
    <cfRule type="expression" dxfId="2" priority="1">
      <formula>MOD(ROW(),2)=0</formula>
    </cfRule>
  </conditionalFormatting>
  <conditionalFormatting sqref="I11:J11">
    <cfRule type="expression" dxfId="1" priority="6" stopIfTrue="1">
      <formula>MOD(ROW(),2)=0</formula>
    </cfRule>
  </conditionalFormatting>
  <conditionalFormatting sqref="I15:J15">
    <cfRule type="expression" dxfId="0" priority="7" stopIfTrue="1">
      <formula>MOD(ROW(),2)=0</formula>
    </cfRule>
  </conditionalFormatting>
  <pageMargins left="0.7" right="0.7" top="0.75" bottom="0.75" header="0.3" footer="0.3"/>
  <pageSetup orientation="portrait" verticalDpi="1200" r:id="rId1"/>
  <ignoredErrors>
    <ignoredError sqref="B5:B50 E5:E5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30"/>
  <sheetViews>
    <sheetView topLeftCell="C4" workbookViewId="0">
      <pane ySplit="1" topLeftCell="A5" activePane="bottomLeft" state="frozen"/>
      <selection activeCell="D4" sqref="D4"/>
      <selection pane="bottomLeft" activeCell="F12" sqref="F12"/>
    </sheetView>
  </sheetViews>
  <sheetFormatPr defaultColWidth="9.140625" defaultRowHeight="15" x14ac:dyDescent="0.25"/>
  <cols>
    <col min="1" max="1" width="9.140625" style="501"/>
    <col min="2" max="2" width="11.5703125" style="500" bestFit="1" customWidth="1"/>
    <col min="3" max="3" width="37.140625" style="501" customWidth="1"/>
    <col min="4" max="4" width="16.28515625" style="502" bestFit="1" customWidth="1"/>
    <col min="5" max="5" width="15.140625" style="502" bestFit="1" customWidth="1"/>
    <col min="6" max="7" width="15.140625" style="501" bestFit="1" customWidth="1"/>
    <col min="8" max="8" width="15" style="501" bestFit="1" customWidth="1"/>
    <col min="9" max="9" width="14.28515625" style="501" bestFit="1" customWidth="1"/>
    <col min="10" max="10" width="16.85546875" style="501" bestFit="1" customWidth="1"/>
    <col min="11" max="11" width="14.140625" style="503" customWidth="1"/>
    <col min="12" max="12" width="14" style="501" bestFit="1" customWidth="1"/>
    <col min="13" max="13" width="14.28515625" style="501" bestFit="1" customWidth="1"/>
    <col min="14" max="15" width="14" style="501" bestFit="1" customWidth="1"/>
    <col min="16" max="16" width="14" style="504" bestFit="1" customWidth="1"/>
    <col min="17" max="18" width="15.28515625" style="501" bestFit="1" customWidth="1"/>
    <col min="19" max="16384" width="9.140625" style="501"/>
  </cols>
  <sheetData>
    <row r="1" spans="1:18" x14ac:dyDescent="0.25">
      <c r="A1" s="499" t="s">
        <v>459</v>
      </c>
    </row>
    <row r="2" spans="1:18" x14ac:dyDescent="0.25">
      <c r="C2" s="505"/>
      <c r="D2" s="506"/>
      <c r="E2" s="506"/>
      <c r="F2" s="505"/>
      <c r="G2" s="505"/>
    </row>
    <row r="4" spans="1:18" s="507" customFormat="1" ht="45" x14ac:dyDescent="0.25">
      <c r="A4" s="507" t="s">
        <v>50</v>
      </c>
      <c r="B4" s="508" t="s">
        <v>50</v>
      </c>
      <c r="C4" s="507" t="s">
        <v>50</v>
      </c>
      <c r="D4" s="509" t="s">
        <v>261</v>
      </c>
      <c r="E4" s="509" t="s">
        <v>460</v>
      </c>
      <c r="F4" s="508" t="s">
        <v>461</v>
      </c>
      <c r="G4" s="907" t="s">
        <v>462</v>
      </c>
      <c r="H4" s="508" t="s">
        <v>463</v>
      </c>
      <c r="I4" s="508" t="s">
        <v>464</v>
      </c>
      <c r="J4" s="508" t="s">
        <v>465</v>
      </c>
      <c r="K4" s="510" t="s">
        <v>466</v>
      </c>
      <c r="L4" s="508" t="s">
        <v>467</v>
      </c>
      <c r="M4" s="508" t="s">
        <v>468</v>
      </c>
      <c r="N4" s="508" t="s">
        <v>469</v>
      </c>
      <c r="O4" s="508" t="s">
        <v>470</v>
      </c>
      <c r="P4" s="511" t="s">
        <v>471</v>
      </c>
      <c r="Q4" s="711" t="s">
        <v>603</v>
      </c>
      <c r="R4" s="915"/>
    </row>
    <row r="5" spans="1:18" s="507" customFormat="1" x14ac:dyDescent="0.25">
      <c r="A5" s="501">
        <v>1</v>
      </c>
      <c r="B5" s="512" t="s">
        <v>269</v>
      </c>
      <c r="C5" s="501" t="s">
        <v>270</v>
      </c>
      <c r="D5" s="513">
        <f>'Annual Rev &amp; Fees'!L6</f>
        <v>0</v>
      </c>
      <c r="E5" s="513">
        <v>17938</v>
      </c>
      <c r="F5" s="514">
        <v>16903.62</v>
      </c>
      <c r="G5" s="542">
        <f>'Annual Rev &amp; Fees'!M6</f>
        <v>0</v>
      </c>
      <c r="H5" s="514"/>
      <c r="I5" s="514"/>
      <c r="J5" s="514"/>
      <c r="K5" s="515"/>
      <c r="L5" s="515"/>
      <c r="M5" s="515"/>
      <c r="N5" s="514"/>
      <c r="O5" s="514"/>
      <c r="P5" s="514"/>
      <c r="Q5" s="516">
        <f>SUM(E5:P5)</f>
        <v>34841.619999999995</v>
      </c>
      <c r="R5" s="516">
        <v>0</v>
      </c>
    </row>
    <row r="6" spans="1:18" s="507" customFormat="1" x14ac:dyDescent="0.25">
      <c r="A6" s="501">
        <v>2</v>
      </c>
      <c r="B6" s="512" t="s">
        <v>582</v>
      </c>
      <c r="C6" s="501" t="s">
        <v>583</v>
      </c>
      <c r="D6" s="513">
        <f>'Annual Rev &amp; Fees'!L7</f>
        <v>1010991.8999999999</v>
      </c>
      <c r="E6" s="513">
        <v>97114.58</v>
      </c>
      <c r="F6" s="514">
        <v>83079.759999999995</v>
      </c>
      <c r="G6" s="542">
        <f>'Annual Rev &amp; Fees'!M7</f>
        <v>83079.759999999995</v>
      </c>
      <c r="H6" s="514"/>
      <c r="I6" s="514"/>
      <c r="J6" s="514"/>
      <c r="K6" s="515"/>
      <c r="L6" s="515"/>
      <c r="M6" s="515"/>
      <c r="N6" s="514"/>
      <c r="O6" s="514"/>
      <c r="P6" s="514"/>
      <c r="Q6" s="516">
        <f>SUM(E6:P6)</f>
        <v>263274.09999999998</v>
      </c>
      <c r="R6" s="516"/>
    </row>
    <row r="7" spans="1:18" s="507" customFormat="1" x14ac:dyDescent="0.25">
      <c r="A7" s="501">
        <v>3</v>
      </c>
      <c r="B7" s="512" t="s">
        <v>271</v>
      </c>
      <c r="C7" s="501" t="s">
        <v>272</v>
      </c>
      <c r="D7" s="513">
        <f>'Annual Rev &amp; Fees'!L8</f>
        <v>879484.3899999999</v>
      </c>
      <c r="E7" s="513">
        <v>74347.16</v>
      </c>
      <c r="F7" s="514">
        <v>73194.289999999994</v>
      </c>
      <c r="G7" s="542">
        <f>'Annual Rev &amp; Fees'!M8</f>
        <v>73194.289999999994</v>
      </c>
      <c r="H7" s="514"/>
      <c r="I7" s="514"/>
      <c r="J7" s="514"/>
      <c r="K7" s="515"/>
      <c r="L7" s="515"/>
      <c r="M7" s="515"/>
      <c r="N7" s="514"/>
      <c r="O7" s="514"/>
      <c r="P7" s="514"/>
      <c r="Q7" s="516">
        <f t="shared" ref="Q7:Q55" si="0">SUM(E7:P7)</f>
        <v>220735.74</v>
      </c>
      <c r="R7" s="516">
        <v>0</v>
      </c>
    </row>
    <row r="8" spans="1:18" x14ac:dyDescent="0.25">
      <c r="A8" s="501">
        <v>4</v>
      </c>
      <c r="B8" s="500" t="s">
        <v>273</v>
      </c>
      <c r="C8" s="501" t="s">
        <v>274</v>
      </c>
      <c r="D8" s="502">
        <f>'Annual Rev &amp; Fees'!L9</f>
        <v>7578795.21</v>
      </c>
      <c r="E8" s="513">
        <v>659118.96</v>
      </c>
      <c r="F8" s="514">
        <v>629061.48</v>
      </c>
      <c r="G8" s="542">
        <f>'Annual Rev &amp; Fees'!M9</f>
        <v>629061.48</v>
      </c>
      <c r="H8" s="520"/>
      <c r="I8" s="519"/>
      <c r="J8" s="514"/>
      <c r="K8" s="521"/>
      <c r="L8" s="521"/>
      <c r="M8" s="522"/>
      <c r="N8" s="516"/>
      <c r="O8" s="504"/>
      <c r="Q8" s="516">
        <f t="shared" si="0"/>
        <v>1917241.92</v>
      </c>
      <c r="R8" s="516">
        <v>0</v>
      </c>
    </row>
    <row r="9" spans="1:18" x14ac:dyDescent="0.25">
      <c r="A9" s="501">
        <v>5</v>
      </c>
      <c r="B9" s="500" t="s">
        <v>275</v>
      </c>
      <c r="C9" s="501" t="s">
        <v>276</v>
      </c>
      <c r="D9" s="502">
        <f>'Annual Rev &amp; Fees'!L10</f>
        <v>10507748.559999999</v>
      </c>
      <c r="E9" s="513">
        <v>999703.09</v>
      </c>
      <c r="F9" s="514">
        <v>864367.77</v>
      </c>
      <c r="G9" s="542">
        <f>'Annual Rev &amp; Fees'!M10</f>
        <v>864367.77</v>
      </c>
      <c r="H9" s="520"/>
      <c r="I9" s="519"/>
      <c r="J9" s="514"/>
      <c r="K9" s="521"/>
      <c r="L9" s="521"/>
      <c r="M9" s="522"/>
      <c r="N9" s="516"/>
      <c r="O9" s="504"/>
      <c r="Q9" s="516">
        <f t="shared" si="0"/>
        <v>2728438.63</v>
      </c>
      <c r="R9" s="516">
        <v>0</v>
      </c>
    </row>
    <row r="10" spans="1:18" x14ac:dyDescent="0.25">
      <c r="A10" s="501">
        <v>6</v>
      </c>
      <c r="B10" s="500" t="s">
        <v>277</v>
      </c>
      <c r="C10" s="501" t="s">
        <v>278</v>
      </c>
      <c r="D10" s="502">
        <f>'Annual Rev &amp; Fees'!L11</f>
        <v>1329553.1000000001</v>
      </c>
      <c r="E10" s="513">
        <v>111205.53</v>
      </c>
      <c r="F10" s="514">
        <v>110758.87</v>
      </c>
      <c r="G10" s="542">
        <f>'Annual Rev &amp; Fees'!M11</f>
        <v>110758.87</v>
      </c>
      <c r="H10" s="520"/>
      <c r="I10" s="519"/>
      <c r="J10" s="514"/>
      <c r="K10" s="521"/>
      <c r="L10" s="521"/>
      <c r="M10" s="522"/>
      <c r="N10" s="516"/>
      <c r="O10" s="504"/>
      <c r="Q10" s="516">
        <f t="shared" si="0"/>
        <v>332723.27</v>
      </c>
      <c r="R10" s="516">
        <v>0</v>
      </c>
    </row>
    <row r="11" spans="1:18" x14ac:dyDescent="0.25">
      <c r="A11" s="501">
        <v>7</v>
      </c>
      <c r="B11" s="523" t="s">
        <v>279</v>
      </c>
      <c r="C11" s="524" t="s">
        <v>280</v>
      </c>
      <c r="D11" s="517">
        <f>'Annual Rev &amp; Fees'!L12</f>
        <v>1445534.9299999997</v>
      </c>
      <c r="E11" s="513">
        <v>121397.44</v>
      </c>
      <c r="F11" s="514">
        <v>120376.14</v>
      </c>
      <c r="G11" s="542">
        <f>'Annual Rev &amp; Fees'!M12</f>
        <v>120376.14</v>
      </c>
      <c r="H11" s="520"/>
      <c r="I11" s="519"/>
      <c r="J11" s="514"/>
      <c r="K11" s="521"/>
      <c r="L11" s="521"/>
      <c r="M11" s="522"/>
      <c r="N11" s="516"/>
      <c r="O11" s="504"/>
      <c r="Q11" s="516">
        <f t="shared" si="0"/>
        <v>362149.72000000003</v>
      </c>
      <c r="R11" s="516">
        <v>0</v>
      </c>
    </row>
    <row r="12" spans="1:18" x14ac:dyDescent="0.25">
      <c r="A12" s="501">
        <v>8</v>
      </c>
      <c r="B12" s="500" t="s">
        <v>281</v>
      </c>
      <c r="C12" s="501" t="s">
        <v>282</v>
      </c>
      <c r="D12" s="502">
        <f>'Annual Rev &amp; Fees'!L13</f>
        <v>5867677.0899999999</v>
      </c>
      <c r="E12" s="513">
        <v>491302.44</v>
      </c>
      <c r="F12" s="514">
        <v>488761.33</v>
      </c>
      <c r="G12" s="542">
        <f>'Annual Rev &amp; Fees'!M13</f>
        <v>488761.33</v>
      </c>
      <c r="H12" s="520"/>
      <c r="I12" s="519"/>
      <c r="J12" s="514"/>
      <c r="K12" s="521"/>
      <c r="L12" s="521"/>
      <c r="M12" s="522"/>
      <c r="N12" s="516"/>
      <c r="O12" s="504"/>
      <c r="Q12" s="516">
        <f t="shared" si="0"/>
        <v>1468825.1</v>
      </c>
      <c r="R12" s="516">
        <v>0</v>
      </c>
    </row>
    <row r="13" spans="1:18" x14ac:dyDescent="0.25">
      <c r="A13" s="501">
        <v>9</v>
      </c>
      <c r="B13" s="500" t="s">
        <v>283</v>
      </c>
      <c r="C13" s="501" t="s">
        <v>284</v>
      </c>
      <c r="D13" s="502">
        <f>'Annual Rev &amp; Fees'!L14</f>
        <v>5117925.9400000004</v>
      </c>
      <c r="E13" s="513">
        <v>425374.59</v>
      </c>
      <c r="F13" s="514">
        <v>426595.58</v>
      </c>
      <c r="G13" s="542">
        <f>'Annual Rev &amp; Fees'!M14</f>
        <v>426595.58</v>
      </c>
      <c r="H13" s="520"/>
      <c r="I13" s="519"/>
      <c r="J13" s="514"/>
      <c r="K13" s="521"/>
      <c r="L13" s="521"/>
      <c r="M13" s="522"/>
      <c r="N13" s="516"/>
      <c r="O13" s="504"/>
      <c r="Q13" s="516">
        <f t="shared" si="0"/>
        <v>1278565.75</v>
      </c>
      <c r="R13" s="516">
        <v>0</v>
      </c>
    </row>
    <row r="14" spans="1:18" x14ac:dyDescent="0.25">
      <c r="A14" s="501">
        <v>10</v>
      </c>
      <c r="B14" s="500" t="s">
        <v>285</v>
      </c>
      <c r="C14" s="501" t="s">
        <v>286</v>
      </c>
      <c r="D14" s="502">
        <f>'Annual Rev &amp; Fees'!L15</f>
        <v>6936527.5500000007</v>
      </c>
      <c r="E14" s="513">
        <v>585021.03</v>
      </c>
      <c r="F14" s="514">
        <v>577409.68000000005</v>
      </c>
      <c r="G14" s="542">
        <f>'Annual Rev &amp; Fees'!M15</f>
        <v>577409.68000000005</v>
      </c>
      <c r="H14" s="520"/>
      <c r="I14" s="519"/>
      <c r="J14" s="514"/>
      <c r="K14" s="521"/>
      <c r="L14" s="521"/>
      <c r="M14" s="522"/>
      <c r="N14" s="516"/>
      <c r="O14" s="504"/>
      <c r="Q14" s="516">
        <f t="shared" si="0"/>
        <v>1739840.3900000001</v>
      </c>
      <c r="R14" s="516">
        <v>0</v>
      </c>
    </row>
    <row r="15" spans="1:18" x14ac:dyDescent="0.25">
      <c r="A15" s="501">
        <v>11</v>
      </c>
      <c r="B15" s="500" t="s">
        <v>287</v>
      </c>
      <c r="C15" s="501" t="s">
        <v>288</v>
      </c>
      <c r="D15" s="502">
        <f>'Annual Rev &amp; Fees'!L16</f>
        <v>11190698.34</v>
      </c>
      <c r="E15" s="513">
        <v>930045.01</v>
      </c>
      <c r="F15" s="514">
        <v>932786.67</v>
      </c>
      <c r="G15" s="542">
        <f>'Annual Rev &amp; Fees'!M16</f>
        <v>932786.67</v>
      </c>
      <c r="H15" s="520"/>
      <c r="I15" s="519"/>
      <c r="J15" s="514"/>
      <c r="K15" s="521"/>
      <c r="L15" s="521"/>
      <c r="M15" s="522"/>
      <c r="N15" s="516"/>
      <c r="O15" s="504"/>
      <c r="Q15" s="516">
        <f t="shared" si="0"/>
        <v>2795618.35</v>
      </c>
      <c r="R15" s="516">
        <v>0</v>
      </c>
    </row>
    <row r="16" spans="1:18" x14ac:dyDescent="0.25">
      <c r="A16" s="501">
        <v>12</v>
      </c>
      <c r="B16" s="500" t="s">
        <v>289</v>
      </c>
      <c r="C16" s="501" t="s">
        <v>290</v>
      </c>
      <c r="D16" s="502">
        <f>'Annual Rev &amp; Fees'!L17</f>
        <v>6636088.8499999996</v>
      </c>
      <c r="E16" s="513">
        <v>556872.88</v>
      </c>
      <c r="F16" s="514">
        <v>552656</v>
      </c>
      <c r="G16" s="542">
        <f>'Annual Rev &amp; Fees'!M17</f>
        <v>552656</v>
      </c>
      <c r="H16" s="520"/>
      <c r="I16" s="519"/>
      <c r="J16" s="514"/>
      <c r="K16" s="521"/>
      <c r="L16" s="521"/>
      <c r="M16" s="522"/>
      <c r="N16" s="516"/>
      <c r="O16" s="504"/>
      <c r="Q16" s="516">
        <f t="shared" si="0"/>
        <v>1662184.88</v>
      </c>
      <c r="R16" s="516">
        <v>0</v>
      </c>
    </row>
    <row r="17" spans="1:18" x14ac:dyDescent="0.25">
      <c r="A17" s="501">
        <v>13</v>
      </c>
      <c r="B17" s="500" t="s">
        <v>291</v>
      </c>
      <c r="C17" s="501" t="s">
        <v>292</v>
      </c>
      <c r="D17" s="502">
        <f>'Annual Rev &amp; Fees'!L18</f>
        <v>1131298.67</v>
      </c>
      <c r="E17" s="513">
        <v>103368.96000000001</v>
      </c>
      <c r="F17" s="514">
        <v>93448.16</v>
      </c>
      <c r="G17" s="542">
        <f>'Annual Rev &amp; Fees'!M18</f>
        <v>93448.16</v>
      </c>
      <c r="H17" s="520"/>
      <c r="I17" s="519"/>
      <c r="J17" s="514"/>
      <c r="K17" s="521"/>
      <c r="L17" s="521"/>
      <c r="M17" s="522"/>
      <c r="N17" s="516"/>
      <c r="O17" s="504"/>
      <c r="Q17" s="516">
        <f t="shared" si="0"/>
        <v>290265.28000000003</v>
      </c>
      <c r="R17" s="516">
        <v>0</v>
      </c>
    </row>
    <row r="18" spans="1:18" x14ac:dyDescent="0.25">
      <c r="A18" s="501">
        <v>14</v>
      </c>
      <c r="B18" s="500">
        <v>3362</v>
      </c>
      <c r="C18" s="501" t="s">
        <v>364</v>
      </c>
      <c r="D18" s="502">
        <f>'Annual Rev &amp; Fees'!L19</f>
        <v>1419741.9000000001</v>
      </c>
      <c r="E18" s="513">
        <v>116281.74</v>
      </c>
      <c r="F18" s="514">
        <v>118496.38</v>
      </c>
      <c r="G18" s="542">
        <f>'Annual Rev &amp; Fees'!M19</f>
        <v>118496.38</v>
      </c>
      <c r="H18" s="520"/>
      <c r="I18" s="519"/>
      <c r="J18" s="514"/>
      <c r="K18" s="521"/>
      <c r="L18" s="521"/>
      <c r="M18" s="522"/>
      <c r="N18" s="516"/>
      <c r="O18" s="504"/>
      <c r="Q18" s="516">
        <f t="shared" si="0"/>
        <v>353274.5</v>
      </c>
      <c r="R18" s="516"/>
    </row>
    <row r="19" spans="1:18" x14ac:dyDescent="0.25">
      <c r="A19" s="501">
        <v>15</v>
      </c>
      <c r="B19" s="500" t="s">
        <v>293</v>
      </c>
      <c r="C19" s="501" t="s">
        <v>294</v>
      </c>
      <c r="D19" s="502">
        <f>'Annual Rev &amp; Fees'!L20</f>
        <v>9358031.8100000005</v>
      </c>
      <c r="E19" s="513">
        <v>790317.65</v>
      </c>
      <c r="F19" s="514">
        <v>778883.11</v>
      </c>
      <c r="G19" s="542">
        <f>'Annual Rev &amp; Fees'!M20</f>
        <v>778883.11</v>
      </c>
      <c r="H19" s="520"/>
      <c r="I19" s="519"/>
      <c r="J19" s="514"/>
      <c r="K19" s="521"/>
      <c r="L19" s="521"/>
      <c r="M19" s="522"/>
      <c r="N19" s="516"/>
      <c r="O19" s="504"/>
      <c r="Q19" s="516">
        <f t="shared" si="0"/>
        <v>2348083.87</v>
      </c>
      <c r="R19" s="516">
        <v>0</v>
      </c>
    </row>
    <row r="20" spans="1:18" x14ac:dyDescent="0.25">
      <c r="A20" s="501">
        <v>16</v>
      </c>
      <c r="B20" s="500" t="s">
        <v>295</v>
      </c>
      <c r="C20" s="501" t="s">
        <v>296</v>
      </c>
      <c r="D20" s="502">
        <f>'Annual Rev &amp; Fees'!L21</f>
        <v>2346622.4400000004</v>
      </c>
      <c r="E20" s="513">
        <v>198745.57</v>
      </c>
      <c r="F20" s="514">
        <v>195261.53</v>
      </c>
      <c r="G20" s="542">
        <f>'Annual Rev &amp; Fees'!M21</f>
        <v>195261.53</v>
      </c>
      <c r="H20" s="520"/>
      <c r="I20" s="519"/>
      <c r="J20" s="514"/>
      <c r="K20" s="521"/>
      <c r="L20" s="521"/>
      <c r="M20" s="522"/>
      <c r="N20" s="516"/>
      <c r="O20" s="504"/>
      <c r="Q20" s="516">
        <f t="shared" si="0"/>
        <v>589268.63</v>
      </c>
      <c r="R20" s="516">
        <v>0</v>
      </c>
    </row>
    <row r="21" spans="1:18" x14ac:dyDescent="0.25">
      <c r="A21" s="781">
        <v>17</v>
      </c>
      <c r="B21" s="782" t="s">
        <v>297</v>
      </c>
      <c r="C21" s="783" t="s">
        <v>298</v>
      </c>
      <c r="D21" s="525">
        <f>'Annual Rev &amp; Fees'!L22</f>
        <v>0</v>
      </c>
      <c r="E21" s="513">
        <v>0</v>
      </c>
      <c r="F21" s="514">
        <v>0</v>
      </c>
      <c r="G21" s="542">
        <f>'Annual Rev &amp; Fees'!M22</f>
        <v>0</v>
      </c>
      <c r="H21" s="520"/>
      <c r="I21" s="519"/>
      <c r="J21" s="514"/>
      <c r="K21" s="521"/>
      <c r="L21" s="521"/>
      <c r="M21" s="522"/>
      <c r="N21" s="516"/>
      <c r="O21" s="504"/>
      <c r="Q21" s="516">
        <f t="shared" si="0"/>
        <v>0</v>
      </c>
      <c r="R21" s="516">
        <v>0</v>
      </c>
    </row>
    <row r="22" spans="1:18" x14ac:dyDescent="0.25">
      <c r="A22" s="501">
        <v>18</v>
      </c>
      <c r="B22" s="500" t="s">
        <v>299</v>
      </c>
      <c r="C22" s="501" t="s">
        <v>300</v>
      </c>
      <c r="D22" s="502">
        <f>'Annual Rev &amp; Fees'!L23</f>
        <v>1704202.4900000002</v>
      </c>
      <c r="E22" s="513">
        <v>140988.79999999999</v>
      </c>
      <c r="F22" s="514">
        <v>142110.34</v>
      </c>
      <c r="G22" s="542">
        <f>'Annual Rev &amp; Fees'!M23</f>
        <v>142110.34</v>
      </c>
      <c r="H22" s="520"/>
      <c r="I22" s="519"/>
      <c r="J22" s="514"/>
      <c r="K22" s="521"/>
      <c r="L22" s="521"/>
      <c r="M22" s="522"/>
      <c r="N22" s="516"/>
      <c r="O22" s="504"/>
      <c r="Q22" s="516">
        <f t="shared" si="0"/>
        <v>425209.48</v>
      </c>
      <c r="R22" s="516">
        <v>0</v>
      </c>
    </row>
    <row r="23" spans="1:18" x14ac:dyDescent="0.25">
      <c r="A23" s="501">
        <v>19</v>
      </c>
      <c r="B23" s="500" t="s">
        <v>301</v>
      </c>
      <c r="C23" s="501" t="s">
        <v>302</v>
      </c>
      <c r="D23" s="502">
        <f>'Annual Rev &amp; Fees'!L24</f>
        <v>4708706.13</v>
      </c>
      <c r="E23" s="513">
        <v>392880.9</v>
      </c>
      <c r="F23" s="514">
        <v>392347.75</v>
      </c>
      <c r="G23" s="542">
        <f>'Annual Rev &amp; Fees'!M24</f>
        <v>392347.75</v>
      </c>
      <c r="H23" s="520"/>
      <c r="I23" s="519"/>
      <c r="J23" s="514"/>
      <c r="K23" s="521"/>
      <c r="L23" s="521"/>
      <c r="M23" s="522"/>
      <c r="N23" s="516"/>
      <c r="O23" s="504"/>
      <c r="Q23" s="516">
        <f t="shared" si="0"/>
        <v>1177576.3999999999</v>
      </c>
      <c r="R23" s="516">
        <v>0</v>
      </c>
    </row>
    <row r="24" spans="1:18" x14ac:dyDescent="0.25">
      <c r="A24" s="501">
        <v>20</v>
      </c>
      <c r="B24" s="500" t="s">
        <v>303</v>
      </c>
      <c r="C24" s="501" t="s">
        <v>304</v>
      </c>
      <c r="D24" s="502">
        <f>'Annual Rev &amp; Fees'!L25</f>
        <v>6253973.1299999999</v>
      </c>
      <c r="E24" s="513">
        <v>551140.87</v>
      </c>
      <c r="F24" s="514">
        <v>518439.3</v>
      </c>
      <c r="G24" s="542">
        <f>'Annual Rev &amp; Fees'!M25</f>
        <v>518439.3</v>
      </c>
      <c r="H24" s="520"/>
      <c r="I24" s="519"/>
      <c r="J24" s="514"/>
      <c r="K24" s="521"/>
      <c r="L24" s="521"/>
      <c r="M24" s="522"/>
      <c r="N24" s="516"/>
      <c r="O24" s="504"/>
      <c r="Q24" s="516">
        <f t="shared" si="0"/>
        <v>1588019.47</v>
      </c>
      <c r="R24" s="516">
        <v>0</v>
      </c>
    </row>
    <row r="25" spans="1:18" x14ac:dyDescent="0.25">
      <c r="A25" s="501">
        <v>21</v>
      </c>
      <c r="B25" s="500" t="s">
        <v>305</v>
      </c>
      <c r="C25" s="501" t="s">
        <v>306</v>
      </c>
      <c r="D25" s="502">
        <f>'Annual Rev &amp; Fees'!L26</f>
        <v>872335.59</v>
      </c>
      <c r="E25" s="513">
        <v>82371.990000000005</v>
      </c>
      <c r="F25" s="514">
        <v>71814.87</v>
      </c>
      <c r="G25" s="542">
        <f>'Annual Rev &amp; Fees'!M26</f>
        <v>71814.87</v>
      </c>
      <c r="H25" s="520"/>
      <c r="I25" s="519"/>
      <c r="J25" s="514"/>
      <c r="K25" s="521"/>
      <c r="L25" s="521"/>
      <c r="M25" s="522"/>
      <c r="N25" s="516"/>
      <c r="O25" s="504"/>
      <c r="Q25" s="516">
        <f t="shared" si="0"/>
        <v>226001.72999999998</v>
      </c>
      <c r="R25" s="516">
        <v>0</v>
      </c>
    </row>
    <row r="26" spans="1:18" x14ac:dyDescent="0.25">
      <c r="A26" s="501">
        <v>22</v>
      </c>
      <c r="B26" s="500" t="s">
        <v>307</v>
      </c>
      <c r="C26" s="501" t="s">
        <v>308</v>
      </c>
      <c r="D26" s="502">
        <f>'Annual Rev &amp; Fees'!L27</f>
        <v>1117467.8700000001</v>
      </c>
      <c r="E26" s="513">
        <v>108668.62</v>
      </c>
      <c r="F26" s="514">
        <v>91709.02</v>
      </c>
      <c r="G26" s="542">
        <f>'Annual Rev &amp; Fees'!M27</f>
        <v>91709.02</v>
      </c>
      <c r="H26" s="520"/>
      <c r="I26" s="519"/>
      <c r="J26" s="514"/>
      <c r="K26" s="521"/>
      <c r="L26" s="521"/>
      <c r="M26" s="522"/>
      <c r="N26" s="516"/>
      <c r="O26" s="504"/>
      <c r="Q26" s="516">
        <f t="shared" si="0"/>
        <v>292086.66000000003</v>
      </c>
      <c r="R26" s="516">
        <v>0</v>
      </c>
    </row>
    <row r="27" spans="1:18" x14ac:dyDescent="0.25">
      <c r="A27" s="501">
        <v>23</v>
      </c>
      <c r="B27" s="500" t="s">
        <v>309</v>
      </c>
      <c r="C27" s="501" t="s">
        <v>310</v>
      </c>
      <c r="D27" s="502">
        <f>'Annual Rev &amp; Fees'!L28</f>
        <v>3309365.27</v>
      </c>
      <c r="E27" s="513">
        <v>307859.90000000002</v>
      </c>
      <c r="F27" s="514">
        <v>272864.12</v>
      </c>
      <c r="G27" s="542">
        <f>'Annual Rev &amp; Fees'!M28</f>
        <v>272864.13</v>
      </c>
      <c r="H27" s="520"/>
      <c r="I27" s="519"/>
      <c r="J27" s="514"/>
      <c r="K27" s="521"/>
      <c r="L27" s="521"/>
      <c r="M27" s="522"/>
      <c r="N27" s="516"/>
      <c r="O27" s="504"/>
      <c r="Q27" s="516">
        <f t="shared" si="0"/>
        <v>853588.15</v>
      </c>
      <c r="R27" s="516">
        <v>0</v>
      </c>
    </row>
    <row r="28" spans="1:18" x14ac:dyDescent="0.25">
      <c r="A28" s="501">
        <v>24</v>
      </c>
      <c r="B28" s="500" t="s">
        <v>311</v>
      </c>
      <c r="C28" s="501" t="s">
        <v>312</v>
      </c>
      <c r="D28" s="502">
        <f>'Annual Rev &amp; Fees'!L29</f>
        <v>3543643.8800000004</v>
      </c>
      <c r="E28" s="513">
        <v>296789.01</v>
      </c>
      <c r="F28" s="514">
        <v>295168.62</v>
      </c>
      <c r="G28" s="542">
        <f>'Annual Rev &amp; Fees'!M29</f>
        <v>295168.63</v>
      </c>
      <c r="H28" s="520"/>
      <c r="I28" s="519"/>
      <c r="J28" s="514"/>
      <c r="K28" s="521"/>
      <c r="L28" s="521"/>
      <c r="M28" s="522"/>
      <c r="N28" s="516"/>
      <c r="O28" s="504"/>
      <c r="Q28" s="516">
        <f t="shared" si="0"/>
        <v>887126.26</v>
      </c>
      <c r="R28" s="516">
        <v>0</v>
      </c>
    </row>
    <row r="29" spans="1:18" x14ac:dyDescent="0.25">
      <c r="A29" s="501">
        <v>25</v>
      </c>
      <c r="B29" s="500" t="s">
        <v>313</v>
      </c>
      <c r="C29" s="501" t="s">
        <v>314</v>
      </c>
      <c r="D29" s="502">
        <f>'Annual Rev &amp; Fees'!L30</f>
        <v>4896438.6100000003</v>
      </c>
      <c r="E29" s="513">
        <v>454328.31</v>
      </c>
      <c r="F29" s="514">
        <v>403828.21</v>
      </c>
      <c r="G29" s="542">
        <f>'Annual Rev &amp; Fees'!M30</f>
        <v>403828.21</v>
      </c>
      <c r="H29" s="520"/>
      <c r="I29" s="519"/>
      <c r="J29" s="514"/>
      <c r="K29" s="521"/>
      <c r="L29" s="521"/>
      <c r="M29" s="522"/>
      <c r="N29" s="516"/>
      <c r="O29" s="504"/>
      <c r="Q29" s="516">
        <f t="shared" si="0"/>
        <v>1261984.73</v>
      </c>
      <c r="R29" s="516">
        <v>0</v>
      </c>
    </row>
    <row r="30" spans="1:18" x14ac:dyDescent="0.25">
      <c r="A30" s="501">
        <v>26</v>
      </c>
      <c r="B30" s="500" t="s">
        <v>315</v>
      </c>
      <c r="C30" s="501" t="s">
        <v>316</v>
      </c>
      <c r="D30" s="502">
        <f>'Annual Rev &amp; Fees'!L31</f>
        <v>8888574.7200000007</v>
      </c>
      <c r="E30" s="513">
        <v>742534.27</v>
      </c>
      <c r="F30" s="514">
        <v>740549.13</v>
      </c>
      <c r="G30" s="542">
        <f>'Annual Rev &amp; Fees'!M31</f>
        <v>740549.13</v>
      </c>
      <c r="H30" s="520"/>
      <c r="I30" s="519"/>
      <c r="J30" s="514"/>
      <c r="K30" s="521"/>
      <c r="L30" s="521"/>
      <c r="M30" s="522"/>
      <c r="N30" s="516"/>
      <c r="O30" s="504"/>
      <c r="Q30" s="516">
        <f t="shared" si="0"/>
        <v>2223632.5299999998</v>
      </c>
      <c r="R30" s="516">
        <v>0</v>
      </c>
    </row>
    <row r="31" spans="1:18" x14ac:dyDescent="0.25">
      <c r="A31" s="501">
        <v>27</v>
      </c>
      <c r="B31" s="500">
        <v>3441</v>
      </c>
      <c r="C31" s="501" t="s">
        <v>317</v>
      </c>
      <c r="D31" s="502">
        <f>'Annual Rev &amp; Fees'!L32</f>
        <v>4654382.5600000015</v>
      </c>
      <c r="E31" s="513">
        <v>395194</v>
      </c>
      <c r="F31" s="514">
        <v>387198.96</v>
      </c>
      <c r="G31" s="542">
        <f>'Annual Rev &amp; Fees'!M32</f>
        <v>387198.96</v>
      </c>
      <c r="H31" s="520"/>
      <c r="I31" s="519"/>
      <c r="J31" s="514"/>
      <c r="K31" s="521"/>
      <c r="L31" s="521"/>
      <c r="M31" s="522"/>
      <c r="N31" s="516"/>
      <c r="O31" s="504"/>
      <c r="Q31" s="516">
        <f t="shared" si="0"/>
        <v>1169591.92</v>
      </c>
      <c r="R31" s="516">
        <v>0</v>
      </c>
    </row>
    <row r="32" spans="1:18" x14ac:dyDescent="0.25">
      <c r="A32" s="501">
        <v>28</v>
      </c>
      <c r="B32" s="500">
        <v>3924</v>
      </c>
      <c r="C32" s="501" t="s">
        <v>318</v>
      </c>
      <c r="D32" s="502">
        <f>'Annual Rev &amp; Fees'!L33</f>
        <v>3490003.8400000008</v>
      </c>
      <c r="E32" s="513">
        <v>306843.31</v>
      </c>
      <c r="F32" s="514">
        <v>289378.23</v>
      </c>
      <c r="G32" s="542">
        <f>'Annual Rev &amp; Fees'!M33</f>
        <v>289378.23</v>
      </c>
      <c r="H32" s="520"/>
      <c r="I32" s="519"/>
      <c r="J32" s="514"/>
      <c r="K32" s="521"/>
      <c r="L32" s="521"/>
      <c r="M32" s="522"/>
      <c r="N32" s="516"/>
      <c r="O32" s="504"/>
      <c r="Q32" s="516">
        <f t="shared" si="0"/>
        <v>885599.77</v>
      </c>
      <c r="R32" s="516">
        <v>0</v>
      </c>
    </row>
    <row r="33" spans="1:18" x14ac:dyDescent="0.25">
      <c r="A33" s="501">
        <v>29</v>
      </c>
      <c r="B33" s="500" t="s">
        <v>319</v>
      </c>
      <c r="C33" s="501" t="s">
        <v>320</v>
      </c>
      <c r="D33" s="502">
        <f>'Annual Rev &amp; Fees'!L34</f>
        <v>2012517.4599999997</v>
      </c>
      <c r="E33" s="513">
        <v>165942.38</v>
      </c>
      <c r="F33" s="514">
        <v>167870.46</v>
      </c>
      <c r="G33" s="542">
        <f>'Annual Rev &amp; Fees'!M34</f>
        <v>167870.46</v>
      </c>
      <c r="H33" s="520"/>
      <c r="I33" s="519"/>
      <c r="J33" s="514"/>
      <c r="K33" s="521"/>
      <c r="L33" s="521"/>
      <c r="M33" s="522"/>
      <c r="N33" s="516"/>
      <c r="O33" s="504"/>
      <c r="Q33" s="516">
        <f t="shared" si="0"/>
        <v>501683.29999999993</v>
      </c>
      <c r="R33" s="516">
        <v>0</v>
      </c>
    </row>
    <row r="34" spans="1:18" x14ac:dyDescent="0.25">
      <c r="A34" s="781">
        <v>30</v>
      </c>
      <c r="B34" s="782" t="s">
        <v>321</v>
      </c>
      <c r="C34" s="783" t="s">
        <v>322</v>
      </c>
      <c r="D34" s="519">
        <f>'Annual Rev &amp; Fees'!L35</f>
        <v>0</v>
      </c>
      <c r="E34" s="513">
        <v>0</v>
      </c>
      <c r="F34" s="514">
        <v>0</v>
      </c>
      <c r="G34" s="542">
        <f>'Annual Rev &amp; Fees'!M35</f>
        <v>0</v>
      </c>
      <c r="H34" s="520"/>
      <c r="I34" s="519"/>
      <c r="J34" s="514"/>
      <c r="K34" s="521"/>
      <c r="L34" s="521"/>
      <c r="M34" s="522"/>
      <c r="N34" s="516"/>
      <c r="O34" s="504"/>
      <c r="Q34" s="516">
        <f t="shared" si="0"/>
        <v>0</v>
      </c>
      <c r="R34" s="516">
        <v>0</v>
      </c>
    </row>
    <row r="35" spans="1:18" x14ac:dyDescent="0.25">
      <c r="A35" s="501">
        <v>31</v>
      </c>
      <c r="B35" s="500" t="s">
        <v>323</v>
      </c>
      <c r="C35" s="501" t="s">
        <v>473</v>
      </c>
      <c r="D35" s="502">
        <f>'Annual Rev &amp; Fees'!L36</f>
        <v>5420536.370000001</v>
      </c>
      <c r="E35" s="513">
        <v>488883.35</v>
      </c>
      <c r="F35" s="514">
        <v>428897.69</v>
      </c>
      <c r="G35" s="542">
        <f>'Annual Rev &amp; Fees'!M36</f>
        <v>446791.37</v>
      </c>
      <c r="H35" s="520"/>
      <c r="I35" s="519"/>
      <c r="J35" s="514"/>
      <c r="K35" s="521"/>
      <c r="L35" s="521"/>
      <c r="M35" s="522"/>
      <c r="N35" s="516"/>
      <c r="O35" s="504"/>
      <c r="Q35" s="516">
        <f t="shared" si="0"/>
        <v>1364572.4100000001</v>
      </c>
      <c r="R35" s="516">
        <v>0</v>
      </c>
    </row>
    <row r="36" spans="1:18" x14ac:dyDescent="0.25">
      <c r="A36" s="501">
        <v>32</v>
      </c>
      <c r="B36" s="500" t="s">
        <v>325</v>
      </c>
      <c r="C36" s="501" t="s">
        <v>326</v>
      </c>
      <c r="D36" s="502">
        <f>'Annual Rev &amp; Fees'!L37</f>
        <v>5637623.3699999992</v>
      </c>
      <c r="E36" s="513">
        <v>468475.14</v>
      </c>
      <c r="F36" s="514">
        <v>469922.57</v>
      </c>
      <c r="G36" s="542">
        <f>'Annual Rev &amp; Fees'!M37</f>
        <v>469922.57</v>
      </c>
      <c r="H36" s="520"/>
      <c r="I36" s="519"/>
      <c r="J36" s="514"/>
      <c r="K36" s="521"/>
      <c r="L36" s="521"/>
      <c r="M36" s="522"/>
      <c r="N36" s="516"/>
      <c r="O36" s="504"/>
      <c r="Q36" s="516">
        <f t="shared" si="0"/>
        <v>1408320.28</v>
      </c>
      <c r="R36" s="516">
        <v>0</v>
      </c>
    </row>
    <row r="37" spans="1:18" x14ac:dyDescent="0.25">
      <c r="A37" s="501">
        <v>33</v>
      </c>
      <c r="B37" s="500">
        <v>4002</v>
      </c>
      <c r="C37" s="501" t="s">
        <v>327</v>
      </c>
      <c r="D37" s="502">
        <f>'Annual Rev &amp; Fees'!L38</f>
        <v>7768021.4899999993</v>
      </c>
      <c r="E37" s="513">
        <v>643508.92000000004</v>
      </c>
      <c r="F37" s="514">
        <v>647682.96</v>
      </c>
      <c r="G37" s="542">
        <f>'Annual Rev &amp; Fees'!M38</f>
        <v>647682.96</v>
      </c>
      <c r="H37" s="520"/>
      <c r="I37" s="519"/>
      <c r="J37" s="514"/>
      <c r="K37" s="521"/>
      <c r="L37" s="521"/>
      <c r="M37" s="522"/>
      <c r="N37" s="516"/>
      <c r="O37" s="504"/>
      <c r="Q37" s="516">
        <f t="shared" si="0"/>
        <v>1938874.8399999999</v>
      </c>
      <c r="R37" s="516">
        <v>0</v>
      </c>
    </row>
    <row r="38" spans="1:18" x14ac:dyDescent="0.25">
      <c r="A38" s="781">
        <v>34</v>
      </c>
      <c r="B38" s="782">
        <v>4012</v>
      </c>
      <c r="C38" s="783" t="s">
        <v>328</v>
      </c>
      <c r="D38" s="502">
        <f>'Annual Rev &amp; Fees'!L39</f>
        <v>0</v>
      </c>
      <c r="E38" s="513">
        <v>0</v>
      </c>
      <c r="F38" s="514">
        <v>0</v>
      </c>
      <c r="G38" s="542">
        <f>'Annual Rev &amp; Fees'!M39</f>
        <v>0</v>
      </c>
      <c r="H38" s="520"/>
      <c r="I38" s="519"/>
      <c r="J38" s="514"/>
      <c r="K38" s="521"/>
      <c r="L38" s="521"/>
      <c r="M38" s="522"/>
      <c r="N38" s="516"/>
      <c r="O38" s="504"/>
      <c r="Q38" s="516">
        <f t="shared" si="0"/>
        <v>0</v>
      </c>
      <c r="R38" s="516">
        <v>0</v>
      </c>
    </row>
    <row r="39" spans="1:18" x14ac:dyDescent="0.25">
      <c r="A39" s="501">
        <v>35</v>
      </c>
      <c r="B39" s="500">
        <v>4013</v>
      </c>
      <c r="C39" s="501" t="s">
        <v>329</v>
      </c>
      <c r="D39" s="502">
        <f>'Annual Rev &amp; Fees'!L40</f>
        <v>13591964.32</v>
      </c>
      <c r="E39" s="513">
        <v>1176953.08</v>
      </c>
      <c r="F39" s="514">
        <v>1128637.3799999999</v>
      </c>
      <c r="G39" s="542">
        <f>'Annual Rev &amp; Fees'!M40</f>
        <v>1128637.3899999999</v>
      </c>
      <c r="H39" s="520"/>
      <c r="I39" s="519"/>
      <c r="J39" s="514"/>
      <c r="K39" s="521"/>
      <c r="L39" s="521"/>
      <c r="M39" s="522"/>
      <c r="N39" s="516"/>
      <c r="O39" s="504"/>
      <c r="Q39" s="516">
        <f t="shared" si="0"/>
        <v>3434227.8499999996</v>
      </c>
      <c r="R39" s="516">
        <v>0</v>
      </c>
    </row>
    <row r="40" spans="1:18" x14ac:dyDescent="0.25">
      <c r="A40" s="501">
        <v>36</v>
      </c>
      <c r="B40" s="500">
        <v>4020</v>
      </c>
      <c r="C40" s="501" t="s">
        <v>330</v>
      </c>
      <c r="D40" s="502">
        <f>'Annual Rev &amp; Fees'!L41</f>
        <v>10997341.350000001</v>
      </c>
      <c r="E40" s="513">
        <v>918328.6</v>
      </c>
      <c r="F40" s="514">
        <v>916273.89</v>
      </c>
      <c r="G40" s="542">
        <f>'Annual Rev &amp; Fees'!M41</f>
        <v>916273.89</v>
      </c>
      <c r="H40" s="520"/>
      <c r="I40" s="519"/>
      <c r="J40" s="514"/>
      <c r="K40" s="521"/>
      <c r="L40" s="521"/>
      <c r="M40" s="522"/>
      <c r="N40" s="516"/>
      <c r="O40" s="504"/>
      <c r="Q40" s="516">
        <f t="shared" si="0"/>
        <v>2750876.38</v>
      </c>
      <c r="R40" s="516">
        <v>0</v>
      </c>
    </row>
    <row r="41" spans="1:18" x14ac:dyDescent="0.25">
      <c r="A41" s="781">
        <v>37</v>
      </c>
      <c r="B41" s="782">
        <v>4030</v>
      </c>
      <c r="C41" s="783" t="s">
        <v>331</v>
      </c>
      <c r="D41" s="502">
        <f>'Annual Rev &amp; Fees'!L42</f>
        <v>0</v>
      </c>
      <c r="E41" s="513">
        <v>0</v>
      </c>
      <c r="F41" s="514">
        <v>0</v>
      </c>
      <c r="G41" s="542">
        <f>'Annual Rev &amp; Fees'!M42</f>
        <v>0</v>
      </c>
      <c r="H41" s="520"/>
      <c r="I41" s="519"/>
      <c r="J41" s="514"/>
      <c r="K41" s="521"/>
      <c r="L41" s="521"/>
      <c r="M41" s="522"/>
      <c r="N41" s="516"/>
      <c r="O41" s="504"/>
      <c r="Q41" s="516">
        <f t="shared" si="0"/>
        <v>0</v>
      </c>
      <c r="R41" s="516">
        <v>0</v>
      </c>
    </row>
    <row r="42" spans="1:18" x14ac:dyDescent="0.25">
      <c r="A42" s="501">
        <v>38</v>
      </c>
      <c r="B42" s="500">
        <v>4031</v>
      </c>
      <c r="C42" s="501" t="s">
        <v>332</v>
      </c>
      <c r="D42" s="502">
        <f>'Annual Rev &amp; Fees'!L43</f>
        <v>3448496.0099999993</v>
      </c>
      <c r="E42" s="513">
        <v>287911.87</v>
      </c>
      <c r="F42" s="514">
        <v>287325.83</v>
      </c>
      <c r="G42" s="542">
        <f>'Annual Rev &amp; Fees'!M43</f>
        <v>287325.83</v>
      </c>
      <c r="H42" s="520"/>
      <c r="I42" s="519"/>
      <c r="J42" s="514"/>
      <c r="K42" s="521"/>
      <c r="L42" s="521"/>
      <c r="M42" s="522"/>
      <c r="N42" s="516"/>
      <c r="O42" s="504"/>
      <c r="Q42" s="516">
        <f t="shared" si="0"/>
        <v>862563.53</v>
      </c>
      <c r="R42" s="516">
        <v>0</v>
      </c>
    </row>
    <row r="43" spans="1:18" x14ac:dyDescent="0.25">
      <c r="A43" s="501">
        <v>39</v>
      </c>
      <c r="B43" s="500">
        <v>4041</v>
      </c>
      <c r="C43" s="501" t="s">
        <v>333</v>
      </c>
      <c r="D43" s="502">
        <f>'Annual Rev &amp; Fees'!L44</f>
        <v>797427.19999999995</v>
      </c>
      <c r="E43" s="513">
        <v>68831.240000000005</v>
      </c>
      <c r="F43" s="514">
        <v>66236</v>
      </c>
      <c r="G43" s="542">
        <f>'Annual Rev &amp; Fees'!M44</f>
        <v>66236</v>
      </c>
      <c r="H43" s="520"/>
      <c r="I43" s="519"/>
      <c r="J43" s="514"/>
      <c r="K43" s="521"/>
      <c r="L43" s="521"/>
      <c r="M43" s="522"/>
      <c r="N43" s="516"/>
      <c r="O43" s="504"/>
      <c r="Q43" s="516">
        <f t="shared" si="0"/>
        <v>201303.24</v>
      </c>
      <c r="R43" s="516">
        <v>0</v>
      </c>
    </row>
    <row r="44" spans="1:18" x14ac:dyDescent="0.25">
      <c r="A44" s="501">
        <v>40</v>
      </c>
      <c r="B44" s="500">
        <v>4050</v>
      </c>
      <c r="C44" s="501" t="s">
        <v>334</v>
      </c>
      <c r="D44" s="502">
        <f>'Annual Rev &amp; Fees'!L45</f>
        <v>5545011.3000000007</v>
      </c>
      <c r="E44" s="513">
        <v>460655.69</v>
      </c>
      <c r="F44" s="514">
        <v>462214.15</v>
      </c>
      <c r="G44" s="542">
        <f>'Annual Rev &amp; Fees'!M45</f>
        <v>462214.15</v>
      </c>
      <c r="H44" s="520"/>
      <c r="I44" s="519"/>
      <c r="J44" s="514"/>
      <c r="K44" s="521"/>
      <c r="L44" s="521"/>
      <c r="M44" s="522"/>
      <c r="N44" s="516"/>
      <c r="O44" s="504"/>
      <c r="Q44" s="516">
        <f t="shared" si="0"/>
        <v>1385083.9900000002</v>
      </c>
      <c r="R44" s="516">
        <v>0</v>
      </c>
    </row>
    <row r="45" spans="1:18" x14ac:dyDescent="0.25">
      <c r="A45" s="501">
        <v>41</v>
      </c>
      <c r="B45" s="500">
        <v>4051</v>
      </c>
      <c r="C45" s="501" t="s">
        <v>335</v>
      </c>
      <c r="D45" s="502">
        <f>'Annual Rev &amp; Fees'!L46</f>
        <v>5464527.4000000004</v>
      </c>
      <c r="E45" s="513">
        <v>454031.87</v>
      </c>
      <c r="F45" s="514">
        <v>455499.59</v>
      </c>
      <c r="G45" s="542">
        <f>'Annual Rev &amp; Fees'!M46</f>
        <v>455499.59</v>
      </c>
      <c r="H45" s="520"/>
      <c r="I45" s="519"/>
      <c r="J45" s="514"/>
      <c r="K45" s="521"/>
      <c r="L45" s="521"/>
      <c r="M45" s="522"/>
      <c r="N45" s="516"/>
      <c r="O45" s="504"/>
      <c r="Q45" s="516">
        <f t="shared" si="0"/>
        <v>1365031.05</v>
      </c>
      <c r="R45" s="516">
        <v>0</v>
      </c>
    </row>
    <row r="46" spans="1:18" x14ac:dyDescent="0.25">
      <c r="A46" s="501">
        <v>42</v>
      </c>
      <c r="B46" s="500">
        <v>4061</v>
      </c>
      <c r="C46" s="501" t="s">
        <v>336</v>
      </c>
      <c r="D46" s="502">
        <f>'Annual Rev &amp; Fees'!L47</f>
        <v>8103572.6400000006</v>
      </c>
      <c r="E46" s="513">
        <v>670518.24</v>
      </c>
      <c r="F46" s="514">
        <v>675732.22</v>
      </c>
      <c r="G46" s="542">
        <f>'Annual Rev &amp; Fees'!M47</f>
        <v>675732.22</v>
      </c>
      <c r="H46" s="520"/>
      <c r="I46" s="519"/>
      <c r="J46" s="514"/>
      <c r="K46" s="521"/>
      <c r="L46" s="521"/>
      <c r="M46" s="522"/>
      <c r="N46" s="516"/>
      <c r="O46" s="504"/>
      <c r="Q46" s="516">
        <f t="shared" si="0"/>
        <v>2021982.68</v>
      </c>
      <c r="R46" s="516">
        <v>0</v>
      </c>
    </row>
    <row r="47" spans="1:18" x14ac:dyDescent="0.25">
      <c r="A47" s="781">
        <v>43</v>
      </c>
      <c r="B47" s="782">
        <v>4080</v>
      </c>
      <c r="C47" s="783" t="s">
        <v>337</v>
      </c>
      <c r="D47" s="519">
        <f>'Annual Rev &amp; Fees'!L48</f>
        <v>0</v>
      </c>
      <c r="E47" s="513">
        <v>0</v>
      </c>
      <c r="F47" s="514">
        <v>0</v>
      </c>
      <c r="G47" s="542">
        <f>'Annual Rev &amp; Fees'!M48</f>
        <v>0</v>
      </c>
      <c r="H47" s="520"/>
      <c r="I47" s="519"/>
      <c r="J47" s="514"/>
      <c r="K47" s="521"/>
      <c r="L47" s="521"/>
      <c r="M47" s="522"/>
      <c r="N47" s="516"/>
      <c r="O47" s="504"/>
      <c r="Q47" s="516">
        <f t="shared" si="0"/>
        <v>0</v>
      </c>
      <c r="R47" s="516">
        <v>0</v>
      </c>
    </row>
    <row r="48" spans="1:18" x14ac:dyDescent="0.25">
      <c r="A48" s="501">
        <v>44</v>
      </c>
      <c r="B48" s="500">
        <v>4081</v>
      </c>
      <c r="C48" s="501" t="s">
        <v>338</v>
      </c>
      <c r="D48" s="502">
        <f>'Annual Rev &amp; Fees'!L49</f>
        <v>992739.73999999987</v>
      </c>
      <c r="E48" s="513">
        <v>91315.47</v>
      </c>
      <c r="F48" s="514">
        <v>81947.66</v>
      </c>
      <c r="G48" s="542">
        <f>'Annual Rev &amp; Fees'!M49</f>
        <v>81947.66</v>
      </c>
      <c r="H48" s="520"/>
      <c r="I48" s="519"/>
      <c r="J48" s="514"/>
      <c r="K48" s="521"/>
      <c r="L48" s="521"/>
      <c r="M48" s="522"/>
      <c r="N48" s="516"/>
      <c r="O48" s="504"/>
      <c r="Q48" s="516">
        <f t="shared" si="0"/>
        <v>255210.79</v>
      </c>
      <c r="R48" s="516">
        <v>0</v>
      </c>
    </row>
    <row r="49" spans="1:18" x14ac:dyDescent="0.25">
      <c r="A49" s="501">
        <v>45</v>
      </c>
      <c r="B49" s="500">
        <v>4090</v>
      </c>
      <c r="C49" s="501" t="s">
        <v>339</v>
      </c>
      <c r="D49" s="502">
        <f>'Annual Rev &amp; Fees'!L50</f>
        <v>2659136.88</v>
      </c>
      <c r="E49" s="513">
        <v>225526.69</v>
      </c>
      <c r="F49" s="514">
        <v>221237.29</v>
      </c>
      <c r="G49" s="542">
        <f>'Annual Rev &amp; Fees'!M50</f>
        <v>221237.29</v>
      </c>
      <c r="H49" s="520"/>
      <c r="I49" s="519"/>
      <c r="J49" s="514"/>
      <c r="K49" s="521"/>
      <c r="L49" s="521"/>
      <c r="M49" s="522"/>
      <c r="N49" s="516"/>
      <c r="O49" s="504"/>
      <c r="Q49" s="516">
        <f>SUM(E49:P49)</f>
        <v>668001.27</v>
      </c>
      <c r="R49" s="516">
        <v>0</v>
      </c>
    </row>
    <row r="50" spans="1:18" x14ac:dyDescent="0.25">
      <c r="A50" s="501">
        <v>46</v>
      </c>
      <c r="B50" s="500">
        <v>4091</v>
      </c>
      <c r="C50" s="501" t="s">
        <v>340</v>
      </c>
      <c r="D50" s="502">
        <f>'Annual Rev &amp; Fees'!L51</f>
        <v>3521940.07</v>
      </c>
      <c r="E50" s="513">
        <v>290339.40000000002</v>
      </c>
      <c r="F50" s="514">
        <v>293781.88</v>
      </c>
      <c r="G50" s="542">
        <f>'Annual Rev &amp; Fees'!M51</f>
        <v>293781.88</v>
      </c>
      <c r="H50" s="520"/>
      <c r="I50" s="519"/>
      <c r="J50" s="514"/>
      <c r="K50" s="521"/>
      <c r="L50" s="521"/>
      <c r="M50" s="522"/>
      <c r="N50" s="516"/>
      <c r="O50" s="504"/>
      <c r="Q50" s="516">
        <f t="shared" si="0"/>
        <v>877903.16</v>
      </c>
      <c r="R50" s="516">
        <v>0</v>
      </c>
    </row>
    <row r="51" spans="1:18" x14ac:dyDescent="0.25">
      <c r="A51" s="501">
        <v>47</v>
      </c>
      <c r="B51" s="709">
        <v>4100</v>
      </c>
      <c r="C51" s="710" t="s">
        <v>341</v>
      </c>
      <c r="D51" s="519">
        <f>'Annual Rev &amp; Fees'!L52</f>
        <v>4315819.2600000007</v>
      </c>
      <c r="E51" s="513">
        <v>361399.67</v>
      </c>
      <c r="F51" s="514">
        <v>359492.69</v>
      </c>
      <c r="G51" s="542">
        <f>'Annual Rev &amp; Fees'!M52</f>
        <v>359492.69</v>
      </c>
      <c r="H51" s="520"/>
      <c r="I51" s="519"/>
      <c r="J51" s="514"/>
      <c r="K51" s="521"/>
      <c r="L51" s="521"/>
      <c r="M51" s="522"/>
      <c r="N51" s="516"/>
      <c r="O51" s="504"/>
      <c r="Q51" s="516">
        <f t="shared" si="0"/>
        <v>1080385.05</v>
      </c>
      <c r="R51" s="516">
        <v>0</v>
      </c>
    </row>
    <row r="52" spans="1:18" x14ac:dyDescent="0.25">
      <c r="A52" s="501">
        <v>48</v>
      </c>
      <c r="B52" s="709">
        <v>4102</v>
      </c>
      <c r="C52" s="710" t="s">
        <v>342</v>
      </c>
      <c r="D52" s="519">
        <f>'Annual Rev &amp; Fees'!L53</f>
        <v>1550886.1700000004</v>
      </c>
      <c r="E52" s="513">
        <v>127768.72</v>
      </c>
      <c r="F52" s="514">
        <v>129374.31</v>
      </c>
      <c r="G52" s="542">
        <f>'Annual Rev &amp; Fees'!M53</f>
        <v>129374.31</v>
      </c>
      <c r="H52" s="520"/>
      <c r="I52" s="519"/>
      <c r="J52" s="514"/>
      <c r="K52" s="521"/>
      <c r="L52" s="521"/>
      <c r="M52" s="522"/>
      <c r="N52" s="516"/>
      <c r="O52" s="504"/>
      <c r="Q52" s="516">
        <f t="shared" si="0"/>
        <v>386517.33999999997</v>
      </c>
      <c r="R52" s="516">
        <v>0</v>
      </c>
    </row>
    <row r="53" spans="1:18" x14ac:dyDescent="0.25">
      <c r="A53" s="501">
        <v>49</v>
      </c>
      <c r="B53" s="500">
        <v>4103</v>
      </c>
      <c r="C53" s="501" t="s">
        <v>343</v>
      </c>
      <c r="D53" s="502">
        <f>'Annual Rev &amp; Fees'!L54</f>
        <v>8351403.1699999981</v>
      </c>
      <c r="E53" s="513">
        <v>720830.88</v>
      </c>
      <c r="F53" s="514">
        <v>693688.39</v>
      </c>
      <c r="G53" s="542">
        <f>'Annual Rev &amp; Fees'!M54</f>
        <v>693688.39</v>
      </c>
      <c r="H53" s="520"/>
      <c r="I53" s="519"/>
      <c r="J53" s="518"/>
      <c r="K53" s="521"/>
      <c r="L53" s="521"/>
      <c r="M53" s="522"/>
      <c r="N53" s="516"/>
      <c r="O53" s="522"/>
      <c r="P53" s="522"/>
      <c r="Q53" s="516">
        <f t="shared" si="0"/>
        <v>2108207.66</v>
      </c>
      <c r="R53" s="516">
        <v>0</v>
      </c>
    </row>
    <row r="54" spans="1:18" x14ac:dyDescent="0.25">
      <c r="A54" s="501">
        <v>50</v>
      </c>
      <c r="B54" s="500">
        <v>4111</v>
      </c>
      <c r="C54" s="501" t="s">
        <v>344</v>
      </c>
      <c r="D54" s="502">
        <f>'Annual Rev &amp; Fees'!L55</f>
        <v>2653190.0999999996</v>
      </c>
      <c r="E54" s="513">
        <v>236099.15</v>
      </c>
      <c r="F54" s="514">
        <v>219735.54</v>
      </c>
      <c r="G54" s="542">
        <f>'Annual Rev &amp; Fees'!M55</f>
        <v>219735.54</v>
      </c>
      <c r="H54" s="520"/>
      <c r="I54" s="519"/>
      <c r="J54" s="518"/>
      <c r="K54" s="521"/>
      <c r="L54" s="521"/>
      <c r="M54" s="522"/>
      <c r="N54" s="516"/>
      <c r="O54" s="504"/>
      <c r="Q54" s="516">
        <f t="shared" si="0"/>
        <v>675570.23</v>
      </c>
      <c r="R54" s="516">
        <v>0</v>
      </c>
    </row>
    <row r="55" spans="1:18" x14ac:dyDescent="0.25">
      <c r="A55" s="501">
        <v>51</v>
      </c>
      <c r="B55" s="500">
        <v>4131</v>
      </c>
      <c r="C55" s="501" t="s">
        <v>345</v>
      </c>
      <c r="D55" s="502">
        <f>'Annual Rev &amp; Fees'!L56</f>
        <v>970152.23</v>
      </c>
      <c r="E55" s="513">
        <v>85501.6</v>
      </c>
      <c r="F55" s="514">
        <v>80422.78</v>
      </c>
      <c r="G55" s="542">
        <f>'Annual Rev &amp; Fees'!M56</f>
        <v>80422.789999999994</v>
      </c>
      <c r="H55" s="520"/>
      <c r="I55" s="519"/>
      <c r="J55" s="518"/>
      <c r="K55" s="521"/>
      <c r="L55" s="521"/>
      <c r="M55" s="522"/>
      <c r="N55" s="516"/>
      <c r="O55" s="504"/>
      <c r="Q55" s="516">
        <f t="shared" si="0"/>
        <v>246347.16999999998</v>
      </c>
      <c r="R55" s="516">
        <v>0</v>
      </c>
    </row>
    <row r="56" spans="1:18" x14ac:dyDescent="0.25">
      <c r="E56" s="513"/>
      <c r="F56" s="518"/>
      <c r="G56" s="519"/>
      <c r="H56" s="520"/>
      <c r="I56" s="519"/>
      <c r="J56" s="518"/>
      <c r="K56" s="521"/>
      <c r="L56" s="521"/>
      <c r="M56" s="522"/>
      <c r="N56" s="516"/>
      <c r="O56" s="504"/>
      <c r="Q56" s="516"/>
      <c r="R56" s="516"/>
    </row>
    <row r="57" spans="1:18" x14ac:dyDescent="0.25">
      <c r="E57" s="517"/>
      <c r="J57" s="504"/>
      <c r="L57" s="504"/>
      <c r="R57" s="516">
        <f t="shared" ref="R57" si="1">SUM(E57:E57)</f>
        <v>0</v>
      </c>
    </row>
    <row r="58" spans="1:18" x14ac:dyDescent="0.25">
      <c r="D58" s="794">
        <f t="shared" ref="D58:I58" si="2">SUM(D5:D57)</f>
        <v>209998121.29999995</v>
      </c>
      <c r="E58" s="795">
        <f t="shared" si="2"/>
        <v>18000576.57</v>
      </c>
      <c r="F58" s="795">
        <f t="shared" si="2"/>
        <v>17453422.200000003</v>
      </c>
      <c r="G58" s="794">
        <f t="shared" si="2"/>
        <v>17454412.300000004</v>
      </c>
      <c r="H58" s="794">
        <f t="shared" si="2"/>
        <v>0</v>
      </c>
      <c r="I58" s="794">
        <f t="shared" si="2"/>
        <v>0</v>
      </c>
      <c r="J58" s="796">
        <f>SUM(J5:J57)</f>
        <v>0</v>
      </c>
      <c r="K58" s="796">
        <f>SUM(K5:K57)</f>
        <v>0</v>
      </c>
      <c r="L58" s="797">
        <f t="shared" ref="L58:P58" si="3">SUM(L5:L57)</f>
        <v>0</v>
      </c>
      <c r="M58" s="794">
        <f>SUM(M5:M57)</f>
        <v>0</v>
      </c>
      <c r="N58" s="794">
        <f t="shared" si="3"/>
        <v>0</v>
      </c>
      <c r="O58" s="794">
        <f t="shared" si="3"/>
        <v>0</v>
      </c>
      <c r="P58" s="797">
        <f t="shared" si="3"/>
        <v>0</v>
      </c>
      <c r="Q58" s="794">
        <f>SUM(Q5:Q57)</f>
        <v>52908411.07</v>
      </c>
      <c r="R58" s="798">
        <f>SUM(E58:P58)</f>
        <v>52908411.070000008</v>
      </c>
    </row>
    <row r="59" spans="1:18" x14ac:dyDescent="0.25">
      <c r="Q59" s="502">
        <f>SUM(E59:P59)</f>
        <v>0</v>
      </c>
    </row>
    <row r="60" spans="1:18" x14ac:dyDescent="0.25">
      <c r="B60" s="549"/>
      <c r="I60" s="527" t="s">
        <v>261</v>
      </c>
      <c r="J60" s="517">
        <f>'Annual Rev &amp; Fees'!L59</f>
        <v>209998121.29999995</v>
      </c>
      <c r="L60" s="528"/>
      <c r="Q60" s="702"/>
    </row>
    <row r="61" spans="1:18" x14ac:dyDescent="0.25">
      <c r="I61" s="527" t="s">
        <v>474</v>
      </c>
      <c r="J61" s="687">
        <f>D127-Q127</f>
        <v>174544122.52999994</v>
      </c>
      <c r="L61" s="528"/>
    </row>
    <row r="62" spans="1:18" x14ac:dyDescent="0.25">
      <c r="I62" s="527" t="s">
        <v>475</v>
      </c>
      <c r="J62" s="686">
        <f>ROUND(J61/Consolidated!I157,2)</f>
        <v>17454412.25</v>
      </c>
      <c r="K62" s="530"/>
      <c r="L62" s="528"/>
    </row>
    <row r="63" spans="1:18" x14ac:dyDescent="0.25">
      <c r="I63" s="527" t="s">
        <v>476</v>
      </c>
      <c r="J63" s="687">
        <f>ROUND(G58,2)</f>
        <v>17454412.300000001</v>
      </c>
      <c r="L63" s="528"/>
    </row>
    <row r="64" spans="1:18" x14ac:dyDescent="0.25">
      <c r="J64" s="529">
        <f>J62-J63</f>
        <v>-5.000000074505806E-2</v>
      </c>
      <c r="K64" s="503" t="s">
        <v>643</v>
      </c>
      <c r="L64" s="528"/>
    </row>
    <row r="65" spans="1:18" x14ac:dyDescent="0.25">
      <c r="J65" s="528"/>
      <c r="L65" s="528"/>
    </row>
    <row r="66" spans="1:18" x14ac:dyDescent="0.25">
      <c r="D66" s="525"/>
      <c r="J66" s="528"/>
      <c r="L66" s="528"/>
    </row>
    <row r="70" spans="1:18" x14ac:dyDescent="0.25">
      <c r="N70" s="505" t="s">
        <v>477</v>
      </c>
    </row>
    <row r="72" spans="1:18" ht="45" x14ac:dyDescent="0.25">
      <c r="A72" s="507" t="s">
        <v>50</v>
      </c>
      <c r="B72" s="508" t="s">
        <v>50</v>
      </c>
      <c r="C72" s="507" t="s">
        <v>50</v>
      </c>
      <c r="D72" s="509" t="s">
        <v>261</v>
      </c>
      <c r="E72" s="509" t="s">
        <v>460</v>
      </c>
      <c r="F72" s="508" t="s">
        <v>461</v>
      </c>
      <c r="G72" s="508" t="s">
        <v>462</v>
      </c>
      <c r="H72" s="508" t="s">
        <v>463</v>
      </c>
      <c r="I72" s="508" t="s">
        <v>464</v>
      </c>
      <c r="J72" s="508" t="s">
        <v>465</v>
      </c>
      <c r="K72" s="510" t="s">
        <v>466</v>
      </c>
      <c r="L72" s="508" t="s">
        <v>467</v>
      </c>
      <c r="M72" s="508" t="s">
        <v>468</v>
      </c>
      <c r="N72" s="508" t="s">
        <v>469</v>
      </c>
      <c r="O72" s="508" t="s">
        <v>470</v>
      </c>
      <c r="P72" s="511" t="s">
        <v>471</v>
      </c>
      <c r="Q72" s="508" t="s">
        <v>123</v>
      </c>
      <c r="R72" s="711" t="s">
        <v>472</v>
      </c>
    </row>
    <row r="73" spans="1:18" x14ac:dyDescent="0.25">
      <c r="A73" s="501">
        <v>1</v>
      </c>
      <c r="B73" s="512" t="s">
        <v>269</v>
      </c>
      <c r="C73" s="501" t="s">
        <v>270</v>
      </c>
      <c r="D73" s="513">
        <f>D5</f>
        <v>0</v>
      </c>
      <c r="E73" s="513">
        <v>0</v>
      </c>
      <c r="F73" s="542">
        <v>0</v>
      </c>
      <c r="G73" s="542"/>
      <c r="H73" s="514"/>
      <c r="I73" s="514"/>
      <c r="J73" s="514"/>
      <c r="K73" s="515"/>
      <c r="L73" s="515"/>
      <c r="M73" s="514"/>
      <c r="N73" s="514"/>
      <c r="O73" s="514"/>
      <c r="P73" s="511"/>
      <c r="Q73" s="531">
        <f>SUM(E73:P73)</f>
        <v>0</v>
      </c>
      <c r="R73" s="516"/>
    </row>
    <row r="74" spans="1:18" x14ac:dyDescent="0.25">
      <c r="A74" s="501">
        <v>2</v>
      </c>
      <c r="B74" s="512" t="s">
        <v>582</v>
      </c>
      <c r="C74" s="501" t="s">
        <v>583</v>
      </c>
      <c r="D74" s="513">
        <f t="shared" ref="D74:D124" si="4">D6</f>
        <v>1010991.8999999999</v>
      </c>
      <c r="E74" s="513">
        <v>97114.58</v>
      </c>
      <c r="F74" s="542">
        <v>83079.759999999995</v>
      </c>
      <c r="G74" s="542"/>
      <c r="H74" s="514"/>
      <c r="I74" s="514"/>
      <c r="J74" s="514"/>
      <c r="K74" s="515"/>
      <c r="L74" s="515"/>
      <c r="M74" s="514"/>
      <c r="N74" s="514"/>
      <c r="O74" s="514"/>
      <c r="P74" s="511"/>
      <c r="Q74" s="531">
        <f>SUM(E74:P74)</f>
        <v>180194.34</v>
      </c>
      <c r="R74" s="516">
        <f t="shared" ref="R74:R123" si="5">SUM(E74:P74)</f>
        <v>180194.34</v>
      </c>
    </row>
    <row r="75" spans="1:18" x14ac:dyDescent="0.25">
      <c r="A75" s="501">
        <v>3</v>
      </c>
      <c r="B75" s="512" t="s">
        <v>271</v>
      </c>
      <c r="C75" s="501" t="s">
        <v>272</v>
      </c>
      <c r="D75" s="513">
        <f t="shared" si="4"/>
        <v>879484.3899999999</v>
      </c>
      <c r="E75" s="513">
        <v>74347.16</v>
      </c>
      <c r="F75" s="542">
        <v>73194.289999999994</v>
      </c>
      <c r="G75" s="542"/>
      <c r="H75" s="514"/>
      <c r="I75" s="514"/>
      <c r="J75" s="514"/>
      <c r="K75" s="515"/>
      <c r="L75" s="515"/>
      <c r="M75" s="514"/>
      <c r="N75" s="514"/>
      <c r="O75" s="514"/>
      <c r="P75" s="511"/>
      <c r="Q75" s="531">
        <f>SUM(E75:P75)</f>
        <v>147541.45000000001</v>
      </c>
      <c r="R75" s="516">
        <f t="shared" si="5"/>
        <v>147541.45000000001</v>
      </c>
    </row>
    <row r="76" spans="1:18" x14ac:dyDescent="0.25">
      <c r="A76" s="501">
        <v>4</v>
      </c>
      <c r="B76" s="500" t="s">
        <v>273</v>
      </c>
      <c r="C76" s="501" t="s">
        <v>274</v>
      </c>
      <c r="D76" s="513">
        <f t="shared" si="4"/>
        <v>7578795.21</v>
      </c>
      <c r="E76" s="513">
        <v>659118.96</v>
      </c>
      <c r="F76" s="519">
        <v>629061.48</v>
      </c>
      <c r="G76" s="519"/>
      <c r="H76" s="519"/>
      <c r="I76" s="518"/>
      <c r="J76" s="518"/>
      <c r="K76" s="521"/>
      <c r="L76" s="522"/>
      <c r="M76" s="522"/>
      <c r="N76" s="522"/>
      <c r="O76" s="504"/>
      <c r="Q76" s="531">
        <f>SUM(E76:P76)</f>
        <v>1288180.44</v>
      </c>
      <c r="R76" s="516">
        <f t="shared" si="5"/>
        <v>1288180.44</v>
      </c>
    </row>
    <row r="77" spans="1:18" x14ac:dyDescent="0.25">
      <c r="A77" s="501">
        <v>5</v>
      </c>
      <c r="B77" s="500" t="s">
        <v>275</v>
      </c>
      <c r="C77" s="501" t="s">
        <v>276</v>
      </c>
      <c r="D77" s="513">
        <f t="shared" si="4"/>
        <v>10507748.559999999</v>
      </c>
      <c r="E77" s="513">
        <v>999703.09</v>
      </c>
      <c r="F77" s="519">
        <v>864367.77</v>
      </c>
      <c r="G77" s="519"/>
      <c r="H77" s="519"/>
      <c r="I77" s="518"/>
      <c r="J77" s="518"/>
      <c r="K77" s="521"/>
      <c r="L77" s="522"/>
      <c r="M77" s="522"/>
      <c r="N77" s="522"/>
      <c r="O77" s="504"/>
      <c r="Q77" s="531">
        <f>SUM(E77:P77)</f>
        <v>1864070.8599999999</v>
      </c>
      <c r="R77" s="516">
        <f t="shared" si="5"/>
        <v>1864070.8599999999</v>
      </c>
    </row>
    <row r="78" spans="1:18" x14ac:dyDescent="0.25">
      <c r="A78" s="501">
        <v>6</v>
      </c>
      <c r="B78" s="500" t="s">
        <v>277</v>
      </c>
      <c r="C78" s="501" t="s">
        <v>278</v>
      </c>
      <c r="D78" s="513">
        <f t="shared" si="4"/>
        <v>1329553.1000000001</v>
      </c>
      <c r="E78" s="513">
        <v>111205.53</v>
      </c>
      <c r="F78" s="519">
        <v>110758.87</v>
      </c>
      <c r="G78" s="519"/>
      <c r="H78" s="519"/>
      <c r="I78" s="518"/>
      <c r="J78" s="518"/>
      <c r="K78" s="521"/>
      <c r="L78" s="522"/>
      <c r="M78" s="522"/>
      <c r="N78" s="522"/>
      <c r="O78" s="504"/>
      <c r="Q78" s="531">
        <f t="shared" ref="Q78:Q123" si="6">SUM(E78:P78)</f>
        <v>221964.4</v>
      </c>
      <c r="R78" s="516">
        <f t="shared" si="5"/>
        <v>221964.4</v>
      </c>
    </row>
    <row r="79" spans="1:18" x14ac:dyDescent="0.25">
      <c r="A79" s="501">
        <v>7</v>
      </c>
      <c r="B79" s="500" t="s">
        <v>279</v>
      </c>
      <c r="C79" s="501" t="s">
        <v>367</v>
      </c>
      <c r="D79" s="513">
        <f t="shared" si="4"/>
        <v>1445534.9299999997</v>
      </c>
      <c r="E79" s="513">
        <v>121397.44</v>
      </c>
      <c r="F79" s="519">
        <v>120376.14</v>
      </c>
      <c r="G79" s="519"/>
      <c r="H79" s="519"/>
      <c r="I79" s="518"/>
      <c r="J79" s="518"/>
      <c r="K79" s="521"/>
      <c r="L79" s="522"/>
      <c r="M79" s="522"/>
      <c r="N79" s="522"/>
      <c r="O79" s="504"/>
      <c r="Q79" s="531">
        <f t="shared" si="6"/>
        <v>241773.58000000002</v>
      </c>
      <c r="R79" s="516">
        <f t="shared" si="5"/>
        <v>241773.58000000002</v>
      </c>
    </row>
    <row r="80" spans="1:18" x14ac:dyDescent="0.25">
      <c r="A80" s="501">
        <v>8</v>
      </c>
      <c r="B80" s="500" t="s">
        <v>281</v>
      </c>
      <c r="C80" s="501" t="s">
        <v>282</v>
      </c>
      <c r="D80" s="513">
        <f t="shared" si="4"/>
        <v>5867677.0899999999</v>
      </c>
      <c r="E80" s="513">
        <v>491302.44</v>
      </c>
      <c r="F80" s="519">
        <v>488761.33</v>
      </c>
      <c r="G80" s="519"/>
      <c r="H80" s="519"/>
      <c r="I80" s="518"/>
      <c r="J80" s="518"/>
      <c r="K80" s="521"/>
      <c r="L80" s="522"/>
      <c r="M80" s="522"/>
      <c r="N80" s="522"/>
      <c r="O80" s="504"/>
      <c r="Q80" s="531">
        <f t="shared" si="6"/>
        <v>980063.77</v>
      </c>
      <c r="R80" s="516">
        <f t="shared" si="5"/>
        <v>980063.77</v>
      </c>
    </row>
    <row r="81" spans="1:18" x14ac:dyDescent="0.25">
      <c r="A81" s="501">
        <v>9</v>
      </c>
      <c r="B81" s="500" t="s">
        <v>283</v>
      </c>
      <c r="C81" s="501" t="s">
        <v>284</v>
      </c>
      <c r="D81" s="513">
        <f t="shared" si="4"/>
        <v>5117925.9400000004</v>
      </c>
      <c r="E81" s="513">
        <v>425374.59</v>
      </c>
      <c r="F81" s="519">
        <v>426595.58</v>
      </c>
      <c r="G81" s="519"/>
      <c r="H81" s="519"/>
      <c r="I81" s="518"/>
      <c r="J81" s="518"/>
      <c r="K81" s="521"/>
      <c r="L81" s="522"/>
      <c r="M81" s="522"/>
      <c r="N81" s="522"/>
      <c r="O81" s="504"/>
      <c r="Q81" s="531">
        <f t="shared" si="6"/>
        <v>851970.17</v>
      </c>
      <c r="R81" s="516">
        <f t="shared" si="5"/>
        <v>851970.17</v>
      </c>
    </row>
    <row r="82" spans="1:18" x14ac:dyDescent="0.25">
      <c r="A82" s="501">
        <v>10</v>
      </c>
      <c r="B82" s="500" t="s">
        <v>285</v>
      </c>
      <c r="C82" s="501" t="s">
        <v>286</v>
      </c>
      <c r="D82" s="513">
        <f t="shared" si="4"/>
        <v>6936527.5500000007</v>
      </c>
      <c r="E82" s="513">
        <v>585021.03</v>
      </c>
      <c r="F82" s="519">
        <v>577409.68000000005</v>
      </c>
      <c r="G82" s="519"/>
      <c r="H82" s="519"/>
      <c r="I82" s="518"/>
      <c r="J82" s="518"/>
      <c r="K82" s="521"/>
      <c r="L82" s="522"/>
      <c r="M82" s="522"/>
      <c r="N82" s="522"/>
      <c r="O82" s="504"/>
      <c r="Q82" s="531">
        <f t="shared" si="6"/>
        <v>1162430.71</v>
      </c>
      <c r="R82" s="516">
        <f t="shared" si="5"/>
        <v>1162430.71</v>
      </c>
    </row>
    <row r="83" spans="1:18" x14ac:dyDescent="0.25">
      <c r="A83" s="501">
        <v>11</v>
      </c>
      <c r="B83" s="500" t="s">
        <v>287</v>
      </c>
      <c r="C83" s="501" t="s">
        <v>288</v>
      </c>
      <c r="D83" s="513">
        <f t="shared" si="4"/>
        <v>11190698.34</v>
      </c>
      <c r="E83" s="513">
        <v>930045.01</v>
      </c>
      <c r="F83" s="519">
        <v>932786.67</v>
      </c>
      <c r="G83" s="519"/>
      <c r="H83" s="519"/>
      <c r="I83" s="518"/>
      <c r="J83" s="518"/>
      <c r="K83" s="521"/>
      <c r="L83" s="522"/>
      <c r="M83" s="522"/>
      <c r="N83" s="522"/>
      <c r="O83" s="504"/>
      <c r="Q83" s="531">
        <f t="shared" si="6"/>
        <v>1862831.6800000002</v>
      </c>
      <c r="R83" s="516">
        <f t="shared" si="5"/>
        <v>1862831.6800000002</v>
      </c>
    </row>
    <row r="84" spans="1:18" x14ac:dyDescent="0.25">
      <c r="A84" s="501">
        <v>12</v>
      </c>
      <c r="B84" s="500" t="s">
        <v>289</v>
      </c>
      <c r="C84" s="501" t="s">
        <v>290</v>
      </c>
      <c r="D84" s="513">
        <f t="shared" si="4"/>
        <v>6636088.8499999996</v>
      </c>
      <c r="E84" s="513">
        <v>556872.88</v>
      </c>
      <c r="F84" s="519">
        <v>552656</v>
      </c>
      <c r="G84" s="519"/>
      <c r="H84" s="519"/>
      <c r="I84" s="518"/>
      <c r="J84" s="518"/>
      <c r="K84" s="521"/>
      <c r="L84" s="522"/>
      <c r="M84" s="522"/>
      <c r="N84" s="522"/>
      <c r="O84" s="504"/>
      <c r="Q84" s="531">
        <f t="shared" si="6"/>
        <v>1109528.8799999999</v>
      </c>
      <c r="R84" s="516">
        <f t="shared" si="5"/>
        <v>1109528.8799999999</v>
      </c>
    </row>
    <row r="85" spans="1:18" x14ac:dyDescent="0.25">
      <c r="A85" s="501">
        <v>13</v>
      </c>
      <c r="B85" s="500" t="s">
        <v>291</v>
      </c>
      <c r="C85" s="501" t="s">
        <v>292</v>
      </c>
      <c r="D85" s="513">
        <f t="shared" si="4"/>
        <v>1131298.67</v>
      </c>
      <c r="E85" s="513">
        <v>103368.96000000001</v>
      </c>
      <c r="F85" s="519">
        <v>93448.16</v>
      </c>
      <c r="G85" s="519"/>
      <c r="H85" s="519"/>
      <c r="I85" s="518"/>
      <c r="J85" s="518"/>
      <c r="K85" s="521"/>
      <c r="L85" s="522"/>
      <c r="M85" s="522"/>
      <c r="N85" s="522"/>
      <c r="O85" s="504"/>
      <c r="Q85" s="531">
        <f t="shared" si="6"/>
        <v>196817.12</v>
      </c>
      <c r="R85" s="516">
        <f t="shared" si="5"/>
        <v>196817.12</v>
      </c>
    </row>
    <row r="86" spans="1:18" x14ac:dyDescent="0.25">
      <c r="A86" s="501">
        <v>14</v>
      </c>
      <c r="B86" s="500">
        <v>3362</v>
      </c>
      <c r="C86" s="501" t="s">
        <v>364</v>
      </c>
      <c r="D86" s="513">
        <f t="shared" si="4"/>
        <v>1419741.9000000001</v>
      </c>
      <c r="E86" s="513">
        <v>116281.74</v>
      </c>
      <c r="F86" s="519">
        <v>118496.38</v>
      </c>
      <c r="G86" s="519"/>
      <c r="H86" s="519"/>
      <c r="I86" s="518"/>
      <c r="J86" s="518"/>
      <c r="K86" s="521"/>
      <c r="L86" s="522"/>
      <c r="M86" s="522"/>
      <c r="N86" s="522"/>
      <c r="O86" s="504"/>
      <c r="Q86" s="531">
        <f t="shared" si="6"/>
        <v>234778.12</v>
      </c>
      <c r="R86" s="516">
        <f t="shared" si="5"/>
        <v>234778.12</v>
      </c>
    </row>
    <row r="87" spans="1:18" x14ac:dyDescent="0.25">
      <c r="A87" s="501">
        <v>15</v>
      </c>
      <c r="B87" s="500" t="s">
        <v>293</v>
      </c>
      <c r="C87" s="501" t="s">
        <v>294</v>
      </c>
      <c r="D87" s="513">
        <f t="shared" si="4"/>
        <v>9358031.8100000005</v>
      </c>
      <c r="E87" s="513">
        <v>790317.65</v>
      </c>
      <c r="F87" s="519">
        <v>778883.11</v>
      </c>
      <c r="G87" s="519"/>
      <c r="H87" s="519"/>
      <c r="I87" s="518"/>
      <c r="J87" s="518"/>
      <c r="K87" s="521"/>
      <c r="L87" s="522"/>
      <c r="M87" s="522"/>
      <c r="N87" s="522"/>
      <c r="O87" s="504"/>
      <c r="Q87" s="531">
        <f t="shared" si="6"/>
        <v>1569200.76</v>
      </c>
      <c r="R87" s="516">
        <f t="shared" si="5"/>
        <v>1569200.76</v>
      </c>
    </row>
    <row r="88" spans="1:18" x14ac:dyDescent="0.25">
      <c r="A88" s="501">
        <v>16</v>
      </c>
      <c r="B88" s="500" t="s">
        <v>295</v>
      </c>
      <c r="C88" s="501" t="s">
        <v>296</v>
      </c>
      <c r="D88" s="513">
        <f t="shared" si="4"/>
        <v>2346622.4400000004</v>
      </c>
      <c r="E88" s="513">
        <v>198745.57</v>
      </c>
      <c r="F88" s="519">
        <v>195261.53</v>
      </c>
      <c r="G88" s="519"/>
      <c r="H88" s="519"/>
      <c r="I88" s="518"/>
      <c r="J88" s="518"/>
      <c r="K88" s="521"/>
      <c r="L88" s="522"/>
      <c r="M88" s="522"/>
      <c r="N88" s="522"/>
      <c r="O88" s="504"/>
      <c r="Q88" s="531">
        <f t="shared" si="6"/>
        <v>394007.1</v>
      </c>
      <c r="R88" s="516">
        <f t="shared" si="5"/>
        <v>394007.1</v>
      </c>
    </row>
    <row r="89" spans="1:18" x14ac:dyDescent="0.25">
      <c r="A89" s="501">
        <v>17</v>
      </c>
      <c r="B89" s="500" t="s">
        <v>297</v>
      </c>
      <c r="C89" s="501" t="s">
        <v>298</v>
      </c>
      <c r="D89" s="513">
        <f t="shared" si="4"/>
        <v>0</v>
      </c>
      <c r="E89" s="513">
        <v>0</v>
      </c>
      <c r="F89" s="519">
        <v>0</v>
      </c>
      <c r="G89" s="519"/>
      <c r="H89" s="519"/>
      <c r="I89" s="518"/>
      <c r="J89" s="518"/>
      <c r="K89" s="521"/>
      <c r="L89" s="522"/>
      <c r="M89" s="522"/>
      <c r="N89" s="522"/>
      <c r="O89" s="504"/>
      <c r="Q89" s="531">
        <f t="shared" si="6"/>
        <v>0</v>
      </c>
      <c r="R89" s="516">
        <f t="shared" si="5"/>
        <v>0</v>
      </c>
    </row>
    <row r="90" spans="1:18" x14ac:dyDescent="0.25">
      <c r="A90" s="501">
        <v>18</v>
      </c>
      <c r="B90" s="500" t="s">
        <v>299</v>
      </c>
      <c r="C90" s="501" t="s">
        <v>300</v>
      </c>
      <c r="D90" s="513">
        <f t="shared" si="4"/>
        <v>1704202.4900000002</v>
      </c>
      <c r="E90" s="513">
        <v>140988.79999999999</v>
      </c>
      <c r="F90" s="519">
        <v>142110.34</v>
      </c>
      <c r="G90" s="519"/>
      <c r="H90" s="519"/>
      <c r="I90" s="518"/>
      <c r="J90" s="518"/>
      <c r="K90" s="521"/>
      <c r="L90" s="522"/>
      <c r="M90" s="522"/>
      <c r="N90" s="522"/>
      <c r="O90" s="504"/>
      <c r="Q90" s="531">
        <f t="shared" si="6"/>
        <v>283099.14</v>
      </c>
      <c r="R90" s="516">
        <f t="shared" si="5"/>
        <v>283099.14</v>
      </c>
    </row>
    <row r="91" spans="1:18" x14ac:dyDescent="0.25">
      <c r="A91" s="501">
        <v>19</v>
      </c>
      <c r="B91" s="500" t="s">
        <v>301</v>
      </c>
      <c r="C91" s="501" t="s">
        <v>302</v>
      </c>
      <c r="D91" s="513">
        <f t="shared" si="4"/>
        <v>4708706.13</v>
      </c>
      <c r="E91" s="513">
        <v>392880.9</v>
      </c>
      <c r="F91" s="519">
        <v>392347.75</v>
      </c>
      <c r="G91" s="519"/>
      <c r="H91" s="519"/>
      <c r="I91" s="518"/>
      <c r="J91" s="518"/>
      <c r="K91" s="521"/>
      <c r="L91" s="522"/>
      <c r="M91" s="522"/>
      <c r="N91" s="522"/>
      <c r="O91" s="504"/>
      <c r="Q91" s="531">
        <f t="shared" si="6"/>
        <v>785228.65</v>
      </c>
      <c r="R91" s="516">
        <f t="shared" si="5"/>
        <v>785228.65</v>
      </c>
    </row>
    <row r="92" spans="1:18" x14ac:dyDescent="0.25">
      <c r="A92" s="501">
        <v>20</v>
      </c>
      <c r="B92" s="500" t="s">
        <v>303</v>
      </c>
      <c r="C92" s="501" t="s">
        <v>304</v>
      </c>
      <c r="D92" s="513">
        <f t="shared" si="4"/>
        <v>6253973.1299999999</v>
      </c>
      <c r="E92" s="513">
        <v>551140.87</v>
      </c>
      <c r="F92" s="519">
        <v>518439.3</v>
      </c>
      <c r="G92" s="519"/>
      <c r="H92" s="519"/>
      <c r="I92" s="518"/>
      <c r="J92" s="518"/>
      <c r="K92" s="521"/>
      <c r="L92" s="522"/>
      <c r="M92" s="522"/>
      <c r="N92" s="522"/>
      <c r="O92" s="504"/>
      <c r="Q92" s="531">
        <f t="shared" si="6"/>
        <v>1069580.17</v>
      </c>
      <c r="R92" s="516">
        <f t="shared" si="5"/>
        <v>1069580.17</v>
      </c>
    </row>
    <row r="93" spans="1:18" x14ac:dyDescent="0.25">
      <c r="A93" s="501">
        <v>21</v>
      </c>
      <c r="B93" s="500" t="s">
        <v>305</v>
      </c>
      <c r="C93" s="501" t="s">
        <v>306</v>
      </c>
      <c r="D93" s="513">
        <f t="shared" si="4"/>
        <v>872335.59</v>
      </c>
      <c r="E93" s="513">
        <v>82371.990000000005</v>
      </c>
      <c r="F93" s="519">
        <v>71814.87</v>
      </c>
      <c r="G93" s="519"/>
      <c r="H93" s="519"/>
      <c r="I93" s="518"/>
      <c r="J93" s="518"/>
      <c r="K93" s="521"/>
      <c r="L93" s="522"/>
      <c r="M93" s="522"/>
      <c r="N93" s="522"/>
      <c r="O93" s="504"/>
      <c r="Q93" s="531">
        <f t="shared" si="6"/>
        <v>154186.85999999999</v>
      </c>
      <c r="R93" s="516">
        <f t="shared" si="5"/>
        <v>154186.85999999999</v>
      </c>
    </row>
    <row r="94" spans="1:18" x14ac:dyDescent="0.25">
      <c r="A94" s="501">
        <v>22</v>
      </c>
      <c r="B94" s="500" t="s">
        <v>307</v>
      </c>
      <c r="C94" s="501" t="s">
        <v>308</v>
      </c>
      <c r="D94" s="513">
        <f t="shared" si="4"/>
        <v>1117467.8700000001</v>
      </c>
      <c r="E94" s="513">
        <v>108668.62</v>
      </c>
      <c r="F94" s="519">
        <v>91709.02</v>
      </c>
      <c r="G94" s="519"/>
      <c r="H94" s="519"/>
      <c r="I94" s="518"/>
      <c r="J94" s="518"/>
      <c r="K94" s="521"/>
      <c r="L94" s="522"/>
      <c r="M94" s="522"/>
      <c r="N94" s="522"/>
      <c r="O94" s="504"/>
      <c r="Q94" s="531">
        <f t="shared" si="6"/>
        <v>200377.64</v>
      </c>
      <c r="R94" s="516">
        <f t="shared" si="5"/>
        <v>200377.64</v>
      </c>
    </row>
    <row r="95" spans="1:18" x14ac:dyDescent="0.25">
      <c r="A95" s="501">
        <v>23</v>
      </c>
      <c r="B95" s="500" t="s">
        <v>309</v>
      </c>
      <c r="C95" s="501" t="s">
        <v>310</v>
      </c>
      <c r="D95" s="513">
        <f t="shared" si="4"/>
        <v>3309365.27</v>
      </c>
      <c r="E95" s="513">
        <v>307859.90000000002</v>
      </c>
      <c r="F95" s="519">
        <v>272864.12</v>
      </c>
      <c r="G95" s="519"/>
      <c r="H95" s="519"/>
      <c r="I95" s="518"/>
      <c r="J95" s="518"/>
      <c r="K95" s="521"/>
      <c r="L95" s="522"/>
      <c r="M95" s="522"/>
      <c r="N95" s="522"/>
      <c r="O95" s="504"/>
      <c r="Q95" s="531">
        <f t="shared" si="6"/>
        <v>580724.02</v>
      </c>
      <c r="R95" s="516">
        <f t="shared" si="5"/>
        <v>580724.02</v>
      </c>
    </row>
    <row r="96" spans="1:18" x14ac:dyDescent="0.25">
      <c r="A96" s="501">
        <v>24</v>
      </c>
      <c r="B96" s="500" t="s">
        <v>311</v>
      </c>
      <c r="C96" s="501" t="s">
        <v>312</v>
      </c>
      <c r="D96" s="513">
        <f t="shared" si="4"/>
        <v>3543643.8800000004</v>
      </c>
      <c r="E96" s="513">
        <v>296789.01</v>
      </c>
      <c r="F96" s="519">
        <v>295168.62</v>
      </c>
      <c r="G96" s="519"/>
      <c r="H96" s="519"/>
      <c r="I96" s="518"/>
      <c r="J96" s="518"/>
      <c r="K96" s="521"/>
      <c r="L96" s="522"/>
      <c r="M96" s="522"/>
      <c r="N96" s="522"/>
      <c r="O96" s="504"/>
      <c r="Q96" s="531">
        <f t="shared" si="6"/>
        <v>591957.63</v>
      </c>
      <c r="R96" s="516">
        <f t="shared" si="5"/>
        <v>591957.63</v>
      </c>
    </row>
    <row r="97" spans="1:18" x14ac:dyDescent="0.25">
      <c r="A97" s="501">
        <v>25</v>
      </c>
      <c r="B97" s="500" t="s">
        <v>313</v>
      </c>
      <c r="C97" s="501" t="s">
        <v>314</v>
      </c>
      <c r="D97" s="513">
        <f t="shared" si="4"/>
        <v>4896438.6100000003</v>
      </c>
      <c r="E97" s="513">
        <v>454328.31</v>
      </c>
      <c r="F97" s="519">
        <v>403828.21</v>
      </c>
      <c r="G97" s="519"/>
      <c r="H97" s="519"/>
      <c r="I97" s="518"/>
      <c r="J97" s="518"/>
      <c r="K97" s="521"/>
      <c r="L97" s="522"/>
      <c r="M97" s="522"/>
      <c r="N97" s="522"/>
      <c r="O97" s="504"/>
      <c r="Q97" s="531">
        <f t="shared" si="6"/>
        <v>858156.52</v>
      </c>
      <c r="R97" s="516">
        <f t="shared" si="5"/>
        <v>858156.52</v>
      </c>
    </row>
    <row r="98" spans="1:18" x14ac:dyDescent="0.25">
      <c r="A98" s="501">
        <v>26</v>
      </c>
      <c r="B98" s="500" t="s">
        <v>315</v>
      </c>
      <c r="C98" s="501" t="s">
        <v>316</v>
      </c>
      <c r="D98" s="513">
        <f t="shared" si="4"/>
        <v>8888574.7200000007</v>
      </c>
      <c r="E98" s="513">
        <v>742534.27</v>
      </c>
      <c r="F98" s="519">
        <v>740549.13</v>
      </c>
      <c r="G98" s="519"/>
      <c r="H98" s="519"/>
      <c r="I98" s="518"/>
      <c r="J98" s="518"/>
      <c r="K98" s="521"/>
      <c r="L98" s="522"/>
      <c r="M98" s="522"/>
      <c r="N98" s="522"/>
      <c r="O98" s="504"/>
      <c r="Q98" s="531">
        <f t="shared" si="6"/>
        <v>1483083.4</v>
      </c>
      <c r="R98" s="516">
        <f t="shared" si="5"/>
        <v>1483083.4</v>
      </c>
    </row>
    <row r="99" spans="1:18" x14ac:dyDescent="0.25">
      <c r="A99" s="501">
        <v>27</v>
      </c>
      <c r="B99" s="500">
        <v>3441</v>
      </c>
      <c r="C99" s="501" t="s">
        <v>317</v>
      </c>
      <c r="D99" s="513">
        <f t="shared" si="4"/>
        <v>4654382.5600000015</v>
      </c>
      <c r="E99" s="513">
        <v>395194</v>
      </c>
      <c r="F99" s="519">
        <v>387198.96</v>
      </c>
      <c r="G99" s="519"/>
      <c r="H99" s="519"/>
      <c r="I99" s="518"/>
      <c r="J99" s="518"/>
      <c r="K99" s="521"/>
      <c r="L99" s="522"/>
      <c r="M99" s="522"/>
      <c r="N99" s="522"/>
      <c r="O99" s="504"/>
      <c r="Q99" s="531">
        <f t="shared" si="6"/>
        <v>782392.96</v>
      </c>
      <c r="R99" s="516">
        <f t="shared" si="5"/>
        <v>782392.96</v>
      </c>
    </row>
    <row r="100" spans="1:18" x14ac:dyDescent="0.25">
      <c r="A100" s="501">
        <v>28</v>
      </c>
      <c r="B100" s="500">
        <v>3924</v>
      </c>
      <c r="C100" s="501" t="s">
        <v>318</v>
      </c>
      <c r="D100" s="513">
        <f t="shared" si="4"/>
        <v>3490003.8400000008</v>
      </c>
      <c r="E100" s="513">
        <v>306843.31</v>
      </c>
      <c r="F100" s="519">
        <v>289378.23</v>
      </c>
      <c r="G100" s="519"/>
      <c r="H100" s="519"/>
      <c r="I100" s="518"/>
      <c r="J100" s="518"/>
      <c r="K100" s="521"/>
      <c r="L100" s="522"/>
      <c r="M100" s="522"/>
      <c r="N100" s="522"/>
      <c r="O100" s="504"/>
      <c r="Q100" s="531">
        <f t="shared" si="6"/>
        <v>596221.54</v>
      </c>
      <c r="R100" s="516">
        <f t="shared" si="5"/>
        <v>596221.54</v>
      </c>
    </row>
    <row r="101" spans="1:18" x14ac:dyDescent="0.25">
      <c r="A101" s="501">
        <v>29</v>
      </c>
      <c r="B101" s="500" t="s">
        <v>319</v>
      </c>
      <c r="C101" s="501" t="s">
        <v>320</v>
      </c>
      <c r="D101" s="513">
        <f t="shared" si="4"/>
        <v>2012517.4599999997</v>
      </c>
      <c r="E101" s="513">
        <v>165942.38</v>
      </c>
      <c r="F101" s="519">
        <v>167870.46</v>
      </c>
      <c r="G101" s="519"/>
      <c r="H101" s="519"/>
      <c r="I101" s="518"/>
      <c r="J101" s="518"/>
      <c r="K101" s="521"/>
      <c r="L101" s="522"/>
      <c r="M101" s="522"/>
      <c r="N101" s="522"/>
      <c r="O101" s="504"/>
      <c r="Q101" s="531">
        <f t="shared" si="6"/>
        <v>333812.83999999997</v>
      </c>
      <c r="R101" s="516">
        <f t="shared" si="5"/>
        <v>333812.83999999997</v>
      </c>
    </row>
    <row r="102" spans="1:18" x14ac:dyDescent="0.25">
      <c r="A102" s="501">
        <v>30</v>
      </c>
      <c r="B102" s="500" t="s">
        <v>321</v>
      </c>
      <c r="C102" s="501" t="s">
        <v>322</v>
      </c>
      <c r="D102" s="513">
        <f t="shared" si="4"/>
        <v>0</v>
      </c>
      <c r="E102" s="513">
        <v>0</v>
      </c>
      <c r="F102" s="519">
        <v>0</v>
      </c>
      <c r="G102" s="519"/>
      <c r="H102" s="519"/>
      <c r="I102" s="518"/>
      <c r="J102" s="518"/>
      <c r="K102" s="521"/>
      <c r="L102" s="522"/>
      <c r="M102" s="522"/>
      <c r="N102" s="522"/>
      <c r="O102" s="504"/>
      <c r="Q102" s="531">
        <f t="shared" si="6"/>
        <v>0</v>
      </c>
      <c r="R102" s="516">
        <f t="shared" si="5"/>
        <v>0</v>
      </c>
    </row>
    <row r="103" spans="1:18" x14ac:dyDescent="0.25">
      <c r="A103" s="501">
        <v>31</v>
      </c>
      <c r="B103" s="500" t="s">
        <v>323</v>
      </c>
      <c r="C103" s="501" t="s">
        <v>473</v>
      </c>
      <c r="D103" s="513">
        <f>D35</f>
        <v>5420536.370000001</v>
      </c>
      <c r="E103" s="513">
        <v>506821.35</v>
      </c>
      <c r="F103" s="513">
        <v>445801.31</v>
      </c>
      <c r="G103" s="519"/>
      <c r="H103" s="519"/>
      <c r="I103" s="518"/>
      <c r="J103" s="518"/>
      <c r="K103" s="521"/>
      <c r="L103" s="522"/>
      <c r="M103" s="522"/>
      <c r="N103" s="522"/>
      <c r="O103" s="504"/>
      <c r="Q103" s="531">
        <f>SUM(E103:P103)</f>
        <v>952622.65999999992</v>
      </c>
      <c r="R103" s="516">
        <f t="shared" si="5"/>
        <v>952622.65999999992</v>
      </c>
    </row>
    <row r="104" spans="1:18" x14ac:dyDescent="0.25">
      <c r="A104" s="501">
        <v>32</v>
      </c>
      <c r="B104" s="500" t="s">
        <v>325</v>
      </c>
      <c r="C104" s="501" t="s">
        <v>326</v>
      </c>
      <c r="D104" s="513">
        <f t="shared" si="4"/>
        <v>5637623.3699999992</v>
      </c>
      <c r="E104" s="513">
        <v>468475.14</v>
      </c>
      <c r="F104" s="519">
        <v>469922.57</v>
      </c>
      <c r="G104" s="519"/>
      <c r="H104" s="519"/>
      <c r="I104" s="518"/>
      <c r="J104" s="518"/>
      <c r="K104" s="521"/>
      <c r="L104" s="522"/>
      <c r="M104" s="522"/>
      <c r="N104" s="522"/>
      <c r="O104" s="504"/>
      <c r="Q104" s="531">
        <f t="shared" si="6"/>
        <v>938397.71</v>
      </c>
      <c r="R104" s="516">
        <f t="shared" si="5"/>
        <v>938397.71</v>
      </c>
    </row>
    <row r="105" spans="1:18" x14ac:dyDescent="0.25">
      <c r="A105" s="501">
        <v>33</v>
      </c>
      <c r="B105" s="500">
        <v>4002</v>
      </c>
      <c r="C105" s="501" t="s">
        <v>327</v>
      </c>
      <c r="D105" s="513">
        <f t="shared" si="4"/>
        <v>7768021.4899999993</v>
      </c>
      <c r="E105" s="513">
        <v>643508.92000000004</v>
      </c>
      <c r="F105" s="519">
        <v>647682.96</v>
      </c>
      <c r="G105" s="519"/>
      <c r="H105" s="519"/>
      <c r="I105" s="518"/>
      <c r="J105" s="518"/>
      <c r="K105" s="521"/>
      <c r="L105" s="522"/>
      <c r="M105" s="522"/>
      <c r="N105" s="522"/>
      <c r="O105" s="504"/>
      <c r="Q105" s="531">
        <f t="shared" si="6"/>
        <v>1291191.8799999999</v>
      </c>
      <c r="R105" s="516">
        <f t="shared" si="5"/>
        <v>1291191.8799999999</v>
      </c>
    </row>
    <row r="106" spans="1:18" x14ac:dyDescent="0.25">
      <c r="A106" s="501">
        <v>34</v>
      </c>
      <c r="B106" s="500">
        <v>4012</v>
      </c>
      <c r="C106" s="501" t="s">
        <v>328</v>
      </c>
      <c r="D106" s="513">
        <f t="shared" si="4"/>
        <v>0</v>
      </c>
      <c r="E106" s="513">
        <v>0</v>
      </c>
      <c r="F106" s="519">
        <v>0</v>
      </c>
      <c r="G106" s="519"/>
      <c r="H106" s="519"/>
      <c r="I106" s="518"/>
      <c r="J106" s="518"/>
      <c r="K106" s="521"/>
      <c r="L106" s="522"/>
      <c r="M106" s="522"/>
      <c r="N106" s="522"/>
      <c r="O106" s="504"/>
      <c r="Q106" s="531">
        <f t="shared" si="6"/>
        <v>0</v>
      </c>
      <c r="R106" s="516">
        <f t="shared" si="5"/>
        <v>0</v>
      </c>
    </row>
    <row r="107" spans="1:18" x14ac:dyDescent="0.25">
      <c r="A107" s="501">
        <v>35</v>
      </c>
      <c r="B107" s="500">
        <v>4013</v>
      </c>
      <c r="C107" s="501" t="s">
        <v>329</v>
      </c>
      <c r="D107" s="513">
        <f t="shared" si="4"/>
        <v>13591964.32</v>
      </c>
      <c r="E107" s="513">
        <v>1176953.08</v>
      </c>
      <c r="F107" s="519">
        <v>1128637.3799999999</v>
      </c>
      <c r="G107" s="519"/>
      <c r="H107" s="519"/>
      <c r="I107" s="518"/>
      <c r="J107" s="518"/>
      <c r="K107" s="521"/>
      <c r="L107" s="522"/>
      <c r="M107" s="522"/>
      <c r="N107" s="522"/>
      <c r="O107" s="504"/>
      <c r="Q107" s="531">
        <f t="shared" si="6"/>
        <v>2305590.46</v>
      </c>
      <c r="R107" s="516">
        <f t="shared" si="5"/>
        <v>2305590.46</v>
      </c>
    </row>
    <row r="108" spans="1:18" x14ac:dyDescent="0.25">
      <c r="A108" s="501">
        <v>36</v>
      </c>
      <c r="B108" s="500">
        <v>4020</v>
      </c>
      <c r="C108" s="501" t="s">
        <v>330</v>
      </c>
      <c r="D108" s="513">
        <f t="shared" si="4"/>
        <v>10997341.350000001</v>
      </c>
      <c r="E108" s="513">
        <v>918328.6</v>
      </c>
      <c r="F108" s="519">
        <v>916273.89</v>
      </c>
      <c r="G108" s="519"/>
      <c r="H108" s="519"/>
      <c r="I108" s="518"/>
      <c r="J108" s="518"/>
      <c r="K108" s="521"/>
      <c r="L108" s="522"/>
      <c r="M108" s="522"/>
      <c r="N108" s="522"/>
      <c r="O108" s="504"/>
      <c r="Q108" s="531">
        <f t="shared" si="6"/>
        <v>1834602.49</v>
      </c>
      <c r="R108" s="516">
        <f t="shared" si="5"/>
        <v>1834602.49</v>
      </c>
    </row>
    <row r="109" spans="1:18" x14ac:dyDescent="0.25">
      <c r="A109" s="501">
        <v>37</v>
      </c>
      <c r="B109" s="500">
        <v>4030</v>
      </c>
      <c r="C109" s="501" t="s">
        <v>331</v>
      </c>
      <c r="D109" s="513">
        <f t="shared" si="4"/>
        <v>0</v>
      </c>
      <c r="E109" s="513">
        <v>0</v>
      </c>
      <c r="F109" s="519">
        <v>0</v>
      </c>
      <c r="G109" s="519"/>
      <c r="H109" s="519"/>
      <c r="I109" s="518"/>
      <c r="J109" s="518"/>
      <c r="K109" s="521"/>
      <c r="L109" s="522"/>
      <c r="M109" s="522"/>
      <c r="N109" s="522"/>
      <c r="O109" s="504"/>
      <c r="Q109" s="531">
        <f t="shared" si="6"/>
        <v>0</v>
      </c>
      <c r="R109" s="516">
        <f t="shared" si="5"/>
        <v>0</v>
      </c>
    </row>
    <row r="110" spans="1:18" x14ac:dyDescent="0.25">
      <c r="A110" s="501">
        <v>38</v>
      </c>
      <c r="B110" s="500">
        <v>4031</v>
      </c>
      <c r="C110" s="501" t="s">
        <v>332</v>
      </c>
      <c r="D110" s="513">
        <f t="shared" si="4"/>
        <v>3448496.0099999993</v>
      </c>
      <c r="E110" s="513">
        <v>287911.87</v>
      </c>
      <c r="F110" s="519">
        <v>287325.83</v>
      </c>
      <c r="G110" s="519"/>
      <c r="H110" s="519"/>
      <c r="I110" s="518"/>
      <c r="J110" s="518"/>
      <c r="K110" s="521"/>
      <c r="L110" s="522"/>
      <c r="M110" s="522"/>
      <c r="N110" s="522"/>
      <c r="O110" s="504"/>
      <c r="Q110" s="531">
        <f t="shared" si="6"/>
        <v>575237.69999999995</v>
      </c>
      <c r="R110" s="516">
        <f t="shared" si="5"/>
        <v>575237.69999999995</v>
      </c>
    </row>
    <row r="111" spans="1:18" x14ac:dyDescent="0.25">
      <c r="A111" s="501">
        <v>39</v>
      </c>
      <c r="B111" s="500">
        <v>4041</v>
      </c>
      <c r="C111" s="501" t="s">
        <v>333</v>
      </c>
      <c r="D111" s="513">
        <f t="shared" si="4"/>
        <v>797427.19999999995</v>
      </c>
      <c r="E111" s="513">
        <v>68831.240000000005</v>
      </c>
      <c r="F111" s="519">
        <v>66236</v>
      </c>
      <c r="G111" s="519"/>
      <c r="H111" s="519"/>
      <c r="I111" s="518"/>
      <c r="J111" s="518"/>
      <c r="K111" s="521"/>
      <c r="L111" s="522"/>
      <c r="M111" s="522"/>
      <c r="N111" s="522"/>
      <c r="O111" s="504"/>
      <c r="Q111" s="531">
        <f t="shared" si="6"/>
        <v>135067.24</v>
      </c>
      <c r="R111" s="516">
        <f t="shared" si="5"/>
        <v>135067.24</v>
      </c>
    </row>
    <row r="112" spans="1:18" x14ac:dyDescent="0.25">
      <c r="A112" s="501">
        <v>40</v>
      </c>
      <c r="B112" s="500">
        <v>4050</v>
      </c>
      <c r="C112" s="501" t="s">
        <v>334</v>
      </c>
      <c r="D112" s="513">
        <f t="shared" si="4"/>
        <v>5545011.3000000007</v>
      </c>
      <c r="E112" s="513">
        <v>460655.69</v>
      </c>
      <c r="F112" s="519">
        <v>462214.15</v>
      </c>
      <c r="G112" s="519"/>
      <c r="H112" s="519"/>
      <c r="I112" s="518"/>
      <c r="J112" s="518"/>
      <c r="K112" s="521"/>
      <c r="L112" s="522"/>
      <c r="M112" s="522"/>
      <c r="N112" s="522"/>
      <c r="O112" s="504"/>
      <c r="Q112" s="531">
        <f t="shared" si="6"/>
        <v>922869.84000000008</v>
      </c>
      <c r="R112" s="516">
        <f t="shared" si="5"/>
        <v>922869.84000000008</v>
      </c>
    </row>
    <row r="113" spans="1:18" x14ac:dyDescent="0.25">
      <c r="A113" s="501">
        <v>41</v>
      </c>
      <c r="B113" s="500">
        <v>4051</v>
      </c>
      <c r="C113" s="501" t="s">
        <v>335</v>
      </c>
      <c r="D113" s="513">
        <f t="shared" si="4"/>
        <v>5464527.4000000004</v>
      </c>
      <c r="E113" s="513">
        <v>454031.87</v>
      </c>
      <c r="F113" s="519">
        <v>455499.59</v>
      </c>
      <c r="G113" s="519"/>
      <c r="H113" s="519"/>
      <c r="I113" s="518"/>
      <c r="J113" s="518"/>
      <c r="K113" s="521"/>
      <c r="L113" s="522"/>
      <c r="M113" s="522"/>
      <c r="N113" s="522"/>
      <c r="O113" s="504"/>
      <c r="Q113" s="531">
        <f t="shared" si="6"/>
        <v>909531.46</v>
      </c>
      <c r="R113" s="516">
        <f t="shared" si="5"/>
        <v>909531.46</v>
      </c>
    </row>
    <row r="114" spans="1:18" x14ac:dyDescent="0.25">
      <c r="A114" s="501">
        <v>42</v>
      </c>
      <c r="B114" s="500">
        <v>4061</v>
      </c>
      <c r="C114" s="501" t="s">
        <v>336</v>
      </c>
      <c r="D114" s="513">
        <f t="shared" si="4"/>
        <v>8103572.6400000006</v>
      </c>
      <c r="E114" s="513">
        <v>670518.24</v>
      </c>
      <c r="F114" s="519">
        <v>675732.22</v>
      </c>
      <c r="G114" s="519"/>
      <c r="H114" s="519"/>
      <c r="I114" s="518"/>
      <c r="J114" s="518"/>
      <c r="K114" s="521"/>
      <c r="L114" s="522"/>
      <c r="M114" s="522"/>
      <c r="N114" s="522"/>
      <c r="O114" s="504"/>
      <c r="Q114" s="531">
        <f t="shared" si="6"/>
        <v>1346250.46</v>
      </c>
      <c r="R114" s="516">
        <f t="shared" si="5"/>
        <v>1346250.46</v>
      </c>
    </row>
    <row r="115" spans="1:18" x14ac:dyDescent="0.25">
      <c r="A115" s="501">
        <v>43</v>
      </c>
      <c r="B115" s="500">
        <v>4080</v>
      </c>
      <c r="C115" s="501" t="s">
        <v>337</v>
      </c>
      <c r="D115" s="513">
        <f t="shared" si="4"/>
        <v>0</v>
      </c>
      <c r="E115" s="513">
        <v>0</v>
      </c>
      <c r="F115" s="519">
        <v>0</v>
      </c>
      <c r="G115" s="519"/>
      <c r="H115" s="519"/>
      <c r="I115" s="518"/>
      <c r="J115" s="518"/>
      <c r="K115" s="521"/>
      <c r="L115" s="522"/>
      <c r="M115" s="522"/>
      <c r="N115" s="522"/>
      <c r="O115" s="504"/>
      <c r="Q115" s="531">
        <f>SUM(E115:P115)</f>
        <v>0</v>
      </c>
      <c r="R115" s="516">
        <f t="shared" si="5"/>
        <v>0</v>
      </c>
    </row>
    <row r="116" spans="1:18" x14ac:dyDescent="0.25">
      <c r="A116" s="501">
        <v>44</v>
      </c>
      <c r="B116" s="500">
        <v>4081</v>
      </c>
      <c r="C116" s="501" t="s">
        <v>338</v>
      </c>
      <c r="D116" s="513">
        <f t="shared" si="4"/>
        <v>992739.73999999987</v>
      </c>
      <c r="E116" s="513">
        <v>91315.47</v>
      </c>
      <c r="F116" s="519">
        <v>81947.66</v>
      </c>
      <c r="G116" s="519"/>
      <c r="H116" s="519"/>
      <c r="I116" s="518"/>
      <c r="J116" s="518"/>
      <c r="K116" s="521"/>
      <c r="L116" s="522"/>
      <c r="M116" s="522"/>
      <c r="N116" s="522"/>
      <c r="O116" s="504"/>
      <c r="Q116" s="531">
        <f t="shared" si="6"/>
        <v>173263.13</v>
      </c>
      <c r="R116" s="516">
        <f t="shared" si="5"/>
        <v>173263.13</v>
      </c>
    </row>
    <row r="117" spans="1:18" x14ac:dyDescent="0.25">
      <c r="A117" s="501">
        <v>45</v>
      </c>
      <c r="B117" s="500">
        <v>4090</v>
      </c>
      <c r="C117" s="501" t="s">
        <v>339</v>
      </c>
      <c r="D117" s="513">
        <f t="shared" si="4"/>
        <v>2659136.88</v>
      </c>
      <c r="E117" s="513">
        <v>225526.69</v>
      </c>
      <c r="F117" s="519">
        <v>221237.29</v>
      </c>
      <c r="G117" s="519"/>
      <c r="H117" s="519"/>
      <c r="I117" s="518"/>
      <c r="J117" s="518"/>
      <c r="K117" s="521"/>
      <c r="L117" s="522"/>
      <c r="M117" s="522"/>
      <c r="N117" s="522"/>
      <c r="O117" s="504"/>
      <c r="Q117" s="531">
        <f t="shared" si="6"/>
        <v>446763.98</v>
      </c>
      <c r="R117" s="516">
        <f t="shared" si="5"/>
        <v>446763.98</v>
      </c>
    </row>
    <row r="118" spans="1:18" x14ac:dyDescent="0.25">
      <c r="A118" s="501">
        <v>46</v>
      </c>
      <c r="B118" s="500">
        <v>4091</v>
      </c>
      <c r="C118" s="501" t="s">
        <v>340</v>
      </c>
      <c r="D118" s="513">
        <f t="shared" si="4"/>
        <v>3521940.07</v>
      </c>
      <c r="E118" s="513">
        <v>290339.40000000002</v>
      </c>
      <c r="F118" s="519">
        <v>293781.88</v>
      </c>
      <c r="G118" s="519"/>
      <c r="H118" s="519"/>
      <c r="I118" s="518"/>
      <c r="J118" s="518"/>
      <c r="K118" s="521"/>
      <c r="L118" s="522"/>
      <c r="M118" s="522"/>
      <c r="N118" s="522"/>
      <c r="O118" s="504"/>
      <c r="Q118" s="531">
        <f t="shared" si="6"/>
        <v>584121.28</v>
      </c>
      <c r="R118" s="516">
        <f t="shared" si="5"/>
        <v>584121.28</v>
      </c>
    </row>
    <row r="119" spans="1:18" x14ac:dyDescent="0.25">
      <c r="A119" s="501">
        <v>47</v>
      </c>
      <c r="B119" s="500">
        <v>4100</v>
      </c>
      <c r="C119" s="501" t="s">
        <v>341</v>
      </c>
      <c r="D119" s="513">
        <f t="shared" si="4"/>
        <v>4315819.2600000007</v>
      </c>
      <c r="E119" s="513">
        <v>361399.67</v>
      </c>
      <c r="F119" s="519">
        <v>359492.69</v>
      </c>
      <c r="G119" s="519"/>
      <c r="H119" s="519"/>
      <c r="I119" s="518"/>
      <c r="J119" s="518"/>
      <c r="K119" s="521"/>
      <c r="L119" s="522"/>
      <c r="M119" s="522"/>
      <c r="N119" s="522"/>
      <c r="O119" s="504"/>
      <c r="Q119" s="531">
        <f t="shared" si="6"/>
        <v>720892.36</v>
      </c>
      <c r="R119" s="516">
        <f t="shared" si="5"/>
        <v>720892.36</v>
      </c>
    </row>
    <row r="120" spans="1:18" x14ac:dyDescent="0.25">
      <c r="A120" s="501">
        <v>48</v>
      </c>
      <c r="B120" s="500">
        <v>4102</v>
      </c>
      <c r="C120" s="501" t="s">
        <v>342</v>
      </c>
      <c r="D120" s="513">
        <f t="shared" si="4"/>
        <v>1550886.1700000004</v>
      </c>
      <c r="E120" s="513">
        <v>127768.72</v>
      </c>
      <c r="F120" s="519">
        <v>129374.31</v>
      </c>
      <c r="G120" s="519"/>
      <c r="H120" s="519"/>
      <c r="I120" s="518"/>
      <c r="J120" s="518"/>
      <c r="K120" s="521"/>
      <c r="L120" s="522"/>
      <c r="M120" s="522"/>
      <c r="N120" s="522"/>
      <c r="O120" s="504"/>
      <c r="Q120" s="531">
        <f t="shared" si="6"/>
        <v>257143.03</v>
      </c>
      <c r="R120" s="516">
        <f t="shared" si="5"/>
        <v>257143.03</v>
      </c>
    </row>
    <row r="121" spans="1:18" x14ac:dyDescent="0.25">
      <c r="A121" s="501">
        <v>49</v>
      </c>
      <c r="B121" s="500">
        <v>4103</v>
      </c>
      <c r="C121" s="501" t="s">
        <v>343</v>
      </c>
      <c r="D121" s="513">
        <f t="shared" si="4"/>
        <v>8351403.1699999981</v>
      </c>
      <c r="E121" s="513">
        <v>720830.88</v>
      </c>
      <c r="F121" s="519">
        <v>693688.39</v>
      </c>
      <c r="G121" s="519"/>
      <c r="H121" s="519"/>
      <c r="I121" s="518"/>
      <c r="J121" s="518"/>
      <c r="K121" s="521"/>
      <c r="L121" s="522"/>
      <c r="M121" s="522"/>
      <c r="N121" s="522"/>
      <c r="O121" s="504"/>
      <c r="Q121" s="516">
        <f t="shared" si="6"/>
        <v>1414519.27</v>
      </c>
      <c r="R121" s="516">
        <f t="shared" si="5"/>
        <v>1414519.27</v>
      </c>
    </row>
    <row r="122" spans="1:18" x14ac:dyDescent="0.25">
      <c r="A122" s="501">
        <v>50</v>
      </c>
      <c r="B122" s="500">
        <v>4111</v>
      </c>
      <c r="C122" s="501" t="s">
        <v>344</v>
      </c>
      <c r="D122" s="513">
        <f t="shared" si="4"/>
        <v>2653190.0999999996</v>
      </c>
      <c r="E122" s="513">
        <v>236099.15</v>
      </c>
      <c r="F122" s="519">
        <v>219735.54</v>
      </c>
      <c r="G122" s="519"/>
      <c r="H122" s="519"/>
      <c r="I122" s="518"/>
      <c r="J122" s="518"/>
      <c r="K122" s="521"/>
      <c r="L122" s="522"/>
      <c r="M122" s="522"/>
      <c r="N122" s="522"/>
      <c r="O122" s="504"/>
      <c r="Q122" s="516">
        <f t="shared" si="6"/>
        <v>455834.69</v>
      </c>
      <c r="R122" s="516">
        <f t="shared" si="5"/>
        <v>455834.69</v>
      </c>
    </row>
    <row r="123" spans="1:18" x14ac:dyDescent="0.25">
      <c r="A123" s="501">
        <v>51</v>
      </c>
      <c r="B123" s="500">
        <v>4131</v>
      </c>
      <c r="C123" s="501" t="s">
        <v>345</v>
      </c>
      <c r="D123" s="513">
        <f t="shared" si="4"/>
        <v>970152.23</v>
      </c>
      <c r="E123" s="513">
        <v>85501.6</v>
      </c>
      <c r="F123" s="519">
        <v>80422.78</v>
      </c>
      <c r="G123" s="519"/>
      <c r="H123" s="519"/>
      <c r="I123" s="518"/>
      <c r="J123" s="518"/>
      <c r="K123" s="521"/>
      <c r="L123" s="522"/>
      <c r="M123" s="522"/>
      <c r="N123" s="522"/>
      <c r="O123" s="504"/>
      <c r="Q123" s="516">
        <f t="shared" si="6"/>
        <v>165924.38</v>
      </c>
      <c r="R123" s="516">
        <f t="shared" si="5"/>
        <v>165924.38</v>
      </c>
    </row>
    <row r="124" spans="1:18" x14ac:dyDescent="0.25">
      <c r="A124" s="501">
        <v>52</v>
      </c>
      <c r="B124" s="500">
        <v>4141</v>
      </c>
      <c r="C124" s="501" t="s">
        <v>604</v>
      </c>
      <c r="D124" s="513">
        <f t="shared" si="4"/>
        <v>0</v>
      </c>
      <c r="E124" s="513"/>
      <c r="F124" s="519"/>
      <c r="G124" s="519"/>
      <c r="H124" s="519"/>
      <c r="I124" s="518"/>
      <c r="J124" s="518"/>
      <c r="K124" s="521"/>
      <c r="L124" s="522"/>
      <c r="M124" s="522"/>
      <c r="N124" s="522"/>
      <c r="O124" s="504"/>
      <c r="Q124" s="516"/>
      <c r="R124" s="516"/>
    </row>
    <row r="125" spans="1:18" x14ac:dyDescent="0.25">
      <c r="E125" s="517"/>
    </row>
    <row r="126" spans="1:18" x14ac:dyDescent="0.25">
      <c r="E126" s="517"/>
    </row>
    <row r="127" spans="1:18" x14ac:dyDescent="0.25">
      <c r="D127" s="502">
        <f>SUM(D73:D125)</f>
        <v>209998121.29999995</v>
      </c>
      <c r="E127" s="502">
        <f>SUM(E73:E125)</f>
        <v>18000576.57</v>
      </c>
      <c r="F127" s="502">
        <f t="shared" ref="F127:P127" si="7">SUM(F73:F125)</f>
        <v>17453422.200000007</v>
      </c>
      <c r="G127" s="502">
        <f t="shared" si="7"/>
        <v>0</v>
      </c>
      <c r="H127" s="502">
        <f t="shared" si="7"/>
        <v>0</v>
      </c>
      <c r="I127" s="502">
        <f t="shared" si="7"/>
        <v>0</v>
      </c>
      <c r="J127" s="502">
        <f t="shared" si="7"/>
        <v>0</v>
      </c>
      <c r="K127" s="502">
        <f t="shared" si="7"/>
        <v>0</v>
      </c>
      <c r="L127" s="502">
        <f t="shared" si="7"/>
        <v>0</v>
      </c>
      <c r="M127" s="502">
        <f t="shared" si="7"/>
        <v>0</v>
      </c>
      <c r="N127" s="502">
        <f t="shared" si="7"/>
        <v>0</v>
      </c>
      <c r="O127" s="502">
        <f t="shared" si="7"/>
        <v>0</v>
      </c>
      <c r="P127" s="502">
        <f t="shared" si="7"/>
        <v>0</v>
      </c>
      <c r="Q127" s="502">
        <f>SUM(Q73:Q125)</f>
        <v>35453998.770000003</v>
      </c>
      <c r="R127" s="502">
        <f>SUM(R73:R125)</f>
        <v>35453998.770000003</v>
      </c>
    </row>
    <row r="129" spans="4:17" x14ac:dyDescent="0.25">
      <c r="D129" s="502">
        <f t="shared" ref="D129:Q129" si="8">D58-D127</f>
        <v>0</v>
      </c>
      <c r="E129" s="502">
        <f t="shared" si="8"/>
        <v>0</v>
      </c>
      <c r="F129" s="526">
        <f>F58-F127</f>
        <v>0</v>
      </c>
      <c r="G129" s="502">
        <f t="shared" si="8"/>
        <v>17454412.300000004</v>
      </c>
      <c r="H129" s="502">
        <f t="shared" si="8"/>
        <v>0</v>
      </c>
      <c r="I129" s="502">
        <f t="shared" si="8"/>
        <v>0</v>
      </c>
      <c r="J129" s="502">
        <f t="shared" si="8"/>
        <v>0</v>
      </c>
      <c r="K129" s="502">
        <f t="shared" si="8"/>
        <v>0</v>
      </c>
      <c r="L129" s="502">
        <f t="shared" si="8"/>
        <v>0</v>
      </c>
      <c r="M129" s="502">
        <f t="shared" si="8"/>
        <v>0</v>
      </c>
      <c r="N129" s="502">
        <f t="shared" si="8"/>
        <v>0</v>
      </c>
      <c r="O129" s="502">
        <f t="shared" si="8"/>
        <v>0</v>
      </c>
      <c r="P129" s="502">
        <f t="shared" si="8"/>
        <v>0</v>
      </c>
      <c r="Q129" s="502">
        <f t="shared" si="8"/>
        <v>17454412.299999997</v>
      </c>
    </row>
    <row r="130" spans="4:17" x14ac:dyDescent="0.25">
      <c r="E130" s="517"/>
      <c r="Q130" s="908">
        <f>SUM(D129:P129)-Q129</f>
        <v>0</v>
      </c>
    </row>
  </sheetData>
  <pageMargins left="0.7" right="0.7" top="0.75" bottom="0.75" header="0.3" footer="0.3"/>
  <pageSetup scale="44" fitToHeight="0" orientation="landscape" r:id="rId1"/>
  <ignoredErrors>
    <ignoredError sqref="Q74:Q123 Q5:Q7 Q8:Q46 Q48:Q55 R74:R12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topLeftCell="A64" zoomScaleNormal="100" workbookViewId="0">
      <selection activeCell="J78" sqref="J78"/>
    </sheetView>
  </sheetViews>
  <sheetFormatPr defaultColWidth="9.140625" defaultRowHeight="15.75" x14ac:dyDescent="0.25"/>
  <cols>
    <col min="1" max="1" width="10.28515625" style="399" customWidth="1"/>
    <col min="2" max="2" width="30.28515625" style="351" bestFit="1" customWidth="1"/>
    <col min="3" max="3" width="14" style="351" customWidth="1"/>
    <col min="4" max="4" width="11.5703125" style="351" customWidth="1"/>
    <col min="5" max="5" width="14" style="351" customWidth="1"/>
    <col min="6" max="6" width="18.140625" style="351" customWidth="1"/>
    <col min="7" max="7" width="7.42578125" style="351" customWidth="1"/>
    <col min="8" max="8" width="15.7109375" style="351" customWidth="1"/>
    <col min="9" max="9" width="23.7109375" style="351" customWidth="1"/>
    <col min="10" max="10" width="14.5703125" style="351" bestFit="1" customWidth="1"/>
    <col min="11" max="11" width="16.85546875" style="351" bestFit="1" customWidth="1"/>
    <col min="12" max="12" width="15.7109375" style="351" bestFit="1" customWidth="1"/>
    <col min="13" max="21" width="9.140625" style="351"/>
    <col min="22" max="22" width="12.85546875" style="351" customWidth="1"/>
    <col min="23" max="23" width="9.140625" style="351"/>
    <col min="24" max="24" width="12.85546875" style="351" customWidth="1"/>
    <col min="25" max="25" width="14.140625" style="351" customWidth="1"/>
    <col min="26" max="16384" width="9.140625" style="351"/>
  </cols>
  <sheetData>
    <row r="1" spans="1:12" ht="16.5" thickBot="1" x14ac:dyDescent="0.3">
      <c r="A1" s="350"/>
      <c r="B1" s="933" t="s">
        <v>0</v>
      </c>
      <c r="C1" s="934"/>
      <c r="D1" s="934"/>
      <c r="E1" s="934"/>
      <c r="F1" s="934"/>
      <c r="G1" s="934"/>
      <c r="H1" s="934"/>
      <c r="I1" s="934"/>
    </row>
    <row r="2" spans="1:12" ht="21" x14ac:dyDescent="0.35">
      <c r="A2" s="352" t="s">
        <v>380</v>
      </c>
      <c r="B2" s="353"/>
      <c r="C2" s="353"/>
      <c r="D2" s="353"/>
      <c r="E2" s="353"/>
      <c r="F2" s="353"/>
      <c r="G2" s="353"/>
      <c r="H2" s="353"/>
      <c r="I2" s="353"/>
    </row>
    <row r="3" spans="1:12" x14ac:dyDescent="0.25">
      <c r="A3" s="940" t="s">
        <v>646</v>
      </c>
      <c r="B3" s="940"/>
      <c r="C3" s="940"/>
      <c r="D3" s="940"/>
      <c r="E3" s="940"/>
      <c r="F3" s="940"/>
      <c r="G3" s="940"/>
      <c r="H3" s="940"/>
      <c r="I3" s="940"/>
      <c r="J3" s="940"/>
    </row>
    <row r="4" spans="1:12" x14ac:dyDescent="0.25">
      <c r="A4" s="935" t="s">
        <v>2</v>
      </c>
      <c r="B4" s="935"/>
      <c r="C4" s="936" t="s">
        <v>177</v>
      </c>
      <c r="D4" s="936"/>
      <c r="E4" s="936"/>
      <c r="F4" s="355"/>
      <c r="G4" s="356"/>
      <c r="H4" s="701">
        <v>46266</v>
      </c>
      <c r="I4" s="356"/>
    </row>
    <row r="5" spans="1:12" ht="12" customHeight="1" thickBot="1" x14ac:dyDescent="0.3">
      <c r="A5" s="357"/>
      <c r="B5" s="357"/>
      <c r="C5" s="358"/>
      <c r="D5" s="358"/>
      <c r="E5" s="358"/>
      <c r="F5" s="359"/>
      <c r="G5" s="359"/>
      <c r="H5" s="359"/>
      <c r="I5" s="359"/>
    </row>
    <row r="6" spans="1:12" ht="12" customHeight="1" x14ac:dyDescent="0.25">
      <c r="A6" s="360"/>
      <c r="B6" s="360"/>
      <c r="C6" s="361"/>
      <c r="D6" s="361"/>
      <c r="E6" s="361"/>
      <c r="F6" s="356"/>
      <c r="G6" s="356"/>
      <c r="H6" s="356"/>
      <c r="I6" s="356"/>
    </row>
    <row r="7" spans="1:12" x14ac:dyDescent="0.25">
      <c r="A7" s="351" t="s">
        <v>3</v>
      </c>
      <c r="B7" s="659"/>
      <c r="C7" s="659"/>
      <c r="D7" s="659"/>
      <c r="E7" s="659"/>
      <c r="F7" s="659"/>
      <c r="G7" s="659"/>
      <c r="H7" s="659"/>
      <c r="I7" s="659"/>
    </row>
    <row r="8" spans="1:12" x14ac:dyDescent="0.25">
      <c r="A8" s="362"/>
      <c r="B8" s="363" t="s">
        <v>381</v>
      </c>
      <c r="C8" s="906">
        <v>5457.6</v>
      </c>
      <c r="D8" s="365"/>
      <c r="E8" s="366"/>
      <c r="F8" s="362"/>
      <c r="G8" s="363" t="s">
        <v>382</v>
      </c>
      <c r="H8" s="852">
        <v>1.0309999999999999</v>
      </c>
      <c r="I8" s="368"/>
    </row>
    <row r="9" spans="1:12" x14ac:dyDescent="0.25">
      <c r="A9" s="362"/>
      <c r="B9" s="363"/>
      <c r="C9" s="364"/>
      <c r="D9" s="365"/>
      <c r="E9" s="366"/>
      <c r="F9" s="362"/>
      <c r="G9" s="363" t="s">
        <v>383</v>
      </c>
      <c r="H9" s="367">
        <v>1</v>
      </c>
      <c r="I9" s="368"/>
    </row>
    <row r="10" spans="1:12" x14ac:dyDescent="0.25">
      <c r="A10" s="369"/>
      <c r="B10" s="369"/>
      <c r="C10" s="370"/>
      <c r="D10" s="370"/>
      <c r="E10" s="370"/>
      <c r="F10" s="371"/>
      <c r="G10" s="371"/>
      <c r="H10" s="372"/>
      <c r="I10" s="373" t="s">
        <v>7</v>
      </c>
    </row>
    <row r="11" spans="1:12" x14ac:dyDescent="0.25">
      <c r="A11" s="369"/>
      <c r="B11" s="369"/>
      <c r="C11" s="374" t="s">
        <v>589</v>
      </c>
      <c r="D11" s="431" t="s">
        <v>590</v>
      </c>
      <c r="E11" s="375" t="s">
        <v>123</v>
      </c>
      <c r="F11" s="937" t="s">
        <v>8</v>
      </c>
      <c r="G11" s="937"/>
      <c r="H11" s="372" t="s">
        <v>9</v>
      </c>
      <c r="I11" s="376" t="s">
        <v>10</v>
      </c>
    </row>
    <row r="12" spans="1:12" x14ac:dyDescent="0.25">
      <c r="A12" s="938" t="s">
        <v>8</v>
      </c>
      <c r="B12" s="938"/>
      <c r="C12" s="377" t="s">
        <v>52</v>
      </c>
      <c r="D12" s="377" t="s">
        <v>52</v>
      </c>
      <c r="E12" s="378" t="s">
        <v>52</v>
      </c>
      <c r="F12" s="939" t="s">
        <v>12</v>
      </c>
      <c r="G12" s="939"/>
      <c r="H12" s="379" t="s">
        <v>13</v>
      </c>
      <c r="I12" s="380" t="s">
        <v>14</v>
      </c>
    </row>
    <row r="13" spans="1:12" x14ac:dyDescent="0.25">
      <c r="A13" s="928" t="s">
        <v>15</v>
      </c>
      <c r="B13" s="928"/>
      <c r="C13" s="381"/>
      <c r="D13" s="381"/>
      <c r="E13" s="382" t="s">
        <v>16</v>
      </c>
      <c r="F13" s="929" t="s">
        <v>17</v>
      </c>
      <c r="G13" s="929"/>
      <c r="H13" s="383" t="s">
        <v>18</v>
      </c>
      <c r="I13" s="384" t="s">
        <v>19</v>
      </c>
    </row>
    <row r="14" spans="1:12" x14ac:dyDescent="0.25">
      <c r="A14" s="930" t="s">
        <v>20</v>
      </c>
      <c r="B14" s="930"/>
      <c r="C14" s="385">
        <f>SUM('0040:4141'!C12)</f>
        <v>1934.19</v>
      </c>
      <c r="D14" s="385">
        <f>SUM('0040:4141'!D12)</f>
        <v>1868.49</v>
      </c>
      <c r="E14" s="392">
        <f>SUM('0040:4141'!E12)</f>
        <v>3802.68</v>
      </c>
      <c r="F14" s="931">
        <v>1.107</v>
      </c>
      <c r="G14" s="931"/>
      <c r="H14" s="387">
        <f>SUM('0040:4141'!I12)</f>
        <v>4209.5667999999996</v>
      </c>
      <c r="I14" s="543">
        <f>SUM('0040:4141'!J12)</f>
        <v>23686329.859999996</v>
      </c>
      <c r="L14" s="452"/>
    </row>
    <row r="15" spans="1:12" x14ac:dyDescent="0.25">
      <c r="A15" s="932" t="s">
        <v>21</v>
      </c>
      <c r="B15" s="932"/>
      <c r="C15" s="389">
        <f>SUM('0040:4141'!C13)</f>
        <v>305</v>
      </c>
      <c r="D15" s="389">
        <f>SUM('0040:4141'!D13)</f>
        <v>331.87</v>
      </c>
      <c r="E15" s="386">
        <f>SUM('0040:4141'!E13)</f>
        <v>636.86999999999989</v>
      </c>
      <c r="F15" s="931">
        <v>1.107</v>
      </c>
      <c r="G15" s="931"/>
      <c r="H15" s="387">
        <f>SUM('0040:4141'!I13)</f>
        <v>705.01520000000016</v>
      </c>
      <c r="I15" s="543">
        <f>SUM('0040:4141'!J13)</f>
        <v>3966969.3499999992</v>
      </c>
      <c r="L15" s="452"/>
    </row>
    <row r="16" spans="1:12" x14ac:dyDescent="0.25">
      <c r="A16" s="932" t="s">
        <v>22</v>
      </c>
      <c r="B16" s="932"/>
      <c r="C16" s="389">
        <f>SUM('0040:4141'!C14)</f>
        <v>3241.36</v>
      </c>
      <c r="D16" s="389">
        <f>SUM('0040:4141'!D14)</f>
        <v>3189.1200000000008</v>
      </c>
      <c r="E16" s="386">
        <f>SUM('0040:4141'!E14)</f>
        <v>6430.48</v>
      </c>
      <c r="F16" s="931">
        <v>1</v>
      </c>
      <c r="G16" s="931"/>
      <c r="H16" s="387">
        <f>SUM('0040:4141'!I14)</f>
        <v>6430.48</v>
      </c>
      <c r="I16" s="543">
        <f>SUM('0040:4141'!J14)</f>
        <v>36182932.240000002</v>
      </c>
      <c r="L16" s="452"/>
    </row>
    <row r="17" spans="1:12" x14ac:dyDescent="0.25">
      <c r="A17" s="932" t="s">
        <v>23</v>
      </c>
      <c r="B17" s="932"/>
      <c r="C17" s="389">
        <f>SUM('0040:4141'!C15)</f>
        <v>638.86999999999989</v>
      </c>
      <c r="D17" s="389">
        <f>SUM('0040:4141'!D15)</f>
        <v>629.75999999999988</v>
      </c>
      <c r="E17" s="386">
        <f>SUM('0040:4141'!E15)</f>
        <v>1268.6299999999999</v>
      </c>
      <c r="F17" s="931">
        <v>1</v>
      </c>
      <c r="G17" s="931"/>
      <c r="H17" s="387">
        <f>SUM('0040:4141'!I15)</f>
        <v>1268.6299999999999</v>
      </c>
      <c r="I17" s="543">
        <f>SUM('0040:4141'!J15)</f>
        <v>7138309.0199999996</v>
      </c>
      <c r="L17" s="452"/>
    </row>
    <row r="18" spans="1:12" x14ac:dyDescent="0.25">
      <c r="A18" s="932" t="s">
        <v>24</v>
      </c>
      <c r="B18" s="932"/>
      <c r="C18" s="389">
        <f>SUM('0040:4141'!C16)</f>
        <v>2167.9199999999996</v>
      </c>
      <c r="D18" s="389">
        <f>SUM('0040:4141'!D16)</f>
        <v>2195.3199999999997</v>
      </c>
      <c r="E18" s="386">
        <f>SUM('0040:4141'!E16)</f>
        <v>4363.2400000000007</v>
      </c>
      <c r="F18" s="931">
        <v>0.96499999999999997</v>
      </c>
      <c r="G18" s="931"/>
      <c r="H18" s="387">
        <f>SUM('0040:4141'!I16)</f>
        <v>4210.5269000000008</v>
      </c>
      <c r="I18" s="543">
        <f>SUM('0040:4141'!J16)</f>
        <v>23691732.140000001</v>
      </c>
      <c r="L18" s="452"/>
    </row>
    <row r="19" spans="1:12" x14ac:dyDescent="0.25">
      <c r="A19" s="932" t="s">
        <v>25</v>
      </c>
      <c r="B19" s="932"/>
      <c r="C19" s="389">
        <f>SUM('0040:4141'!C17)</f>
        <v>657.85</v>
      </c>
      <c r="D19" s="389">
        <f>SUM('0040:4141'!D17)</f>
        <v>669</v>
      </c>
      <c r="E19" s="386">
        <f>SUM('0040:4141'!E17)</f>
        <v>1326.8500000000001</v>
      </c>
      <c r="F19" s="931">
        <v>0.96499999999999997</v>
      </c>
      <c r="G19" s="931"/>
      <c r="H19" s="387">
        <f>SUM('0040:4141'!I17)</f>
        <v>1280.4106999999999</v>
      </c>
      <c r="I19" s="543">
        <f>SUM('0040:4141'!J17)</f>
        <v>7204596.4799999986</v>
      </c>
      <c r="L19" s="452"/>
    </row>
    <row r="20" spans="1:12" x14ac:dyDescent="0.25">
      <c r="A20" s="932" t="s">
        <v>384</v>
      </c>
      <c r="B20" s="932"/>
      <c r="C20" s="389">
        <f>SUM('0040:4141'!C18)</f>
        <v>99</v>
      </c>
      <c r="D20" s="389">
        <f>SUM('0040:4141'!D18)</f>
        <v>89.44</v>
      </c>
      <c r="E20" s="386">
        <f>SUM('0040:4141'!E18)</f>
        <v>188.44</v>
      </c>
      <c r="F20" s="931">
        <v>3.5150000000000001</v>
      </c>
      <c r="G20" s="931"/>
      <c r="H20" s="387">
        <f>SUM('0040:4141'!I18)</f>
        <v>662.36670000000004</v>
      </c>
      <c r="I20" s="543">
        <f>SUM('0040:4141'!J18)</f>
        <v>3726995.41</v>
      </c>
      <c r="L20" s="452"/>
    </row>
    <row r="21" spans="1:12" x14ac:dyDescent="0.25">
      <c r="A21" s="932" t="s">
        <v>385</v>
      </c>
      <c r="B21" s="932"/>
      <c r="C21" s="389">
        <f>SUM('0040:4141'!C19)</f>
        <v>70</v>
      </c>
      <c r="D21" s="389">
        <f>SUM('0040:4141'!D19)</f>
        <v>64.5</v>
      </c>
      <c r="E21" s="386">
        <f>SUM('0040:4141'!E19)</f>
        <v>134.5</v>
      </c>
      <c r="F21" s="931">
        <v>3.5150000000000001</v>
      </c>
      <c r="G21" s="931"/>
      <c r="H21" s="387">
        <f>SUM('0040:4141'!I19)</f>
        <v>472.76749999999998</v>
      </c>
      <c r="I21" s="543">
        <f>SUM('0040:4141'!J19)</f>
        <v>2660161.35</v>
      </c>
      <c r="L21" s="452"/>
    </row>
    <row r="22" spans="1:12" x14ac:dyDescent="0.25">
      <c r="A22" s="932" t="s">
        <v>386</v>
      </c>
      <c r="B22" s="932"/>
      <c r="C22" s="389">
        <f>SUM('0040:4141'!C20)</f>
        <v>74.849999999999994</v>
      </c>
      <c r="D22" s="389">
        <f>SUM('0040:4141'!D20)</f>
        <v>72.41</v>
      </c>
      <c r="E22" s="386">
        <f>SUM('0040:4141'!E20)</f>
        <v>147.26</v>
      </c>
      <c r="F22" s="931">
        <v>3.5150000000000001</v>
      </c>
      <c r="G22" s="931"/>
      <c r="H22" s="387">
        <f>SUM('0040:4141'!I20)</f>
        <v>517.61900000000003</v>
      </c>
      <c r="I22" s="543">
        <f>SUM('0040:4141'!J20)</f>
        <v>2912531.14</v>
      </c>
      <c r="L22" s="452"/>
    </row>
    <row r="23" spans="1:12" x14ac:dyDescent="0.25">
      <c r="A23" s="932" t="s">
        <v>387</v>
      </c>
      <c r="B23" s="932"/>
      <c r="C23" s="389">
        <f>SUM('0040:4141'!C21)</f>
        <v>49.5</v>
      </c>
      <c r="D23" s="389">
        <f>SUM('0040:4141'!D21)</f>
        <v>67.47</v>
      </c>
      <c r="E23" s="386">
        <f>SUM('0040:4141'!E21)</f>
        <v>116.97</v>
      </c>
      <c r="F23" s="931">
        <v>5.9059999999999997</v>
      </c>
      <c r="G23" s="931"/>
      <c r="H23" s="387">
        <f>SUM('0040:4141'!I21)</f>
        <v>690.8248000000001</v>
      </c>
      <c r="I23" s="543">
        <f>SUM('0040:4141'!J21)</f>
        <v>3887123.04</v>
      </c>
      <c r="L23" s="452"/>
    </row>
    <row r="24" spans="1:12" x14ac:dyDescent="0.25">
      <c r="A24" s="932" t="s">
        <v>388</v>
      </c>
      <c r="B24" s="932"/>
      <c r="C24" s="389">
        <f>SUM('0040:4141'!C22)</f>
        <v>64.5</v>
      </c>
      <c r="D24" s="389">
        <f>SUM('0040:4141'!D22)</f>
        <v>71</v>
      </c>
      <c r="E24" s="386">
        <f>SUM('0040:4141'!E22)</f>
        <v>135.5</v>
      </c>
      <c r="F24" s="931">
        <v>5.9059999999999997</v>
      </c>
      <c r="G24" s="931"/>
      <c r="H24" s="387">
        <f>SUM('0040:4141'!I22)</f>
        <v>800.26299999999992</v>
      </c>
      <c r="I24" s="543">
        <f>SUM('0040:4141'!J22)</f>
        <v>4502908.32</v>
      </c>
      <c r="L24" s="452"/>
    </row>
    <row r="25" spans="1:12" x14ac:dyDescent="0.25">
      <c r="A25" s="932" t="s">
        <v>389</v>
      </c>
      <c r="B25" s="932"/>
      <c r="C25" s="389">
        <f>SUM('0040:4141'!C23)</f>
        <v>45</v>
      </c>
      <c r="D25" s="389">
        <f>SUM('0040:4141'!D23)</f>
        <v>45.55</v>
      </c>
      <c r="E25" s="386">
        <f>SUM('0040:4141'!E23)</f>
        <v>90.55</v>
      </c>
      <c r="F25" s="931">
        <v>5.9059999999999997</v>
      </c>
      <c r="G25" s="931"/>
      <c r="H25" s="387">
        <f>SUM('0040:4141'!I23)</f>
        <v>534.78830000000005</v>
      </c>
      <c r="I25" s="543">
        <f>SUM('0040:4141'!J23)</f>
        <v>3009139.1100000003</v>
      </c>
      <c r="L25" s="452"/>
    </row>
    <row r="26" spans="1:12" x14ac:dyDescent="0.25">
      <c r="A26" s="932" t="s">
        <v>390</v>
      </c>
      <c r="B26" s="932"/>
      <c r="C26" s="389">
        <f>SUM('0040:4141'!C24)</f>
        <v>514.78</v>
      </c>
      <c r="D26" s="389">
        <f>SUM('0040:4141'!D24)</f>
        <v>506.59</v>
      </c>
      <c r="E26" s="386">
        <f>SUM('0040:4141'!E24)</f>
        <v>1021.3700000000001</v>
      </c>
      <c r="F26" s="931">
        <v>1.161</v>
      </c>
      <c r="G26" s="931"/>
      <c r="H26" s="387">
        <f>SUM('0040:4141'!I24)</f>
        <v>1185.8107</v>
      </c>
      <c r="I26" s="543">
        <f>SUM('0040:4141'!J24)</f>
        <v>6672302.5899999999</v>
      </c>
      <c r="L26" s="452"/>
    </row>
    <row r="27" spans="1:12" x14ac:dyDescent="0.25">
      <c r="A27" s="932" t="s">
        <v>391</v>
      </c>
      <c r="B27" s="932"/>
      <c r="C27" s="389">
        <f>SUM('0040:4141'!C25)</f>
        <v>270.77</v>
      </c>
      <c r="D27" s="389">
        <f>SUM('0040:4141'!D25)</f>
        <v>275.16999999999996</v>
      </c>
      <c r="E27" s="386">
        <f>SUM('0040:4141'!E25)</f>
        <v>545.94000000000005</v>
      </c>
      <c r="F27" s="931">
        <v>1.161</v>
      </c>
      <c r="G27" s="931"/>
      <c r="H27" s="387">
        <f>SUM('0040:4141'!I25)</f>
        <v>633.83639999999991</v>
      </c>
      <c r="I27" s="543">
        <f>SUM('0040:4141'!J25)</f>
        <v>3566461.5400000005</v>
      </c>
      <c r="L27" s="452"/>
    </row>
    <row r="28" spans="1:12" x14ac:dyDescent="0.25">
      <c r="A28" s="932" t="s">
        <v>392</v>
      </c>
      <c r="B28" s="932"/>
      <c r="C28" s="389">
        <f>SUM('0040:4141'!C26)</f>
        <v>149.35</v>
      </c>
      <c r="D28" s="389">
        <f>SUM('0040:4141'!D26)</f>
        <v>157.73000000000002</v>
      </c>
      <c r="E28" s="386">
        <f>SUM('0040:4141'!E26)</f>
        <v>307.08000000000004</v>
      </c>
      <c r="F28" s="931">
        <v>1.161</v>
      </c>
      <c r="G28" s="931"/>
      <c r="H28" s="387">
        <f>SUM('0040:4141'!I26)</f>
        <v>356.52000000000004</v>
      </c>
      <c r="I28" s="543">
        <f>SUM('0040:4141'!J26)</f>
        <v>2006061.59</v>
      </c>
      <c r="L28" s="452"/>
    </row>
    <row r="29" spans="1:12" x14ac:dyDescent="0.25">
      <c r="A29" s="932" t="s">
        <v>393</v>
      </c>
      <c r="B29" s="932"/>
      <c r="C29" s="389">
        <f>SUM('0040:4141'!C27)</f>
        <v>307.3</v>
      </c>
      <c r="D29" s="389">
        <f>SUM('0040:4141'!D27)</f>
        <v>298.26000000000005</v>
      </c>
      <c r="E29" s="386">
        <f>SUM('0040:4141'!E27)</f>
        <v>605.56000000000006</v>
      </c>
      <c r="F29" s="931">
        <v>1.0900000000000001</v>
      </c>
      <c r="G29" s="931"/>
      <c r="H29" s="387">
        <f>SUM('0040:4141'!I27)</f>
        <v>660.06040000000007</v>
      </c>
      <c r="I29" s="543">
        <f>SUM('0040:4141'!J27)</f>
        <v>3714018.3500000006</v>
      </c>
      <c r="L29" s="452"/>
    </row>
    <row r="30" spans="1:12" x14ac:dyDescent="0.25">
      <c r="A30" s="942" t="s">
        <v>394</v>
      </c>
      <c r="B30" s="943"/>
      <c r="C30" s="391">
        <f>SUM(C14:C29)</f>
        <v>10590.240000000002</v>
      </c>
      <c r="D30" s="391">
        <f>SUM(D14:D29)</f>
        <v>10531.68</v>
      </c>
      <c r="E30" s="392">
        <f>SUM(E14:E29)</f>
        <v>21121.919999999995</v>
      </c>
      <c r="F30" s="945"/>
      <c r="G30" s="945"/>
      <c r="H30" s="393">
        <f>SUM('0040:4141'!I28)</f>
        <v>24619.486400000002</v>
      </c>
      <c r="I30" s="544">
        <f>SUM('0040:4141'!J28)</f>
        <v>138528571.53000003</v>
      </c>
      <c r="K30" s="683">
        <v>138948443.70999998</v>
      </c>
    </row>
    <row r="31" spans="1:12" x14ac:dyDescent="0.25">
      <c r="A31" s="354" t="s">
        <v>395</v>
      </c>
      <c r="B31" s="394"/>
      <c r="C31" s="389">
        <f>SUM('0040:4141'!C29)</f>
        <v>0</v>
      </c>
      <c r="D31" s="389">
        <f>SUM('0040:4141'!D29)</f>
        <v>0</v>
      </c>
      <c r="E31" s="386">
        <f>IF(D$30=0,C31*2,C31+D31)</f>
        <v>0</v>
      </c>
      <c r="F31" s="941">
        <v>0</v>
      </c>
      <c r="G31" s="941"/>
      <c r="H31" s="543">
        <f t="shared" ref="H31" si="0">ROUND(E31*F31,4)</f>
        <v>0</v>
      </c>
      <c r="I31" s="388"/>
    </row>
    <row r="32" spans="1:12" x14ac:dyDescent="0.25">
      <c r="A32" s="942" t="s">
        <v>396</v>
      </c>
      <c r="B32" s="943"/>
      <c r="C32" s="395">
        <f>SUM(C30:C31)</f>
        <v>10590.240000000002</v>
      </c>
      <c r="D32" s="395">
        <f>SUM(D30:D31)</f>
        <v>10531.68</v>
      </c>
      <c r="E32" s="395">
        <f>SUM(E30:E31)</f>
        <v>21121.919999999995</v>
      </c>
      <c r="F32" s="396"/>
      <c r="G32" s="396"/>
      <c r="H32" s="387"/>
      <c r="I32" s="543">
        <f>SUM('0040:4141'!J30)</f>
        <v>0</v>
      </c>
      <c r="K32" s="452"/>
    </row>
    <row r="33" spans="1:9" x14ac:dyDescent="0.25">
      <c r="A33" s="397"/>
      <c r="B33" s="397"/>
      <c r="C33" s="388"/>
      <c r="D33" s="388"/>
      <c r="E33" s="388"/>
      <c r="F33" s="396"/>
      <c r="G33" s="396"/>
      <c r="H33" s="387"/>
      <c r="I33" s="388"/>
    </row>
    <row r="34" spans="1:9" x14ac:dyDescent="0.25">
      <c r="A34" s="398" t="s">
        <v>37</v>
      </c>
      <c r="B34" s="397"/>
      <c r="C34" s="388"/>
      <c r="D34" s="388"/>
      <c r="E34" s="388"/>
      <c r="F34" s="396"/>
      <c r="G34" s="396"/>
      <c r="H34" s="387"/>
      <c r="I34" s="388"/>
    </row>
    <row r="35" spans="1:9" hidden="1" x14ac:dyDescent="0.25">
      <c r="A35" s="398"/>
      <c r="B35" s="397"/>
      <c r="C35" s="388"/>
      <c r="D35" s="388"/>
      <c r="E35" s="388"/>
      <c r="F35" s="396"/>
      <c r="G35" s="396"/>
      <c r="H35" s="387"/>
      <c r="I35" s="388"/>
    </row>
    <row r="36" spans="1:9" hidden="1" x14ac:dyDescent="0.25">
      <c r="A36" s="351"/>
      <c r="B36" s="399"/>
      <c r="C36" s="399"/>
      <c r="D36" s="399"/>
      <c r="E36" s="399"/>
      <c r="F36" s="399"/>
      <c r="G36" s="399"/>
      <c r="H36" s="399"/>
      <c r="I36" s="400" t="s">
        <v>397</v>
      </c>
    </row>
    <row r="37" spans="1:9" hidden="1" x14ac:dyDescent="0.25">
      <c r="A37" s="397"/>
      <c r="B37" s="397"/>
      <c r="C37" s="374" t="str">
        <f>C11</f>
        <v>Oct 2025</v>
      </c>
      <c r="D37" s="374" t="str">
        <f>D11</f>
        <v>Feb 2026</v>
      </c>
      <c r="E37" s="375" t="s">
        <v>123</v>
      </c>
      <c r="F37" s="396"/>
      <c r="G37" s="396"/>
      <c r="H37" s="401"/>
      <c r="I37" s="402" t="s">
        <v>10</v>
      </c>
    </row>
    <row r="38" spans="1:9" hidden="1" x14ac:dyDescent="0.25">
      <c r="A38" s="938" t="s">
        <v>398</v>
      </c>
      <c r="B38" s="938"/>
      <c r="C38" s="403" t="s">
        <v>52</v>
      </c>
      <c r="D38" s="403" t="s">
        <v>52</v>
      </c>
      <c r="E38" s="378" t="s">
        <v>52</v>
      </c>
      <c r="F38" s="404"/>
      <c r="G38" s="404"/>
      <c r="H38" s="404"/>
      <c r="I38" s="405" t="s">
        <v>399</v>
      </c>
    </row>
    <row r="39" spans="1:9" hidden="1" x14ac:dyDescent="0.25">
      <c r="A39" s="930" t="s">
        <v>91</v>
      </c>
      <c r="B39" s="930"/>
      <c r="C39" s="406">
        <v>0</v>
      </c>
      <c r="D39" s="406">
        <v>0</v>
      </c>
      <c r="E39" s="392">
        <f>+C39+D39</f>
        <v>0</v>
      </c>
      <c r="F39" s="407"/>
      <c r="G39" s="407"/>
      <c r="H39" s="407"/>
      <c r="I39" s="391"/>
    </row>
    <row r="40" spans="1:9" hidden="1" x14ac:dyDescent="0.25">
      <c r="A40" s="932" t="s">
        <v>92</v>
      </c>
      <c r="B40" s="932"/>
      <c r="C40" s="408">
        <v>0</v>
      </c>
      <c r="D40" s="408">
        <v>0</v>
      </c>
      <c r="E40" s="386">
        <f t="shared" ref="E40:E44" si="1">+C40+D40</f>
        <v>0</v>
      </c>
      <c r="F40" s="409"/>
      <c r="G40" s="409"/>
      <c r="H40" s="409"/>
      <c r="I40" s="388"/>
    </row>
    <row r="41" spans="1:9" hidden="1" x14ac:dyDescent="0.25">
      <c r="A41" s="944" t="s">
        <v>93</v>
      </c>
      <c r="B41" s="944"/>
      <c r="C41" s="408">
        <v>0</v>
      </c>
      <c r="D41" s="408">
        <v>0</v>
      </c>
      <c r="E41" s="386">
        <f t="shared" si="1"/>
        <v>0</v>
      </c>
      <c r="F41" s="409"/>
      <c r="G41" s="409"/>
      <c r="H41" s="409"/>
      <c r="I41" s="388"/>
    </row>
    <row r="42" spans="1:9" hidden="1" x14ac:dyDescent="0.25">
      <c r="A42" s="932" t="s">
        <v>94</v>
      </c>
      <c r="B42" s="932"/>
      <c r="C42" s="408">
        <v>0</v>
      </c>
      <c r="D42" s="408">
        <v>0</v>
      </c>
      <c r="E42" s="386">
        <f t="shared" si="1"/>
        <v>0</v>
      </c>
      <c r="F42" s="409"/>
      <c r="G42" s="409"/>
      <c r="H42" s="409"/>
      <c r="I42" s="388"/>
    </row>
    <row r="43" spans="1:9" hidden="1" x14ac:dyDescent="0.25">
      <c r="A43" s="932" t="s">
        <v>95</v>
      </c>
      <c r="B43" s="932"/>
      <c r="C43" s="408">
        <v>0</v>
      </c>
      <c r="D43" s="408">
        <v>0</v>
      </c>
      <c r="E43" s="386">
        <f t="shared" si="1"/>
        <v>0</v>
      </c>
      <c r="F43" s="409"/>
      <c r="G43" s="409"/>
      <c r="H43" s="409"/>
      <c r="I43" s="388"/>
    </row>
    <row r="44" spans="1:9" hidden="1" x14ac:dyDescent="0.25">
      <c r="A44" s="932" t="s">
        <v>41</v>
      </c>
      <c r="B44" s="932"/>
      <c r="C44" s="410">
        <v>0</v>
      </c>
      <c r="D44" s="410">
        <v>0</v>
      </c>
      <c r="E44" s="411">
        <f t="shared" si="1"/>
        <v>0</v>
      </c>
      <c r="F44" s="409"/>
      <c r="G44" s="409"/>
      <c r="H44" s="409"/>
      <c r="I44" s="412"/>
    </row>
    <row r="45" spans="1:9" hidden="1" x14ac:dyDescent="0.25">
      <c r="A45" s="351"/>
      <c r="B45" s="413" t="s">
        <v>400</v>
      </c>
      <c r="C45" s="395">
        <f>SUM(C39:C44)</f>
        <v>0</v>
      </c>
      <c r="D45" s="395">
        <f>SUM(D39:D44)</f>
        <v>0</v>
      </c>
      <c r="E45" s="395">
        <f>SUM(E39:E44)</f>
        <v>0</v>
      </c>
      <c r="F45" s="414"/>
      <c r="G45" s="415"/>
      <c r="H45" s="416" t="s">
        <v>401</v>
      </c>
      <c r="I45" s="395">
        <f>SUM(I39:I44)</f>
        <v>0</v>
      </c>
    </row>
    <row r="46" spans="1:9" hidden="1" x14ac:dyDescent="0.25">
      <c r="A46" s="351"/>
      <c r="B46" s="413"/>
      <c r="C46" s="388"/>
      <c r="D46" s="388"/>
      <c r="E46" s="391"/>
      <c r="F46" s="414"/>
      <c r="G46" s="415"/>
      <c r="H46" s="416"/>
      <c r="I46" s="388"/>
    </row>
    <row r="47" spans="1:9" ht="16.5" hidden="1" thickBot="1" x14ac:dyDescent="0.3">
      <c r="A47" s="351"/>
      <c r="B47" s="413" t="s">
        <v>402</v>
      </c>
      <c r="E47" s="417">
        <f>H30+E45</f>
        <v>24619.486400000002</v>
      </c>
      <c r="F47" s="418"/>
      <c r="G47" s="415"/>
      <c r="H47" s="416" t="s">
        <v>403</v>
      </c>
      <c r="I47" s="412">
        <f>SUM(I45,I32)</f>
        <v>0</v>
      </c>
    </row>
    <row r="48" spans="1:9" x14ac:dyDescent="0.25">
      <c r="A48" s="397"/>
      <c r="B48" s="397"/>
      <c r="C48" s="397"/>
      <c r="D48" s="397"/>
      <c r="E48" s="397"/>
      <c r="F48" s="418"/>
      <c r="G48" s="396"/>
      <c r="H48" s="396"/>
      <c r="I48" s="388"/>
    </row>
    <row r="49" spans="1:11" x14ac:dyDescent="0.25">
      <c r="A49" s="397"/>
      <c r="B49" s="397"/>
      <c r="C49" s="397"/>
      <c r="D49" s="397"/>
      <c r="E49" s="397"/>
      <c r="F49" s="418"/>
      <c r="G49" s="396"/>
      <c r="H49" s="396"/>
      <c r="I49" s="388"/>
    </row>
    <row r="50" spans="1:11" x14ac:dyDescent="0.25">
      <c r="A50" s="354" t="s">
        <v>404</v>
      </c>
      <c r="B50" s="397"/>
      <c r="C50" s="397"/>
      <c r="D50" s="397"/>
      <c r="E50" s="397"/>
      <c r="F50" s="418"/>
      <c r="G50" s="396"/>
      <c r="H50" s="396"/>
      <c r="I50" s="388"/>
    </row>
    <row r="51" spans="1:11" s="420" customFormat="1" ht="9" customHeight="1" x14ac:dyDescent="0.25">
      <c r="A51" s="419" t="s">
        <v>405</v>
      </c>
      <c r="F51" s="421"/>
      <c r="G51" s="422"/>
      <c r="H51" s="422"/>
      <c r="I51" s="423"/>
    </row>
    <row r="52" spans="1:11" s="420" customFormat="1" ht="11.25" customHeight="1" x14ac:dyDescent="0.25">
      <c r="A52" s="424" t="s">
        <v>406</v>
      </c>
      <c r="F52" s="421"/>
      <c r="G52" s="422"/>
      <c r="H52" s="422"/>
      <c r="I52" s="423"/>
    </row>
    <row r="53" spans="1:11" x14ac:dyDescent="0.25">
      <c r="A53" s="425"/>
      <c r="B53" s="351" t="s">
        <v>644</v>
      </c>
      <c r="C53" s="397"/>
      <c r="D53" s="397"/>
      <c r="E53" s="426" t="s">
        <v>407</v>
      </c>
      <c r="F53" s="543">
        <f>SUM('0040:4141'!G36)</f>
        <v>138528571.53000003</v>
      </c>
      <c r="G53" s="428" t="s">
        <v>79</v>
      </c>
      <c r="H53" s="853">
        <v>7.1400000000000005E-2</v>
      </c>
      <c r="I53" s="545">
        <f>SUM('0040:4141'!J36)</f>
        <v>9890940.0000000019</v>
      </c>
      <c r="K53" s="430">
        <f>F53*H53</f>
        <v>9890940.0072420035</v>
      </c>
    </row>
    <row r="54" spans="1:11" x14ac:dyDescent="0.25">
      <c r="A54" s="397"/>
      <c r="B54" s="849" t="s">
        <v>645</v>
      </c>
      <c r="C54" s="397"/>
      <c r="D54" s="397"/>
      <c r="E54" s="426" t="s">
        <v>407</v>
      </c>
      <c r="F54" s="543">
        <f>SUM('0040:4141'!G37)</f>
        <v>138528571.53000003</v>
      </c>
      <c r="G54" s="428" t="s">
        <v>79</v>
      </c>
      <c r="H54" s="853">
        <v>1.06E-2</v>
      </c>
      <c r="I54" s="545">
        <f>SUM('0040:4141'!J37)</f>
        <v>1468402.8599999996</v>
      </c>
      <c r="K54" s="430">
        <f>F54*0.0054</f>
        <v>748054.28626200021</v>
      </c>
    </row>
    <row r="55" spans="1:11" x14ac:dyDescent="0.25">
      <c r="A55" s="397"/>
      <c r="B55" s="354" t="s">
        <v>408</v>
      </c>
      <c r="C55" s="397"/>
      <c r="D55" s="397"/>
      <c r="E55" s="426"/>
      <c r="F55" s="427"/>
      <c r="G55" s="428"/>
      <c r="H55" s="429"/>
      <c r="I55" s="395">
        <f>SUM(I53:I54)</f>
        <v>11359342.860000001</v>
      </c>
    </row>
    <row r="56" spans="1:11" x14ac:dyDescent="0.25">
      <c r="A56" s="397"/>
      <c r="B56" s="397"/>
      <c r="C56" s="397"/>
      <c r="D56" s="397"/>
      <c r="E56" s="397"/>
      <c r="F56" s="418"/>
      <c r="G56" s="396"/>
      <c r="H56" s="396"/>
      <c r="I56" s="388"/>
    </row>
    <row r="57" spans="1:11" x14ac:dyDescent="0.25">
      <c r="A57" s="397"/>
      <c r="B57" s="397"/>
      <c r="C57" s="374" t="str">
        <f>C11</f>
        <v>Oct 2025</v>
      </c>
      <c r="D57" s="431" t="str">
        <f t="shared" ref="D57:D58" si="2">D11</f>
        <v>Feb 2026</v>
      </c>
      <c r="E57" s="375" t="s">
        <v>123</v>
      </c>
      <c r="F57" s="432" t="s">
        <v>409</v>
      </c>
      <c r="G57" s="428" t="s">
        <v>410</v>
      </c>
      <c r="H57" s="433" t="s">
        <v>411</v>
      </c>
      <c r="I57" s="388"/>
    </row>
    <row r="58" spans="1:11" x14ac:dyDescent="0.25">
      <c r="A58" s="434" t="s">
        <v>51</v>
      </c>
      <c r="B58" s="434"/>
      <c r="C58" s="403" t="str">
        <f t="shared" ref="C58" si="3">C12</f>
        <v>FTE</v>
      </c>
      <c r="D58" s="403" t="str">
        <f t="shared" si="2"/>
        <v>FTE</v>
      </c>
      <c r="E58" s="378" t="s">
        <v>52</v>
      </c>
      <c r="F58" s="435" t="s">
        <v>412</v>
      </c>
      <c r="G58" s="436" t="s">
        <v>412</v>
      </c>
      <c r="H58" s="437" t="s">
        <v>413</v>
      </c>
      <c r="I58" s="434"/>
    </row>
    <row r="59" spans="1:11" ht="15.75" customHeight="1" x14ac:dyDescent="0.25">
      <c r="A59" s="950" t="s">
        <v>414</v>
      </c>
      <c r="B59" s="950"/>
      <c r="C59" s="389">
        <f>SUM('0040:4141'!C41)</f>
        <v>247.82</v>
      </c>
      <c r="D59" s="389">
        <f>SUM('0040:4141'!D41)</f>
        <v>275.10999999999996</v>
      </c>
      <c r="E59" s="386">
        <f>SUM('0040:4141'!E41)</f>
        <v>522.93000000000006</v>
      </c>
      <c r="F59" s="438" t="s">
        <v>57</v>
      </c>
      <c r="G59" s="438">
        <v>251</v>
      </c>
      <c r="H59" s="439">
        <v>1047</v>
      </c>
      <c r="I59" s="386">
        <f>SUM('0040:4141'!J41)</f>
        <v>547507.71</v>
      </c>
    </row>
    <row r="60" spans="1:11" x14ac:dyDescent="0.25">
      <c r="A60" s="951"/>
      <c r="B60" s="951"/>
      <c r="C60" s="389">
        <f>SUM('0040:4141'!C42)</f>
        <v>42.74</v>
      </c>
      <c r="D60" s="389">
        <f>SUM('0040:4141'!D42)</f>
        <v>46.96</v>
      </c>
      <c r="E60" s="386">
        <f>SUM('0040:4141'!E42)</f>
        <v>89.699999999999989</v>
      </c>
      <c r="F60" s="438" t="s">
        <v>57</v>
      </c>
      <c r="G60" s="438">
        <v>252</v>
      </c>
      <c r="H60" s="439">
        <v>3380</v>
      </c>
      <c r="I60" s="386">
        <f>SUM('0040:4141'!J42)</f>
        <v>303186</v>
      </c>
    </row>
    <row r="61" spans="1:11" x14ac:dyDescent="0.25">
      <c r="A61" s="951"/>
      <c r="B61" s="951"/>
      <c r="C61" s="389">
        <f>SUM('0040:4141'!C43)</f>
        <v>14.44</v>
      </c>
      <c r="D61" s="389">
        <f>SUM('0040:4141'!D43)</f>
        <v>9.7999999999999989</v>
      </c>
      <c r="E61" s="386">
        <f>SUM('0040:4141'!E43)</f>
        <v>24.24</v>
      </c>
      <c r="F61" s="438" t="s">
        <v>57</v>
      </c>
      <c r="G61" s="438">
        <v>253</v>
      </c>
      <c r="H61" s="439">
        <v>6896</v>
      </c>
      <c r="I61" s="386">
        <f>SUM('0040:4141'!J43)</f>
        <v>167159.03999999998</v>
      </c>
    </row>
    <row r="62" spans="1:11" x14ac:dyDescent="0.25">
      <c r="A62" s="951"/>
      <c r="B62" s="951"/>
      <c r="C62" s="389">
        <f>SUM('0040:4141'!C44)</f>
        <v>547.40999999999985</v>
      </c>
      <c r="D62" s="389">
        <f>SUM('0040:4141'!D44)</f>
        <v>541.87</v>
      </c>
      <c r="E62" s="386">
        <f>SUM('0040:4141'!E44)</f>
        <v>1089.2799999999997</v>
      </c>
      <c r="F62" s="440" t="s">
        <v>58</v>
      </c>
      <c r="G62" s="438">
        <v>251</v>
      </c>
      <c r="H62" s="439">
        <v>1173</v>
      </c>
      <c r="I62" s="386">
        <f>SUM('0040:4141'!J44)</f>
        <v>1277725.44</v>
      </c>
    </row>
    <row r="63" spans="1:11" x14ac:dyDescent="0.25">
      <c r="A63" s="951"/>
      <c r="B63" s="951"/>
      <c r="C63" s="389">
        <f>SUM('0040:4141'!C45)</f>
        <v>76.950000000000017</v>
      </c>
      <c r="D63" s="389">
        <f>SUM('0040:4141'!D45)</f>
        <v>74.53</v>
      </c>
      <c r="E63" s="386">
        <f>SUM('0040:4141'!E45)</f>
        <v>151.47999999999999</v>
      </c>
      <c r="F63" s="440" t="s">
        <v>58</v>
      </c>
      <c r="G63" s="438">
        <v>252</v>
      </c>
      <c r="H63" s="439">
        <v>3506</v>
      </c>
      <c r="I63" s="386">
        <f>SUM('0040:4141'!J45)</f>
        <v>531088.88000000012</v>
      </c>
    </row>
    <row r="64" spans="1:11" x14ac:dyDescent="0.25">
      <c r="A64" s="951"/>
      <c r="B64" s="951"/>
      <c r="C64" s="389">
        <f>SUM('0040:4141'!C46)</f>
        <v>14.51</v>
      </c>
      <c r="D64" s="389">
        <f>SUM('0040:4141'!D46)</f>
        <v>13.36</v>
      </c>
      <c r="E64" s="386">
        <f>SUM('0040:4141'!E46)</f>
        <v>27.869999999999997</v>
      </c>
      <c r="F64" s="440" t="s">
        <v>58</v>
      </c>
      <c r="G64" s="438">
        <v>253</v>
      </c>
      <c r="H64" s="439">
        <v>7023</v>
      </c>
      <c r="I64" s="386">
        <f>SUM('0040:4141'!J46)</f>
        <v>195731.01</v>
      </c>
    </row>
    <row r="65" spans="1:9" x14ac:dyDescent="0.25">
      <c r="A65" s="951"/>
      <c r="B65" s="951"/>
      <c r="C65" s="389">
        <f>SUM('0040:4141'!C47)</f>
        <v>467.72</v>
      </c>
      <c r="D65" s="389">
        <f>SUM('0040:4141'!D47)</f>
        <v>478.68000000000006</v>
      </c>
      <c r="E65" s="386">
        <f>SUM('0040:4141'!E47)</f>
        <v>946.9000000000002</v>
      </c>
      <c r="F65" s="440" t="s">
        <v>59</v>
      </c>
      <c r="G65" s="438">
        <v>251</v>
      </c>
      <c r="H65" s="439">
        <v>835</v>
      </c>
      <c r="I65" s="386">
        <f>SUM('0040:4141'!J47)</f>
        <v>790661.49999999977</v>
      </c>
    </row>
    <row r="66" spans="1:9" x14ac:dyDescent="0.25">
      <c r="A66" s="951"/>
      <c r="B66" s="951"/>
      <c r="C66" s="389">
        <f>SUM('0040:4141'!C48)</f>
        <v>84.86999999999999</v>
      </c>
      <c r="D66" s="389">
        <f>SUM('0040:4141'!D48)</f>
        <v>85.84</v>
      </c>
      <c r="E66" s="386">
        <f>SUM('0040:4141'!E48)</f>
        <v>170.70999999999998</v>
      </c>
      <c r="F66" s="440" t="s">
        <v>59</v>
      </c>
      <c r="G66" s="438">
        <v>252</v>
      </c>
      <c r="H66" s="439">
        <v>3168</v>
      </c>
      <c r="I66" s="386">
        <f>SUM('0040:4141'!J48)</f>
        <v>540809.28</v>
      </c>
    </row>
    <row r="67" spans="1:9" x14ac:dyDescent="0.25">
      <c r="A67" s="951"/>
      <c r="B67" s="951"/>
      <c r="C67" s="389">
        <f>SUM('0040:4141'!C49)</f>
        <v>105.26</v>
      </c>
      <c r="D67" s="389">
        <f>SUM('0040:4141'!D49)</f>
        <v>104.47999999999999</v>
      </c>
      <c r="E67" s="386">
        <f>SUM('0040:4141'!E49)</f>
        <v>209.74</v>
      </c>
      <c r="F67" s="440" t="s">
        <v>59</v>
      </c>
      <c r="G67" s="438">
        <v>253</v>
      </c>
      <c r="H67" s="439">
        <v>6685</v>
      </c>
      <c r="I67" s="386">
        <f>SUM('0040:4141'!J49)</f>
        <v>1402111.9000000001</v>
      </c>
    </row>
    <row r="68" spans="1:9" x14ac:dyDescent="0.25">
      <c r="C68" s="395">
        <f>SUM(C59:C67)</f>
        <v>1601.7199999999998</v>
      </c>
      <c r="D68" s="395">
        <f>SUM(D59:D67)</f>
        <v>1630.6299999999999</v>
      </c>
      <c r="E68" s="395">
        <f>SUM(E59:E67)</f>
        <v>3232.8500000000004</v>
      </c>
      <c r="F68" s="952" t="s">
        <v>61</v>
      </c>
      <c r="G68" s="952"/>
      <c r="H68" s="952"/>
      <c r="I68" s="395">
        <f>SUM(I59:I67)</f>
        <v>5755980.7600000007</v>
      </c>
    </row>
    <row r="69" spans="1:9" x14ac:dyDescent="0.25">
      <c r="A69" s="397"/>
      <c r="B69" s="397"/>
      <c r="C69" s="441"/>
      <c r="D69" s="397"/>
      <c r="E69" s="397"/>
      <c r="F69" s="418"/>
      <c r="G69" s="396"/>
      <c r="H69" s="396"/>
      <c r="I69" s="388"/>
    </row>
    <row r="70" spans="1:9" x14ac:dyDescent="0.25">
      <c r="A70" s="354" t="s">
        <v>415</v>
      </c>
    </row>
    <row r="71" spans="1:9" x14ac:dyDescent="0.25">
      <c r="A71" s="946" t="s">
        <v>416</v>
      </c>
      <c r="B71" s="932"/>
      <c r="C71" s="442">
        <f>SUM('0040:4141'!E53)</f>
        <v>21121.920000000002</v>
      </c>
      <c r="D71" s="947" t="s">
        <v>417</v>
      </c>
      <c r="E71" s="947"/>
      <c r="F71" s="947"/>
      <c r="G71" s="947"/>
      <c r="H71" s="443">
        <v>208856.94000000003</v>
      </c>
      <c r="I71" s="444"/>
    </row>
    <row r="72" spans="1:9" x14ac:dyDescent="0.25">
      <c r="B72" s="399"/>
      <c r="G72" s="445" t="s">
        <v>66</v>
      </c>
      <c r="H72" s="446">
        <f>ROUND(C71/H71,8)</f>
        <v>0.10113104000000001</v>
      </c>
      <c r="I72" s="447"/>
    </row>
    <row r="73" spans="1:9" x14ac:dyDescent="0.25">
      <c r="A73" s="354" t="s">
        <v>418</v>
      </c>
    </row>
    <row r="74" spans="1:9" x14ac:dyDescent="0.25">
      <c r="A74" s="946" t="s">
        <v>419</v>
      </c>
      <c r="B74" s="932"/>
      <c r="C74" s="442">
        <f>SUM('0040:4141'!E56)</f>
        <v>24619.486400000002</v>
      </c>
      <c r="D74" s="947" t="s">
        <v>420</v>
      </c>
      <c r="E74" s="947"/>
      <c r="F74" s="947"/>
      <c r="G74" s="947"/>
      <c r="H74" s="443">
        <v>221542.28000000003</v>
      </c>
      <c r="I74" s="386"/>
    </row>
    <row r="75" spans="1:9" x14ac:dyDescent="0.25">
      <c r="G75" s="445" t="s">
        <v>66</v>
      </c>
      <c r="H75" s="446">
        <f>ROUND(C74/H74,8)</f>
        <v>0.11112771</v>
      </c>
      <c r="I75" s="446"/>
    </row>
    <row r="76" spans="1:9" x14ac:dyDescent="0.25">
      <c r="A76" s="448" t="s">
        <v>421</v>
      </c>
      <c r="B76" s="449"/>
      <c r="C76" s="449"/>
      <c r="D76" s="449"/>
      <c r="E76" s="449"/>
      <c r="F76" s="449"/>
      <c r="G76" s="449"/>
      <c r="H76" s="449"/>
      <c r="I76" s="449"/>
    </row>
    <row r="77" spans="1:9" x14ac:dyDescent="0.25">
      <c r="A77" s="946" t="s">
        <v>422</v>
      </c>
      <c r="B77" s="932"/>
      <c r="C77" s="442">
        <f>SUM('0040:4141'!E59)</f>
        <v>21121.920000000002</v>
      </c>
      <c r="D77" s="948" t="s">
        <v>423</v>
      </c>
      <c r="E77" s="948"/>
      <c r="F77" s="948"/>
      <c r="G77" s="948"/>
      <c r="H77" s="443">
        <v>175905.69000000003</v>
      </c>
      <c r="I77" s="444"/>
    </row>
    <row r="78" spans="1:9" x14ac:dyDescent="0.25">
      <c r="B78" s="399"/>
      <c r="G78" s="445" t="s">
        <v>66</v>
      </c>
      <c r="H78" s="446">
        <f>ROUND(C77/H77,8)</f>
        <v>0.12007524999999999</v>
      </c>
      <c r="I78" s="447"/>
    </row>
    <row r="79" spans="1:9" x14ac:dyDescent="0.25">
      <c r="A79" s="448" t="s">
        <v>424</v>
      </c>
      <c r="B79" s="449"/>
      <c r="C79" s="449"/>
      <c r="D79" s="449"/>
      <c r="E79" s="449"/>
      <c r="F79" s="449"/>
      <c r="G79" s="449"/>
      <c r="H79" s="449"/>
      <c r="I79" s="449"/>
    </row>
    <row r="80" spans="1:9" x14ac:dyDescent="0.25">
      <c r="A80" s="946" t="s">
        <v>422</v>
      </c>
      <c r="B80" s="932"/>
      <c r="C80" s="442">
        <f>SUM('0040:4141'!E62)</f>
        <v>21121.920000000002</v>
      </c>
      <c r="D80" s="949" t="s">
        <v>425</v>
      </c>
      <c r="E80" s="949"/>
      <c r="F80" s="949"/>
      <c r="G80" s="949"/>
      <c r="H80" s="443">
        <v>208541.94000000003</v>
      </c>
      <c r="I80" s="444"/>
    </row>
    <row r="81" spans="1:25" x14ac:dyDescent="0.25">
      <c r="B81" s="399"/>
      <c r="G81" s="445" t="s">
        <v>66</v>
      </c>
      <c r="H81" s="446">
        <f>ROUND(C80/H80,8)</f>
        <v>0.10128379999999999</v>
      </c>
      <c r="I81" s="913"/>
    </row>
    <row r="82" spans="1:25" x14ac:dyDescent="0.25">
      <c r="A82" s="448" t="s">
        <v>426</v>
      </c>
      <c r="B82" s="449"/>
      <c r="C82" s="449"/>
      <c r="D82" s="449"/>
      <c r="E82" s="449"/>
      <c r="F82" s="449"/>
      <c r="G82" s="449"/>
      <c r="H82" s="449"/>
      <c r="I82" s="449"/>
    </row>
    <row r="83" spans="1:25" x14ac:dyDescent="0.25">
      <c r="A83" s="946" t="s">
        <v>427</v>
      </c>
      <c r="B83" s="932"/>
      <c r="C83" s="442">
        <f>SUM('0040:4141'!E65)</f>
        <v>21121.920000000002</v>
      </c>
      <c r="D83" s="948" t="s">
        <v>428</v>
      </c>
      <c r="E83" s="948"/>
      <c r="F83" s="948"/>
      <c r="G83" s="948"/>
      <c r="H83" s="443">
        <v>175590.69000000003</v>
      </c>
      <c r="I83" s="444"/>
    </row>
    <row r="84" spans="1:25" x14ac:dyDescent="0.25">
      <c r="B84" s="399"/>
      <c r="G84" s="445" t="s">
        <v>66</v>
      </c>
      <c r="H84" s="446">
        <f>ROUND(C83/H83,8)</f>
        <v>0.12029065999999999</v>
      </c>
      <c r="I84" s="447"/>
    </row>
    <row r="85" spans="1:25" x14ac:dyDescent="0.25">
      <c r="A85" s="349"/>
      <c r="G85" s="445"/>
      <c r="H85" s="446"/>
      <c r="I85" s="446"/>
    </row>
    <row r="86" spans="1:25" x14ac:dyDescent="0.25">
      <c r="A86" s="354" t="s">
        <v>429</v>
      </c>
      <c r="D86" s="399"/>
      <c r="E86" s="426" t="s">
        <v>78</v>
      </c>
      <c r="F86" s="546">
        <v>45866714</v>
      </c>
      <c r="G86" s="438" t="s">
        <v>79</v>
      </c>
      <c r="H86" s="451">
        <f>H81</f>
        <v>0.10128379999999999</v>
      </c>
      <c r="I86" s="388">
        <f>SUM('0040:4141'!J68)</f>
        <v>4645610.1099999994</v>
      </c>
      <c r="J86" s="911">
        <f>SUM('0040:4141'!I68)</f>
        <v>0.101285</v>
      </c>
      <c r="K86" s="452">
        <f>F86*H86</f>
        <v>4645555.0874331994</v>
      </c>
      <c r="L86" s="452">
        <f>I86-K86</f>
        <v>55.022566800005734</v>
      </c>
    </row>
    <row r="87" spans="1:25" x14ac:dyDescent="0.25">
      <c r="A87" s="453"/>
      <c r="D87" s="399"/>
      <c r="E87" s="426"/>
      <c r="F87" s="454"/>
      <c r="G87" s="438"/>
      <c r="H87" s="451"/>
      <c r="I87" s="912"/>
      <c r="J87" s="914"/>
      <c r="K87" s="452"/>
      <c r="L87" s="452"/>
    </row>
    <row r="88" spans="1:25" x14ac:dyDescent="0.25">
      <c r="A88" s="957" t="s">
        <v>80</v>
      </c>
      <c r="B88" s="932"/>
      <c r="C88" s="932"/>
      <c r="D88" s="399"/>
      <c r="E88" s="426"/>
      <c r="F88" s="454"/>
      <c r="G88" s="438"/>
      <c r="H88" s="451"/>
      <c r="I88" s="388"/>
      <c r="K88" s="452"/>
      <c r="L88" s="452"/>
    </row>
    <row r="89" spans="1:25" ht="15.75" customHeight="1" x14ac:dyDescent="0.25">
      <c r="A89" s="957" t="s">
        <v>430</v>
      </c>
      <c r="B89" s="932"/>
      <c r="C89" s="932"/>
      <c r="D89" s="399"/>
      <c r="E89" s="426" t="s">
        <v>82</v>
      </c>
      <c r="F89" s="450">
        <v>0</v>
      </c>
      <c r="G89" s="438" t="s">
        <v>79</v>
      </c>
      <c r="H89" s="451">
        <f>H72</f>
        <v>0.10113104000000001</v>
      </c>
      <c r="I89" s="388">
        <f>SUM('0040:4141'!J70)</f>
        <v>0</v>
      </c>
      <c r="K89" s="452"/>
      <c r="L89" s="452"/>
    </row>
    <row r="90" spans="1:25" ht="15.75" customHeight="1" x14ac:dyDescent="0.25">
      <c r="A90" s="455"/>
      <c r="B90" s="399"/>
      <c r="C90" s="399"/>
      <c r="D90" s="399"/>
      <c r="E90" s="426"/>
      <c r="F90" s="454"/>
      <c r="G90" s="438"/>
      <c r="H90" s="451"/>
      <c r="I90" s="388"/>
      <c r="K90" s="452"/>
      <c r="L90" s="452"/>
    </row>
    <row r="91" spans="1:25" x14ac:dyDescent="0.25">
      <c r="A91" s="354" t="s">
        <v>431</v>
      </c>
      <c r="D91" s="399"/>
      <c r="E91" s="426" t="s">
        <v>84</v>
      </c>
      <c r="F91" s="450">
        <v>18834423</v>
      </c>
      <c r="G91" s="438" t="s">
        <v>79</v>
      </c>
      <c r="H91" s="451">
        <f>H84</f>
        <v>0.12029065999999999</v>
      </c>
      <c r="I91" s="388">
        <f>SUM('0040:4141'!J71)</f>
        <v>2265611.5699999998</v>
      </c>
      <c r="J91" s="911">
        <f>SUM('0040:4141'!I71)</f>
        <v>0.12029099999999997</v>
      </c>
      <c r="K91" s="452">
        <f t="shared" ref="K91:K93" si="4">F91*H91</f>
        <v>2265605.1733891801</v>
      </c>
      <c r="L91" s="452">
        <f t="shared" ref="L91:L93" si="5">I91-K91</f>
        <v>6.396610819734633</v>
      </c>
    </row>
    <row r="92" spans="1:25" x14ac:dyDescent="0.25">
      <c r="A92" s="453"/>
      <c r="D92" s="399"/>
      <c r="E92" s="426"/>
      <c r="F92" s="454"/>
      <c r="G92" s="438"/>
      <c r="H92" s="451"/>
      <c r="I92" s="388"/>
      <c r="K92" s="452">
        <f t="shared" si="4"/>
        <v>0</v>
      </c>
      <c r="L92" s="452">
        <f t="shared" si="5"/>
        <v>0</v>
      </c>
    </row>
    <row r="93" spans="1:25" x14ac:dyDescent="0.25">
      <c r="A93" s="354" t="s">
        <v>432</v>
      </c>
      <c r="D93" s="399"/>
      <c r="E93" s="426" t="s">
        <v>82</v>
      </c>
      <c r="F93" s="450">
        <v>11226031</v>
      </c>
      <c r="G93" s="438" t="s">
        <v>79</v>
      </c>
      <c r="H93" s="451">
        <f>H78</f>
        <v>0.12007524999999999</v>
      </c>
      <c r="I93" s="388">
        <f>SUM('0040:4141'!J72)</f>
        <v>1347954.4199999997</v>
      </c>
      <c r="J93" s="911">
        <f>SUM('0040:4141'!I72)</f>
        <v>0.12007400000000001</v>
      </c>
      <c r="K93" s="452">
        <f t="shared" si="4"/>
        <v>1347968.4788327499</v>
      </c>
      <c r="L93" s="452">
        <f t="shared" si="5"/>
        <v>-14.058832750190049</v>
      </c>
    </row>
    <row r="94" spans="1:25" x14ac:dyDescent="0.25">
      <c r="A94" s="354"/>
      <c r="D94" s="399"/>
      <c r="E94" s="426"/>
      <c r="F94" s="454"/>
      <c r="G94" s="438"/>
      <c r="H94" s="451"/>
      <c r="I94" s="388"/>
      <c r="K94" s="452"/>
      <c r="L94" s="452"/>
    </row>
    <row r="95" spans="1:25" s="2" customFormat="1" ht="24.75" customHeight="1" x14ac:dyDescent="0.25">
      <c r="A95" s="42" t="s">
        <v>87</v>
      </c>
      <c r="B95" s="42"/>
      <c r="C95" s="42"/>
      <c r="D95" s="42"/>
      <c r="E95" s="42"/>
      <c r="F95" s="36" t="s">
        <v>88</v>
      </c>
      <c r="G95" s="64"/>
      <c r="H95" s="37"/>
      <c r="I95" s="41"/>
      <c r="J95" s="30"/>
      <c r="R95" s="351"/>
      <c r="S95" s="351"/>
      <c r="T95" s="351"/>
      <c r="U95" s="351"/>
      <c r="V95" s="351"/>
      <c r="W95" s="351"/>
      <c r="X95" s="351"/>
      <c r="Y95" s="351"/>
    </row>
    <row r="96" spans="1:25" s="2" customFormat="1" ht="63" customHeight="1" x14ac:dyDescent="0.25">
      <c r="A96" s="972" t="s">
        <v>89</v>
      </c>
      <c r="B96" s="972"/>
      <c r="C96" s="100"/>
      <c r="D96" s="100"/>
      <c r="E96" s="973" t="s">
        <v>90</v>
      </c>
      <c r="F96" s="974"/>
      <c r="G96" s="974"/>
      <c r="H96" s="974"/>
      <c r="I96" s="974"/>
      <c r="J96" s="18"/>
      <c r="R96" s="351"/>
      <c r="S96" s="351"/>
      <c r="T96" s="351"/>
      <c r="U96" s="351"/>
      <c r="V96" s="351"/>
      <c r="W96" s="351"/>
      <c r="X96" s="351"/>
      <c r="Y96" s="351"/>
    </row>
    <row r="97" spans="1:26" s="2" customFormat="1" ht="22.5" customHeight="1" x14ac:dyDescent="0.25">
      <c r="A97" s="958" t="s">
        <v>91</v>
      </c>
      <c r="B97" s="958"/>
      <c r="C97" s="69"/>
      <c r="D97" s="69"/>
      <c r="E97" s="65"/>
      <c r="F97" s="65"/>
      <c r="G97" s="65"/>
      <c r="H97" s="65"/>
      <c r="I97" s="65"/>
      <c r="J97" s="547">
        <f>SUM('0040:4141'!J75)</f>
        <v>92</v>
      </c>
      <c r="L97" s="66"/>
      <c r="O97" s="36"/>
      <c r="P97" s="36"/>
      <c r="R97" s="351"/>
      <c r="S97" s="351"/>
      <c r="T97" s="351"/>
      <c r="U97" s="351"/>
      <c r="V97" s="351"/>
      <c r="W97" s="351"/>
      <c r="X97" s="351"/>
      <c r="Y97" s="351"/>
    </row>
    <row r="98" spans="1:26" s="2" customFormat="1" ht="18.75" customHeight="1" x14ac:dyDescent="0.25">
      <c r="A98" s="958" t="s">
        <v>92</v>
      </c>
      <c r="B98" s="958"/>
      <c r="C98" s="69"/>
      <c r="D98" s="69"/>
      <c r="E98" s="65"/>
      <c r="F98" s="65"/>
      <c r="G98" s="65"/>
      <c r="H98" s="65"/>
      <c r="I98" s="65"/>
      <c r="J98" s="547">
        <f>SUM('0040:4141'!J76)</f>
        <v>24.88</v>
      </c>
      <c r="L98" s="67"/>
      <c r="O98" s="36"/>
      <c r="P98" s="36"/>
      <c r="R98" s="351"/>
      <c r="S98" s="351"/>
      <c r="T98" s="351"/>
      <c r="U98" s="351"/>
      <c r="V98" s="351"/>
      <c r="W98" s="351"/>
      <c r="X98" s="351"/>
      <c r="Y98" s="351"/>
    </row>
    <row r="99" spans="1:26" s="2" customFormat="1" ht="18.75" customHeight="1" x14ac:dyDescent="0.25">
      <c r="A99" s="976" t="s">
        <v>93</v>
      </c>
      <c r="B99" s="976"/>
      <c r="C99" s="105"/>
      <c r="D99" s="105"/>
      <c r="E99" s="68"/>
      <c r="F99" s="68"/>
      <c r="G99" s="68"/>
      <c r="H99" s="68"/>
      <c r="I99" s="68"/>
      <c r="J99" s="547">
        <f>SUM('0040:4141'!J77)</f>
        <v>200.45999999999998</v>
      </c>
      <c r="L99" s="67"/>
      <c r="O99" s="36"/>
      <c r="P99" s="36"/>
      <c r="R99" s="351"/>
      <c r="S99" s="351"/>
      <c r="T99" s="351"/>
      <c r="U99" s="351"/>
      <c r="V99" s="351"/>
      <c r="W99" s="351"/>
      <c r="X99" s="351"/>
      <c r="Y99" s="351"/>
    </row>
    <row r="100" spans="1:26" s="2" customFormat="1" ht="20.25" customHeight="1" x14ac:dyDescent="0.25">
      <c r="A100" s="69" t="s">
        <v>94</v>
      </c>
      <c r="B100" s="69"/>
      <c r="C100" s="69"/>
      <c r="D100" s="69"/>
      <c r="E100" s="65"/>
      <c r="F100" s="65"/>
      <c r="G100" s="65"/>
      <c r="H100" s="65"/>
      <c r="I100" s="65"/>
      <c r="J100" s="547">
        <f>SUM('0040:4141'!J78)</f>
        <v>280.7</v>
      </c>
      <c r="K100" s="70"/>
      <c r="L100" s="70"/>
      <c r="M100" s="71"/>
      <c r="N100" s="70"/>
      <c r="O100" s="70"/>
      <c r="P100" s="70"/>
      <c r="Q100" s="70"/>
      <c r="R100" s="351"/>
      <c r="S100" s="351"/>
      <c r="T100" s="351"/>
      <c r="U100" s="351"/>
      <c r="V100" s="351"/>
      <c r="W100" s="351"/>
      <c r="X100" s="351"/>
      <c r="Y100" s="351"/>
      <c r="Z100" s="72"/>
    </row>
    <row r="101" spans="1:26" s="2" customFormat="1" ht="18.75" customHeight="1" x14ac:dyDescent="0.25">
      <c r="A101" s="958" t="s">
        <v>95</v>
      </c>
      <c r="B101" s="958"/>
      <c r="C101" s="69"/>
      <c r="D101" s="69"/>
      <c r="E101" s="65"/>
      <c r="F101" s="65"/>
      <c r="G101" s="65"/>
      <c r="H101" s="65"/>
      <c r="I101" s="65"/>
      <c r="J101" s="547">
        <f>SUM('0040:4141'!J79)</f>
        <v>30.75</v>
      </c>
      <c r="K101" s="70"/>
      <c r="L101" s="70"/>
      <c r="M101" s="71"/>
      <c r="N101" s="70"/>
      <c r="O101" s="70"/>
      <c r="P101" s="70"/>
      <c r="Q101" s="70"/>
      <c r="R101" s="351"/>
      <c r="S101" s="351"/>
      <c r="T101" s="351"/>
      <c r="U101" s="351"/>
      <c r="V101" s="351"/>
      <c r="W101" s="351"/>
      <c r="X101" s="351"/>
      <c r="Y101" s="351"/>
      <c r="Z101" s="72"/>
    </row>
    <row r="102" spans="1:26" s="2" customFormat="1" ht="17.25" customHeight="1" x14ac:dyDescent="0.25">
      <c r="A102" s="977" t="s">
        <v>96</v>
      </c>
      <c r="B102" s="977"/>
      <c r="C102" s="103"/>
      <c r="D102" s="103"/>
      <c r="E102" s="73"/>
      <c r="F102" s="73"/>
      <c r="G102" s="73"/>
      <c r="H102" s="73"/>
      <c r="I102" s="73"/>
      <c r="J102" s="547">
        <f>SUM('0040:4141'!J80)</f>
        <v>40.96</v>
      </c>
      <c r="K102" s="70"/>
      <c r="L102" s="70"/>
      <c r="M102" s="71"/>
      <c r="N102" s="70"/>
      <c r="O102" s="70"/>
      <c r="P102" s="70"/>
      <c r="Q102" s="70"/>
      <c r="R102" s="351"/>
      <c r="S102" s="351"/>
      <c r="T102" s="351"/>
      <c r="U102" s="351"/>
      <c r="V102" s="351"/>
      <c r="W102" s="351"/>
      <c r="X102" s="351"/>
      <c r="Y102" s="351"/>
      <c r="Z102" s="72"/>
    </row>
    <row r="103" spans="1:26" s="2" customFormat="1" ht="17.25" customHeight="1" x14ac:dyDescent="0.25">
      <c r="A103" s="33"/>
      <c r="B103" s="33"/>
      <c r="C103" s="33"/>
      <c r="D103" s="33"/>
      <c r="E103" s="33"/>
      <c r="F103" s="33"/>
      <c r="G103" s="31"/>
      <c r="H103" s="34"/>
      <c r="I103" s="34" t="s">
        <v>97</v>
      </c>
      <c r="J103" s="74">
        <f>SUM(J97:J102)</f>
        <v>669.75</v>
      </c>
      <c r="K103" s="70"/>
      <c r="L103" s="70"/>
      <c r="M103" s="71"/>
      <c r="N103" s="70"/>
      <c r="O103" s="70"/>
      <c r="P103" s="70"/>
      <c r="Q103" s="70"/>
      <c r="R103" s="351"/>
      <c r="S103" s="351"/>
      <c r="T103" s="351"/>
      <c r="U103" s="351"/>
      <c r="V103" s="351"/>
      <c r="W103" s="351"/>
      <c r="X103" s="351"/>
      <c r="Y103" s="351"/>
      <c r="Z103" s="72"/>
    </row>
    <row r="104" spans="1:26" s="2" customFormat="1" ht="18.75" customHeight="1" x14ac:dyDescent="0.25">
      <c r="A104" s="33"/>
      <c r="B104" s="33"/>
      <c r="C104" s="33"/>
      <c r="D104" s="33"/>
      <c r="E104" s="33"/>
      <c r="F104" s="33"/>
      <c r="G104" s="31"/>
      <c r="H104" s="34"/>
      <c r="I104" s="34" t="s">
        <v>98</v>
      </c>
      <c r="J104" s="705">
        <v>12903.05</v>
      </c>
      <c r="K104" s="70"/>
      <c r="L104" s="70"/>
      <c r="M104" s="71"/>
      <c r="N104" s="70"/>
      <c r="O104" s="70"/>
      <c r="P104" s="70"/>
      <c r="Q104" s="70"/>
      <c r="R104" s="351"/>
      <c r="S104" s="351"/>
      <c r="T104" s="351"/>
      <c r="U104" s="351"/>
      <c r="V104" s="351"/>
      <c r="W104" s="351"/>
      <c r="X104" s="351"/>
      <c r="Y104" s="351"/>
      <c r="Z104" s="72"/>
    </row>
    <row r="105" spans="1:26" s="2" customFormat="1" ht="15.75" customHeight="1" x14ac:dyDescent="0.25">
      <c r="A105" s="33"/>
      <c r="B105" s="33"/>
      <c r="C105" s="33"/>
      <c r="D105" s="33"/>
      <c r="E105" s="33"/>
      <c r="F105" s="33"/>
      <c r="G105" s="31"/>
      <c r="H105" s="34"/>
      <c r="I105" s="34"/>
      <c r="J105" s="75"/>
      <c r="K105" s="70"/>
      <c r="L105" s="70"/>
      <c r="M105" s="71"/>
      <c r="N105" s="70"/>
      <c r="O105" s="70"/>
      <c r="P105" s="70"/>
      <c r="Q105" s="70"/>
      <c r="R105" s="351"/>
      <c r="S105" s="351"/>
      <c r="T105" s="351"/>
      <c r="U105" s="351"/>
      <c r="V105" s="351"/>
      <c r="W105" s="351"/>
      <c r="X105" s="351"/>
      <c r="Y105" s="351"/>
      <c r="Z105" s="72"/>
    </row>
    <row r="106" spans="1:26" s="2" customFormat="1" ht="21" customHeight="1" x14ac:dyDescent="0.25">
      <c r="A106" s="975" t="s">
        <v>99</v>
      </c>
      <c r="B106" s="975"/>
      <c r="C106" s="52"/>
      <c r="D106" s="52"/>
      <c r="F106" s="450">
        <v>58502790</v>
      </c>
      <c r="H106" s="37" t="s">
        <v>79</v>
      </c>
      <c r="I106" s="41">
        <f>IFERROR(ROUND(J103/J104,6),0)</f>
        <v>5.1906000000000001E-2</v>
      </c>
      <c r="J106" s="62">
        <f>ROUND(F106*I106,2)</f>
        <v>3036645.82</v>
      </c>
      <c r="K106" s="70"/>
      <c r="L106" s="70"/>
      <c r="M106" s="71"/>
      <c r="N106" s="70"/>
      <c r="O106" s="70"/>
      <c r="P106" s="70"/>
      <c r="Q106" s="70"/>
      <c r="R106" s="351"/>
      <c r="S106" s="351"/>
      <c r="T106" s="351"/>
      <c r="U106" s="351"/>
      <c r="V106" s="351"/>
      <c r="W106" s="351"/>
      <c r="X106" s="351"/>
      <c r="Y106" s="351"/>
    </row>
    <row r="107" spans="1:26" x14ac:dyDescent="0.25">
      <c r="A107" s="354"/>
      <c r="D107" s="399"/>
      <c r="E107" s="426"/>
      <c r="F107" s="454"/>
      <c r="G107" s="438"/>
      <c r="H107" s="451"/>
      <c r="I107" s="388"/>
      <c r="K107" s="452"/>
      <c r="L107" s="452"/>
    </row>
    <row r="108" spans="1:26" x14ac:dyDescent="0.25">
      <c r="A108" s="946" t="s">
        <v>524</v>
      </c>
      <c r="B108" s="932"/>
      <c r="C108" s="932"/>
      <c r="D108" s="399"/>
      <c r="E108" s="426" t="s">
        <v>101</v>
      </c>
      <c r="F108" s="450">
        <v>283895192</v>
      </c>
      <c r="G108" s="438" t="s">
        <v>79</v>
      </c>
      <c r="H108" s="451">
        <f>H75</f>
        <v>0.11112771</v>
      </c>
      <c r="I108" s="388">
        <f>SUM('0040:4141'!J85)</f>
        <v>31549556.579999994</v>
      </c>
      <c r="K108" s="452">
        <f>F108*H108</f>
        <v>31548622.566970322</v>
      </c>
      <c r="L108" s="452">
        <f>I108-K108</f>
        <v>934.01302967220545</v>
      </c>
    </row>
    <row r="109" spans="1:26" x14ac:dyDescent="0.25">
      <c r="A109" s="354"/>
      <c r="B109" s="399"/>
      <c r="C109" s="399"/>
      <c r="D109" s="399"/>
      <c r="E109" s="426"/>
      <c r="F109" s="454"/>
      <c r="G109" s="438"/>
      <c r="H109" s="451"/>
      <c r="I109" s="388"/>
    </row>
    <row r="110" spans="1:26" x14ac:dyDescent="0.25">
      <c r="A110" s="946" t="s">
        <v>525</v>
      </c>
      <c r="B110" s="932"/>
      <c r="C110" s="932"/>
      <c r="D110" s="399"/>
      <c r="E110" s="426" t="s">
        <v>101</v>
      </c>
      <c r="F110" s="450">
        <v>0</v>
      </c>
      <c r="G110" s="438" t="s">
        <v>79</v>
      </c>
      <c r="H110" s="451">
        <f>H75</f>
        <v>0.11112771</v>
      </c>
      <c r="I110" s="388">
        <f>SUM('0040:4141'!J86)</f>
        <v>0</v>
      </c>
    </row>
    <row r="111" spans="1:26" x14ac:dyDescent="0.25">
      <c r="A111" s="351"/>
    </row>
    <row r="112" spans="1:26" x14ac:dyDescent="0.25">
      <c r="A112" s="354" t="s">
        <v>526</v>
      </c>
      <c r="B112" s="399"/>
      <c r="C112" s="399"/>
      <c r="D112" s="399"/>
      <c r="E112" s="426" t="s">
        <v>82</v>
      </c>
      <c r="F112" s="450">
        <v>0</v>
      </c>
      <c r="G112" s="438" t="s">
        <v>79</v>
      </c>
      <c r="H112" s="451">
        <f>H72</f>
        <v>0.10113104000000001</v>
      </c>
      <c r="I112" s="388">
        <f>SUM('0040:4141'!J87)</f>
        <v>0</v>
      </c>
    </row>
    <row r="113" spans="1:9" x14ac:dyDescent="0.25">
      <c r="A113" s="354"/>
      <c r="B113" s="399"/>
      <c r="C113" s="399"/>
      <c r="D113" s="399"/>
      <c r="E113" s="426"/>
      <c r="F113" s="454"/>
      <c r="G113" s="438"/>
      <c r="H113" s="451"/>
      <c r="I113" s="388"/>
    </row>
    <row r="114" spans="1:9" x14ac:dyDescent="0.25">
      <c r="A114" s="354"/>
      <c r="B114" s="399"/>
      <c r="C114" s="399"/>
      <c r="D114" s="399"/>
      <c r="E114" s="426"/>
      <c r="F114" s="454"/>
      <c r="G114" s="438"/>
      <c r="H114" s="451"/>
      <c r="I114" s="388"/>
    </row>
    <row r="115" spans="1:9" x14ac:dyDescent="0.25">
      <c r="A115" s="453" t="s">
        <v>104</v>
      </c>
    </row>
    <row r="116" spans="1:9" x14ac:dyDescent="0.25">
      <c r="B116" s="399"/>
      <c r="C116" s="953" t="s">
        <v>9</v>
      </c>
      <c r="D116" s="953"/>
      <c r="E116" s="399"/>
      <c r="F116" s="440" t="s">
        <v>433</v>
      </c>
      <c r="G116" s="399"/>
      <c r="H116" s="399"/>
      <c r="I116" s="399"/>
    </row>
    <row r="117" spans="1:9" x14ac:dyDescent="0.25">
      <c r="A117" s="351"/>
      <c r="B117" s="457"/>
      <c r="C117" s="954" t="s">
        <v>434</v>
      </c>
      <c r="D117" s="954"/>
      <c r="E117" s="458" t="s">
        <v>435</v>
      </c>
      <c r="F117" s="459" t="s">
        <v>436</v>
      </c>
      <c r="G117" s="360"/>
      <c r="H117" s="360"/>
      <c r="I117" s="360"/>
    </row>
    <row r="118" spans="1:9" x14ac:dyDescent="0.25">
      <c r="A118" s="397"/>
      <c r="B118" s="413" t="s">
        <v>437</v>
      </c>
      <c r="C118" s="955">
        <f>SUM('0040:4141'!B90)</f>
        <v>7453.5841999999993</v>
      </c>
      <c r="D118" s="955"/>
      <c r="E118" s="432">
        <f>H8</f>
        <v>1.0309999999999999</v>
      </c>
      <c r="F118" s="460">
        <v>961.57</v>
      </c>
      <c r="G118" s="440" t="s">
        <v>66</v>
      </c>
      <c r="H118" s="388">
        <f>SUM('0040:4141'!I90)</f>
        <v>7389324.3999999976</v>
      </c>
      <c r="I118" s="401"/>
    </row>
    <row r="119" spans="1:9" x14ac:dyDescent="0.25">
      <c r="A119" s="461"/>
      <c r="B119" s="461" t="s">
        <v>438</v>
      </c>
      <c r="C119" s="955">
        <f>SUM('0040:4141'!B91)</f>
        <v>9605.9768999999997</v>
      </c>
      <c r="D119" s="955"/>
      <c r="E119" s="432">
        <f>H8</f>
        <v>1.0309999999999999</v>
      </c>
      <c r="F119" s="460">
        <v>918.1</v>
      </c>
      <c r="G119" s="440" t="s">
        <v>66</v>
      </c>
      <c r="H119" s="388">
        <f>SUM('0040:4141'!I91)</f>
        <v>9092644.0399999972</v>
      </c>
    </row>
    <row r="120" spans="1:9" ht="16.5" thickBot="1" x14ac:dyDescent="0.3">
      <c r="A120" s="413"/>
      <c r="B120" s="413" t="s">
        <v>439</v>
      </c>
      <c r="C120" s="956">
        <f>SUM('0040:4141'!B92)</f>
        <v>7559.9253000000008</v>
      </c>
      <c r="D120" s="956"/>
      <c r="E120" s="432">
        <f>H8</f>
        <v>1.0309999999999999</v>
      </c>
      <c r="F120" s="460">
        <v>920.31</v>
      </c>
      <c r="G120" s="440" t="s">
        <v>66</v>
      </c>
      <c r="H120" s="388">
        <f>SUM('0040:4141'!I92)</f>
        <v>7173156.5799999991</v>
      </c>
    </row>
    <row r="121" spans="1:9" ht="16.5" thickTop="1" x14ac:dyDescent="0.25">
      <c r="A121" s="462"/>
      <c r="B121" s="463" t="s">
        <v>440</v>
      </c>
      <c r="C121" s="955">
        <f>SUM('0040:4141'!B93)</f>
        <v>24619.486399999998</v>
      </c>
      <c r="D121" s="955"/>
      <c r="E121" s="464"/>
      <c r="F121" s="464"/>
      <c r="G121" s="464"/>
      <c r="H121" s="465" t="s">
        <v>441</v>
      </c>
      <c r="I121" s="388">
        <f>SUM('0040:4141'!J93)</f>
        <v>23655125.020000003</v>
      </c>
    </row>
    <row r="122" spans="1:9" x14ac:dyDescent="0.25">
      <c r="A122" s="961" t="s">
        <v>111</v>
      </c>
      <c r="B122" s="961"/>
      <c r="C122" s="961"/>
      <c r="D122" s="961"/>
      <c r="E122" s="961"/>
      <c r="F122" s="961"/>
      <c r="G122" s="961"/>
      <c r="H122" s="961"/>
      <c r="I122" s="961"/>
    </row>
    <row r="123" spans="1:9" x14ac:dyDescent="0.25">
      <c r="A123" s="466"/>
      <c r="B123" s="466"/>
      <c r="C123" s="466"/>
      <c r="D123" s="466"/>
      <c r="E123" s="466"/>
      <c r="F123" s="466"/>
      <c r="G123" s="466"/>
      <c r="H123" s="466"/>
      <c r="I123" s="466"/>
    </row>
    <row r="124" spans="1:9" x14ac:dyDescent="0.25">
      <c r="A124" s="354" t="s">
        <v>112</v>
      </c>
      <c r="C124" s="426"/>
      <c r="D124" s="399"/>
      <c r="E124" s="426" t="s">
        <v>113</v>
      </c>
      <c r="F124" s="962"/>
      <c r="G124" s="962"/>
      <c r="H124" s="962"/>
      <c r="I124" s="962"/>
    </row>
    <row r="125" spans="1:9" x14ac:dyDescent="0.25">
      <c r="B125" s="399"/>
      <c r="C125" s="374" t="s">
        <v>589</v>
      </c>
      <c r="D125" s="431" t="s">
        <v>590</v>
      </c>
      <c r="E125" s="375" t="s">
        <v>442</v>
      </c>
      <c r="F125" s="426"/>
      <c r="G125" s="426"/>
      <c r="H125" s="426"/>
      <c r="I125" s="426"/>
    </row>
    <row r="126" spans="1:9" x14ac:dyDescent="0.25">
      <c r="B126" s="399"/>
      <c r="C126" s="403" t="s">
        <v>52</v>
      </c>
      <c r="D126" s="403" t="s">
        <v>52</v>
      </c>
      <c r="E126" s="378" t="s">
        <v>52</v>
      </c>
      <c r="F126" s="426"/>
      <c r="G126" s="426"/>
      <c r="H126" s="426"/>
      <c r="I126" s="426"/>
    </row>
    <row r="127" spans="1:9" x14ac:dyDescent="0.25">
      <c r="A127" s="948" t="s">
        <v>443</v>
      </c>
      <c r="B127" s="963"/>
      <c r="C127" s="389">
        <f>SUM('0040:4141'!C97)</f>
        <v>4100</v>
      </c>
      <c r="D127" s="389">
        <f>SUM('0040:4141'!D97)</f>
        <v>3838.0010000000002</v>
      </c>
      <c r="E127" s="386">
        <f>ROUND(SUM('0040:4141'!E97),2)</f>
        <v>3969</v>
      </c>
      <c r="F127" s="467" t="s">
        <v>115</v>
      </c>
      <c r="G127" s="468">
        <v>583</v>
      </c>
      <c r="I127" s="388">
        <f>SUM('0040:4141'!J97)</f>
        <v>2313927.29</v>
      </c>
    </row>
    <row r="128" spans="1:9" x14ac:dyDescent="0.25">
      <c r="A128" s="948" t="s">
        <v>444</v>
      </c>
      <c r="B128" s="963"/>
      <c r="C128" s="389">
        <f>SUM('0040:4141'!C98)</f>
        <v>1</v>
      </c>
      <c r="D128" s="389">
        <f>SUM('0040:4141'!D98)</f>
        <v>1</v>
      </c>
      <c r="E128" s="386">
        <f>SUM('0040:4141'!E98)</f>
        <v>2</v>
      </c>
      <c r="F128" s="467" t="s">
        <v>115</v>
      </c>
      <c r="G128" s="468">
        <v>1806</v>
      </c>
      <c r="I128" s="388">
        <f>SUM('0040:4141'!J98)</f>
        <v>3612</v>
      </c>
    </row>
    <row r="129" spans="1:10" hidden="1" x14ac:dyDescent="0.25">
      <c r="A129" s="469"/>
      <c r="B129" s="469"/>
      <c r="C129" s="470"/>
      <c r="D129" s="470"/>
      <c r="E129" s="470"/>
      <c r="F129" s="470"/>
      <c r="G129" s="471"/>
      <c r="H129" s="472"/>
      <c r="I129" s="388"/>
    </row>
    <row r="130" spans="1:10" x14ac:dyDescent="0.25">
      <c r="A130" s="469"/>
      <c r="B130" s="469"/>
      <c r="C130" s="470"/>
      <c r="D130" s="470"/>
      <c r="E130" s="470"/>
      <c r="F130" s="470"/>
      <c r="G130" s="471"/>
      <c r="H130" s="472"/>
      <c r="I130" s="388"/>
    </row>
    <row r="131" spans="1:10" ht="15.75" hidden="1" customHeight="1" x14ac:dyDescent="0.25">
      <c r="A131" s="946" t="s">
        <v>445</v>
      </c>
      <c r="B131" s="932"/>
      <c r="C131" s="932"/>
      <c r="D131" s="399"/>
      <c r="E131" s="440" t="s">
        <v>118</v>
      </c>
      <c r="F131" s="953"/>
      <c r="G131" s="953"/>
      <c r="H131" s="953"/>
      <c r="I131" s="953"/>
    </row>
    <row r="132" spans="1:10" hidden="1" x14ac:dyDescent="0.25">
      <c r="B132" s="399"/>
      <c r="C132" s="954" t="s">
        <v>120</v>
      </c>
      <c r="D132" s="954"/>
      <c r="E132" s="954"/>
      <c r="F132" s="438"/>
      <c r="G132" s="438"/>
      <c r="H132" s="440" t="s">
        <v>446</v>
      </c>
      <c r="I132" s="438"/>
    </row>
    <row r="133" spans="1:10" hidden="1" x14ac:dyDescent="0.25">
      <c r="B133" s="399"/>
      <c r="C133" s="374" t="str">
        <f>C125</f>
        <v>Oct 2025</v>
      </c>
      <c r="D133" s="374" t="str">
        <f>D125</f>
        <v>Feb 2026</v>
      </c>
      <c r="E133" s="473" t="s">
        <v>123</v>
      </c>
      <c r="F133" s="947" t="s">
        <v>447</v>
      </c>
      <c r="G133" s="953"/>
      <c r="H133" s="438" t="s">
        <v>448</v>
      </c>
      <c r="I133" s="438"/>
    </row>
    <row r="134" spans="1:10" ht="15.75" hidden="1" customHeight="1" x14ac:dyDescent="0.25">
      <c r="A134" s="954" t="s">
        <v>119</v>
      </c>
      <c r="B134" s="954"/>
      <c r="C134" s="378" t="s">
        <v>52</v>
      </c>
      <c r="D134" s="378" t="s">
        <v>52</v>
      </c>
      <c r="E134" s="436" t="s">
        <v>52</v>
      </c>
      <c r="F134" s="954" t="s">
        <v>433</v>
      </c>
      <c r="G134" s="954"/>
      <c r="H134" s="436" t="s">
        <v>433</v>
      </c>
      <c r="I134" s="436" t="s">
        <v>123</v>
      </c>
    </row>
    <row r="135" spans="1:10" ht="15.75" hidden="1" customHeight="1" x14ac:dyDescent="0.25">
      <c r="A135" s="959" t="s">
        <v>124</v>
      </c>
      <c r="B135" s="959"/>
      <c r="C135" s="385">
        <v>0</v>
      </c>
      <c r="D135" s="385">
        <v>0</v>
      </c>
      <c r="E135" s="392">
        <f>IF(D31=0,C135*2,C135+D135)</f>
        <v>0</v>
      </c>
      <c r="F135" s="960">
        <v>0</v>
      </c>
      <c r="G135" s="960"/>
      <c r="H135" s="474">
        <f>IF(C135=0,0,125)</f>
        <v>0</v>
      </c>
      <c r="I135" s="388">
        <f>ROUND((H135+F135)*E135,2)</f>
        <v>0</v>
      </c>
    </row>
    <row r="136" spans="1:10" ht="15.75" hidden="1" customHeight="1" x14ac:dyDescent="0.25">
      <c r="A136" s="943" t="s">
        <v>125</v>
      </c>
      <c r="B136" s="943"/>
      <c r="C136" s="389">
        <v>0</v>
      </c>
      <c r="D136" s="389">
        <v>0</v>
      </c>
      <c r="E136" s="386">
        <f>IF(D32=0,C136*2,C136+D136)</f>
        <v>0</v>
      </c>
      <c r="F136" s="966">
        <f>ROUND(F135/2,2)</f>
        <v>0</v>
      </c>
      <c r="G136" s="966"/>
      <c r="H136" s="474">
        <f>IF(C136=0,0,62.5)</f>
        <v>0</v>
      </c>
      <c r="I136" s="388">
        <f>ROUND((H136+F136)*E136,2)</f>
        <v>0</v>
      </c>
    </row>
    <row r="137" spans="1:10" ht="15.75" hidden="1" customHeight="1" x14ac:dyDescent="0.25">
      <c r="A137" s="943" t="s">
        <v>126</v>
      </c>
      <c r="B137" s="943"/>
      <c r="C137" s="389">
        <v>0</v>
      </c>
      <c r="D137" s="389">
        <v>0</v>
      </c>
      <c r="E137" s="386">
        <f>IF(D33=0,C137*2,C137+D137)</f>
        <v>0</v>
      </c>
      <c r="F137" s="967"/>
      <c r="G137" s="967"/>
      <c r="H137" s="475">
        <f>IF(H135&gt;0,436,0)</f>
        <v>0</v>
      </c>
      <c r="I137" s="388">
        <f>ROUND(H137*E137,2)</f>
        <v>0</v>
      </c>
    </row>
    <row r="138" spans="1:10" ht="16.5" hidden="1" customHeight="1" x14ac:dyDescent="0.25">
      <c r="A138" s="953" t="s">
        <v>123</v>
      </c>
      <c r="B138" s="953"/>
      <c r="C138" s="470"/>
      <c r="D138" s="470"/>
      <c r="E138" s="470"/>
      <c r="F138" s="470"/>
      <c r="G138" s="470"/>
      <c r="H138" s="470"/>
      <c r="I138" s="395">
        <f>SUM(I135:I137)</f>
        <v>0</v>
      </c>
    </row>
    <row r="139" spans="1:10" hidden="1" x14ac:dyDescent="0.25">
      <c r="A139" s="438"/>
      <c r="B139" s="438"/>
      <c r="C139" s="470"/>
      <c r="D139" s="470"/>
      <c r="E139" s="470"/>
      <c r="F139" s="470"/>
      <c r="G139" s="470"/>
      <c r="H139" s="470"/>
      <c r="I139" s="388"/>
    </row>
    <row r="140" spans="1:10" x14ac:dyDescent="0.25">
      <c r="A140" s="946" t="s">
        <v>527</v>
      </c>
      <c r="B140" s="932"/>
      <c r="C140" s="932"/>
      <c r="D140" s="399"/>
      <c r="E140" s="476" t="s">
        <v>128</v>
      </c>
      <c r="F140" s="968"/>
      <c r="G140" s="968"/>
      <c r="H140" s="968"/>
      <c r="I140" s="479"/>
    </row>
    <row r="141" spans="1:10" x14ac:dyDescent="0.25">
      <c r="B141" s="399"/>
      <c r="C141" s="399"/>
      <c r="D141" s="399"/>
      <c r="E141" s="476"/>
      <c r="F141" s="476"/>
      <c r="G141" s="476"/>
      <c r="H141" s="476"/>
      <c r="I141" s="386"/>
    </row>
    <row r="142" spans="1:10" x14ac:dyDescent="0.25">
      <c r="A142" s="952" t="s">
        <v>123</v>
      </c>
      <c r="B142" s="952"/>
      <c r="C142" s="952"/>
      <c r="D142" s="952"/>
      <c r="E142" s="952"/>
      <c r="F142" s="952"/>
      <c r="G142" s="952"/>
      <c r="H142" s="952"/>
      <c r="I142" s="412">
        <f>SUM('0040:4141'!J107)</f>
        <v>213102595.11000001</v>
      </c>
      <c r="J142" s="477"/>
    </row>
    <row r="143" spans="1:10" x14ac:dyDescent="0.25">
      <c r="A143" s="397"/>
      <c r="B143" s="397"/>
      <c r="C143" s="397"/>
      <c r="D143" s="397"/>
      <c r="E143" s="397"/>
      <c r="F143" s="397"/>
      <c r="G143" s="397"/>
      <c r="H143" s="397"/>
      <c r="I143" s="388"/>
      <c r="J143" s="477"/>
    </row>
    <row r="144" spans="1:10" x14ac:dyDescent="0.25">
      <c r="A144" s="354" t="s">
        <v>449</v>
      </c>
      <c r="B144" s="397"/>
      <c r="C144" s="397"/>
      <c r="D144" s="397"/>
      <c r="E144" s="397"/>
      <c r="F144" s="397"/>
      <c r="G144" s="397"/>
      <c r="H144" s="397"/>
      <c r="I144" s="412">
        <f>SUM('0040:4141'!J109)</f>
        <v>201743252.24999997</v>
      </c>
      <c r="J144" s="477"/>
    </row>
    <row r="145" spans="1:13" x14ac:dyDescent="0.25">
      <c r="A145" s="397"/>
      <c r="B145" s="397"/>
      <c r="C145" s="397"/>
      <c r="D145" s="397"/>
      <c r="E145" s="397"/>
      <c r="F145" s="397"/>
      <c r="G145" s="397"/>
      <c r="H145" s="397"/>
      <c r="I145" s="388"/>
      <c r="J145" s="477"/>
    </row>
    <row r="146" spans="1:13" x14ac:dyDescent="0.25">
      <c r="A146" s="946" t="s">
        <v>450</v>
      </c>
      <c r="B146" s="932"/>
      <c r="C146" s="932"/>
      <c r="D146" s="932"/>
      <c r="E146" s="932"/>
      <c r="F146" s="932"/>
      <c r="G146" s="932"/>
      <c r="H146" s="354" t="s">
        <v>130</v>
      </c>
      <c r="I146" s="478"/>
      <c r="J146" s="477"/>
    </row>
    <row r="147" spans="1:13" x14ac:dyDescent="0.25">
      <c r="A147" s="932" t="s">
        <v>133</v>
      </c>
      <c r="B147" s="932"/>
      <c r="C147" s="932"/>
      <c r="D147" s="932"/>
      <c r="E147" s="932"/>
      <c r="F147" s="932"/>
      <c r="G147" s="932"/>
      <c r="H147" s="479"/>
      <c r="I147" s="412">
        <f>SUM('0040:4141'!J111)</f>
        <v>10157328.549999999</v>
      </c>
    </row>
    <row r="148" spans="1:13" x14ac:dyDescent="0.25">
      <c r="B148" s="399"/>
      <c r="C148" s="399"/>
      <c r="D148" s="399"/>
      <c r="E148" s="399"/>
      <c r="F148" s="399"/>
      <c r="G148" s="399"/>
      <c r="H148" s="470"/>
      <c r="I148" s="388"/>
    </row>
    <row r="149" spans="1:13" x14ac:dyDescent="0.25">
      <c r="A149" s="351" t="s">
        <v>178</v>
      </c>
      <c r="B149" s="399"/>
      <c r="C149" s="399"/>
      <c r="D149" s="399"/>
      <c r="E149" s="399"/>
      <c r="F149" s="399"/>
      <c r="G149" s="480"/>
      <c r="H149" s="481">
        <f>IF(H147=1,I147,I144)</f>
        <v>201743252.24999997</v>
      </c>
      <c r="I149" s="412">
        <f>SUM('0040:4141'!J114)</f>
        <v>-3104473.8100000005</v>
      </c>
    </row>
    <row r="150" spans="1:13" x14ac:dyDescent="0.25">
      <c r="B150" s="399"/>
      <c r="C150" s="399"/>
      <c r="D150" s="399"/>
      <c r="E150" s="399"/>
      <c r="F150" s="399"/>
      <c r="G150" s="399"/>
      <c r="H150" s="470"/>
      <c r="I150" s="388"/>
    </row>
    <row r="151" spans="1:13" x14ac:dyDescent="0.25">
      <c r="A151" s="482" t="s">
        <v>179</v>
      </c>
      <c r="B151" s="483"/>
      <c r="C151" s="483"/>
      <c r="D151" s="483"/>
      <c r="E151" s="483"/>
      <c r="F151" s="483"/>
      <c r="G151" s="483"/>
      <c r="H151" s="484"/>
      <c r="I151" s="485">
        <f>SUM('0040:4141'!J116)</f>
        <v>209998121.29999995</v>
      </c>
    </row>
    <row r="152" spans="1:13" x14ac:dyDescent="0.25">
      <c r="B152" s="399"/>
      <c r="C152" s="399"/>
      <c r="D152" s="399"/>
      <c r="E152" s="399"/>
      <c r="F152" s="399"/>
      <c r="G152" s="399"/>
      <c r="H152" s="470"/>
      <c r="I152" s="388"/>
    </row>
    <row r="153" spans="1:13" x14ac:dyDescent="0.25">
      <c r="A153" s="351" t="s">
        <v>180</v>
      </c>
      <c r="B153" s="399"/>
      <c r="C153" s="486"/>
      <c r="D153" s="399"/>
      <c r="F153" s="399"/>
      <c r="G153" s="399"/>
      <c r="H153" s="470"/>
      <c r="I153" s="487">
        <f>SUM('0040:4141'!J118)</f>
        <v>-35453998.770000003</v>
      </c>
      <c r="K153" s="452"/>
    </row>
    <row r="154" spans="1:13" x14ac:dyDescent="0.25">
      <c r="B154" s="399"/>
      <c r="C154" s="399"/>
      <c r="D154" s="399"/>
      <c r="E154" s="399"/>
      <c r="F154" s="399"/>
      <c r="G154" s="399"/>
      <c r="H154" s="470"/>
      <c r="I154" s="388"/>
    </row>
    <row r="155" spans="1:13" x14ac:dyDescent="0.25">
      <c r="A155" s="351" t="s">
        <v>181</v>
      </c>
      <c r="B155" s="399"/>
      <c r="C155" s="399"/>
      <c r="D155" s="399"/>
      <c r="E155" s="399"/>
      <c r="F155" s="399"/>
      <c r="G155" s="399"/>
      <c r="H155" s="470"/>
      <c r="I155" s="388">
        <f>SUM('0040:4141'!J120)</f>
        <v>174544122.53000003</v>
      </c>
    </row>
    <row r="156" spans="1:13" x14ac:dyDescent="0.25">
      <c r="A156" s="351"/>
      <c r="B156" s="399"/>
      <c r="C156" s="399"/>
      <c r="D156" s="399"/>
      <c r="E156" s="399"/>
      <c r="F156" s="399"/>
      <c r="G156" s="399"/>
      <c r="H156" s="470"/>
      <c r="I156" s="388"/>
    </row>
    <row r="157" spans="1:13" x14ac:dyDescent="0.25">
      <c r="A157" s="351" t="s">
        <v>182</v>
      </c>
      <c r="B157" s="399"/>
      <c r="C157" s="399"/>
      <c r="D157" s="399"/>
      <c r="E157" s="399"/>
      <c r="F157" s="399"/>
      <c r="G157" s="399"/>
      <c r="H157" s="470"/>
      <c r="I157" s="684">
        <v>10</v>
      </c>
    </row>
    <row r="158" spans="1:13" x14ac:dyDescent="0.25">
      <c r="B158" s="399"/>
      <c r="C158" s="399"/>
      <c r="D158" s="399"/>
      <c r="E158" s="399"/>
      <c r="F158" s="399"/>
      <c r="G158" s="399"/>
      <c r="H158" s="470"/>
      <c r="I158" s="388"/>
    </row>
    <row r="159" spans="1:13" ht="16.5" thickBot="1" x14ac:dyDescent="0.3">
      <c r="A159" s="351" t="s">
        <v>183</v>
      </c>
      <c r="B159" s="399"/>
      <c r="C159" s="399"/>
      <c r="D159" s="399"/>
      <c r="E159" s="399"/>
      <c r="F159" s="399"/>
      <c r="G159" s="399"/>
      <c r="H159" s="470"/>
      <c r="I159" s="488">
        <f>SUM('0040:4141'!J124)</f>
        <v>17454412.300000004</v>
      </c>
      <c r="J159" s="452"/>
      <c r="K159" s="456"/>
      <c r="L159" s="456"/>
      <c r="M159" s="456"/>
    </row>
    <row r="160" spans="1:13" s="496" customFormat="1" ht="16.5" thickTop="1" x14ac:dyDescent="0.25">
      <c r="A160" s="489"/>
      <c r="B160" s="489"/>
      <c r="C160" s="490"/>
      <c r="D160" s="491"/>
      <c r="E160" s="492"/>
      <c r="F160" s="367"/>
      <c r="G160" s="493"/>
      <c r="H160" s="494"/>
      <c r="I160" s="495"/>
    </row>
    <row r="161" spans="1:8" x14ac:dyDescent="0.25">
      <c r="A161" s="964" t="s">
        <v>134</v>
      </c>
      <c r="B161" s="964"/>
      <c r="C161" s="964"/>
      <c r="D161" s="964"/>
      <c r="E161" s="964"/>
      <c r="F161" s="964"/>
      <c r="G161" s="964"/>
      <c r="H161" s="964"/>
    </row>
    <row r="162" spans="1:8" ht="26.25" customHeight="1" x14ac:dyDescent="0.25">
      <c r="A162" s="965" t="s">
        <v>451</v>
      </c>
      <c r="B162" s="965"/>
      <c r="C162" s="965"/>
      <c r="D162" s="965"/>
      <c r="E162" s="965"/>
      <c r="F162" s="965"/>
      <c r="G162" s="965"/>
      <c r="H162" s="965"/>
    </row>
    <row r="163" spans="1:8" x14ac:dyDescent="0.25">
      <c r="A163" s="964" t="s">
        <v>452</v>
      </c>
      <c r="B163" s="964"/>
      <c r="C163" s="964"/>
      <c r="D163" s="964"/>
      <c r="E163" s="964"/>
      <c r="F163" s="964"/>
      <c r="G163" s="964"/>
      <c r="H163" s="964"/>
    </row>
    <row r="164" spans="1:8" x14ac:dyDescent="0.25">
      <c r="A164" s="964" t="s">
        <v>453</v>
      </c>
      <c r="B164" s="964"/>
      <c r="C164" s="964"/>
      <c r="D164" s="964"/>
      <c r="E164" s="964"/>
      <c r="F164" s="964"/>
      <c r="G164" s="964"/>
      <c r="H164" s="964"/>
    </row>
    <row r="165" spans="1:8" x14ac:dyDescent="0.25">
      <c r="A165" s="964" t="s">
        <v>454</v>
      </c>
      <c r="B165" s="964"/>
      <c r="C165" s="964"/>
      <c r="D165" s="964"/>
      <c r="E165" s="964"/>
      <c r="F165" s="964"/>
      <c r="G165" s="964"/>
      <c r="H165" s="964"/>
    </row>
    <row r="166" spans="1:8" x14ac:dyDescent="0.25">
      <c r="A166" s="964" t="s">
        <v>455</v>
      </c>
      <c r="B166" s="964"/>
      <c r="C166" s="964"/>
      <c r="D166" s="964"/>
      <c r="E166" s="964"/>
      <c r="F166" s="964"/>
      <c r="G166" s="964"/>
      <c r="H166" s="964"/>
    </row>
    <row r="167" spans="1:8" x14ac:dyDescent="0.25">
      <c r="A167" s="964" t="s">
        <v>456</v>
      </c>
      <c r="B167" s="964"/>
      <c r="C167" s="964"/>
      <c r="D167" s="964"/>
      <c r="E167" s="964"/>
      <c r="F167" s="964"/>
      <c r="G167" s="964"/>
      <c r="H167" s="964"/>
    </row>
    <row r="168" spans="1:8" ht="26.25" customHeight="1" x14ac:dyDescent="0.25">
      <c r="A168" s="965" t="s">
        <v>457</v>
      </c>
      <c r="B168" s="965"/>
      <c r="C168" s="965"/>
      <c r="D168" s="965"/>
      <c r="E168" s="965"/>
      <c r="F168" s="965"/>
      <c r="G168" s="965"/>
      <c r="H168" s="965"/>
    </row>
    <row r="169" spans="1:8" ht="26.25" customHeight="1" x14ac:dyDescent="0.25">
      <c r="A169" s="965" t="s">
        <v>142</v>
      </c>
      <c r="B169" s="965"/>
      <c r="C169" s="965"/>
      <c r="D169" s="965"/>
      <c r="E169" s="965"/>
      <c r="F169" s="965"/>
      <c r="G169" s="965"/>
      <c r="H169" s="965"/>
    </row>
    <row r="170" spans="1:8" ht="26.25" customHeight="1" x14ac:dyDescent="0.25">
      <c r="A170" s="965" t="s">
        <v>458</v>
      </c>
      <c r="B170" s="965"/>
      <c r="C170" s="965"/>
      <c r="D170" s="965"/>
      <c r="E170" s="965"/>
      <c r="F170" s="965"/>
      <c r="G170" s="965"/>
      <c r="H170" s="965"/>
    </row>
    <row r="171" spans="1:8" ht="16.5" customHeight="1" x14ac:dyDescent="0.25">
      <c r="A171" s="497" t="s">
        <v>144</v>
      </c>
      <c r="B171" s="497"/>
      <c r="C171" s="497"/>
      <c r="D171" s="497"/>
      <c r="E171" s="497"/>
      <c r="F171" s="497"/>
      <c r="G171" s="497"/>
      <c r="H171" s="497"/>
    </row>
    <row r="172" spans="1:8" ht="26.25" customHeight="1" x14ac:dyDescent="0.25">
      <c r="A172" s="965" t="s">
        <v>145</v>
      </c>
      <c r="B172" s="965"/>
      <c r="C172" s="965"/>
      <c r="D172" s="965"/>
      <c r="E172" s="965"/>
      <c r="F172" s="965"/>
      <c r="G172" s="965"/>
      <c r="H172" s="965"/>
    </row>
    <row r="173" spans="1:8" ht="26.25" customHeight="1" x14ac:dyDescent="0.25">
      <c r="A173" s="965" t="s">
        <v>146</v>
      </c>
      <c r="B173" s="965"/>
      <c r="C173" s="965"/>
      <c r="D173" s="965"/>
      <c r="E173" s="965"/>
      <c r="F173" s="965"/>
      <c r="G173" s="965"/>
      <c r="H173" s="965"/>
    </row>
    <row r="174" spans="1:8" x14ac:dyDescent="0.25">
      <c r="A174" s="969" t="s">
        <v>147</v>
      </c>
      <c r="B174" s="965"/>
      <c r="C174" s="965"/>
      <c r="D174" s="965"/>
      <c r="E174" s="965"/>
      <c r="F174" s="965"/>
      <c r="G174" s="965"/>
      <c r="H174" s="965"/>
    </row>
    <row r="175" spans="1:8" ht="54.75" customHeight="1" x14ac:dyDescent="0.25">
      <c r="A175" s="970" t="s">
        <v>148</v>
      </c>
      <c r="B175" s="970"/>
      <c r="C175" s="970"/>
      <c r="D175" s="970"/>
      <c r="E175" s="970"/>
      <c r="F175" s="970"/>
      <c r="G175" s="970"/>
      <c r="H175" s="970"/>
    </row>
    <row r="176" spans="1:8" ht="42.75" customHeight="1" x14ac:dyDescent="0.25">
      <c r="A176" s="970" t="s">
        <v>149</v>
      </c>
      <c r="B176" s="970"/>
      <c r="C176" s="970"/>
      <c r="D176" s="970"/>
      <c r="E176" s="970"/>
      <c r="F176" s="970"/>
      <c r="G176" s="970"/>
      <c r="H176" s="970"/>
    </row>
    <row r="177" spans="1:8" x14ac:dyDescent="0.25">
      <c r="A177" s="498"/>
      <c r="B177" s="498"/>
      <c r="C177" s="498"/>
      <c r="D177" s="498"/>
      <c r="E177" s="498"/>
      <c r="F177" s="498"/>
      <c r="G177" s="498"/>
      <c r="H177" s="498"/>
    </row>
    <row r="178" spans="1:8" x14ac:dyDescent="0.25">
      <c r="A178" s="969" t="s">
        <v>150</v>
      </c>
      <c r="B178" s="969"/>
      <c r="C178" s="969"/>
      <c r="D178" s="969"/>
      <c r="E178" s="969"/>
      <c r="F178" s="969"/>
      <c r="G178" s="969"/>
      <c r="H178" s="969"/>
    </row>
    <row r="179" spans="1:8" ht="26.25" customHeight="1" x14ac:dyDescent="0.25">
      <c r="A179" s="970" t="s">
        <v>151</v>
      </c>
      <c r="B179" s="970"/>
      <c r="C179" s="970"/>
      <c r="D179" s="970"/>
      <c r="E179" s="970"/>
      <c r="F179" s="970"/>
      <c r="G179" s="970"/>
      <c r="H179" s="970"/>
    </row>
    <row r="180" spans="1:8" x14ac:dyDescent="0.25">
      <c r="A180" s="971" t="s">
        <v>152</v>
      </c>
      <c r="B180" s="971"/>
      <c r="C180" s="971"/>
      <c r="D180" s="971"/>
      <c r="E180" s="971"/>
      <c r="F180" s="971"/>
      <c r="G180" s="971"/>
      <c r="H180" s="971"/>
    </row>
  </sheetData>
  <mergeCells count="122">
    <mergeCell ref="A178:H178"/>
    <mergeCell ref="A179:H179"/>
    <mergeCell ref="A180:H180"/>
    <mergeCell ref="A96:B96"/>
    <mergeCell ref="E96:I96"/>
    <mergeCell ref="A97:B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A106:B106"/>
    <mergeCell ref="A99:B99"/>
    <mergeCell ref="A101:B101"/>
    <mergeCell ref="A102:B102"/>
    <mergeCell ref="A147:G147"/>
    <mergeCell ref="A161:H161"/>
    <mergeCell ref="A162:H162"/>
    <mergeCell ref="A163:H163"/>
    <mergeCell ref="A136:B136"/>
    <mergeCell ref="F136:G136"/>
    <mergeCell ref="A137:B137"/>
    <mergeCell ref="F137:G137"/>
    <mergeCell ref="A138:B138"/>
    <mergeCell ref="A140:C140"/>
    <mergeCell ref="F140:H140"/>
    <mergeCell ref="C132:E132"/>
    <mergeCell ref="F133:G133"/>
    <mergeCell ref="A134:B134"/>
    <mergeCell ref="F134:G134"/>
    <mergeCell ref="A135:B135"/>
    <mergeCell ref="F135:G135"/>
    <mergeCell ref="A122:I122"/>
    <mergeCell ref="F124:I124"/>
    <mergeCell ref="A127:B127"/>
    <mergeCell ref="A128:B128"/>
    <mergeCell ref="A131:C131"/>
    <mergeCell ref="F131:I13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A74:B74"/>
    <mergeCell ref="D74:G74"/>
    <mergeCell ref="A77:B77"/>
    <mergeCell ref="D77:G77"/>
    <mergeCell ref="A80:B80"/>
    <mergeCell ref="D80:G80"/>
    <mergeCell ref="A42:B42"/>
    <mergeCell ref="A43:B43"/>
    <mergeCell ref="A44:B44"/>
    <mergeCell ref="A59:B67"/>
    <mergeCell ref="F68:H68"/>
    <mergeCell ref="A71:B71"/>
    <mergeCell ref="D71:G71"/>
    <mergeCell ref="F31:G31"/>
    <mergeCell ref="A32:B32"/>
    <mergeCell ref="A38:B38"/>
    <mergeCell ref="A39:B39"/>
    <mergeCell ref="A40:B40"/>
    <mergeCell ref="A41:B41"/>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A16:B16"/>
    <mergeCell ref="F16:G16"/>
    <mergeCell ref="A17:B17"/>
    <mergeCell ref="F17:G17"/>
    <mergeCell ref="A18:B18"/>
    <mergeCell ref="F18:G18"/>
    <mergeCell ref="A13:B13"/>
    <mergeCell ref="F13:G13"/>
    <mergeCell ref="A14:B14"/>
    <mergeCell ref="F14:G14"/>
    <mergeCell ref="A15:B15"/>
    <mergeCell ref="F15:G15"/>
    <mergeCell ref="B1:I1"/>
    <mergeCell ref="A4:B4"/>
    <mergeCell ref="C4:E4"/>
    <mergeCell ref="F11:G11"/>
    <mergeCell ref="A12:B12"/>
    <mergeCell ref="F12:G12"/>
    <mergeCell ref="A3:J3"/>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38E41-15F0-4EA6-B483-94A6F9969AB9}">
  <sheetPr>
    <tabColor rgb="FF00B0F0"/>
  </sheetPr>
  <dimension ref="A1:G725"/>
  <sheetViews>
    <sheetView topLeftCell="A421" workbookViewId="0">
      <selection activeCell="C435" sqref="C435"/>
    </sheetView>
  </sheetViews>
  <sheetFormatPr defaultRowHeight="15" x14ac:dyDescent="0.25"/>
  <cols>
    <col min="2" max="2" width="12.28515625" customWidth="1"/>
    <col min="3" max="3" width="17.7109375" customWidth="1"/>
    <col min="4" max="4" width="17.5703125" customWidth="1"/>
    <col min="6" max="6" width="12.5703125" customWidth="1"/>
  </cols>
  <sheetData>
    <row r="1" spans="1:7" x14ac:dyDescent="0.25">
      <c r="A1" s="855"/>
      <c r="B1" s="855" t="s">
        <v>649</v>
      </c>
      <c r="C1" s="856"/>
      <c r="D1" s="857"/>
    </row>
    <row r="2" spans="1:7" x14ac:dyDescent="0.25">
      <c r="A2" s="855"/>
      <c r="B2" s="855" t="s">
        <v>650</v>
      </c>
      <c r="C2" s="855" t="s">
        <v>651</v>
      </c>
      <c r="D2" s="857"/>
    </row>
    <row r="3" spans="1:7" x14ac:dyDescent="0.25">
      <c r="A3" s="855"/>
      <c r="B3" s="855" t="s">
        <v>652</v>
      </c>
      <c r="C3" s="856"/>
      <c r="D3" s="857"/>
    </row>
    <row r="4" spans="1:7" x14ac:dyDescent="0.25">
      <c r="A4" s="858"/>
      <c r="B4" s="855"/>
      <c r="C4" s="856"/>
      <c r="D4" s="857"/>
    </row>
    <row r="5" spans="1:7" ht="15.75" thickBot="1" x14ac:dyDescent="0.3">
      <c r="A5" s="859" t="s">
        <v>653</v>
      </c>
      <c r="B5" s="860" t="s">
        <v>654</v>
      </c>
      <c r="C5" s="859" t="s">
        <v>52</v>
      </c>
      <c r="D5" s="859" t="s">
        <v>655</v>
      </c>
      <c r="E5" s="893" t="s">
        <v>656</v>
      </c>
      <c r="F5" s="767" t="s">
        <v>613</v>
      </c>
      <c r="G5" s="778" t="s">
        <v>614</v>
      </c>
    </row>
    <row r="6" spans="1:7" x14ac:dyDescent="0.25">
      <c r="A6" s="861"/>
      <c r="B6" s="862" t="s">
        <v>269</v>
      </c>
      <c r="C6" s="863" t="s">
        <v>657</v>
      </c>
      <c r="D6" s="857"/>
      <c r="E6">
        <v>1</v>
      </c>
    </row>
    <row r="7" spans="1:7" x14ac:dyDescent="0.25">
      <c r="A7" s="861"/>
      <c r="B7" s="856">
        <v>111</v>
      </c>
      <c r="C7" s="864"/>
      <c r="D7" s="865">
        <f>C7/C10</f>
        <v>0</v>
      </c>
      <c r="E7">
        <v>2</v>
      </c>
    </row>
    <row r="8" spans="1:7" x14ac:dyDescent="0.25">
      <c r="A8" s="861"/>
      <c r="B8" s="856">
        <v>112</v>
      </c>
      <c r="C8" s="866">
        <v>3.5</v>
      </c>
      <c r="D8" s="867">
        <f>C8/C10</f>
        <v>1</v>
      </c>
      <c r="E8">
        <v>3</v>
      </c>
    </row>
    <row r="9" spans="1:7" x14ac:dyDescent="0.25">
      <c r="A9" s="861"/>
      <c r="B9" s="856">
        <v>113</v>
      </c>
      <c r="C9" s="868">
        <v>0</v>
      </c>
      <c r="D9" s="869">
        <f>C9/C10</f>
        <v>0</v>
      </c>
      <c r="E9">
        <v>4</v>
      </c>
    </row>
    <row r="10" spans="1:7" x14ac:dyDescent="0.25">
      <c r="A10" s="861"/>
      <c r="B10" s="856"/>
      <c r="C10" s="870">
        <f>SUM(C7:C9)</f>
        <v>3.5</v>
      </c>
      <c r="D10" s="871"/>
      <c r="E10">
        <v>5</v>
      </c>
    </row>
    <row r="11" spans="1:7" x14ac:dyDescent="0.25">
      <c r="A11" s="861"/>
      <c r="B11" s="872" t="s">
        <v>658</v>
      </c>
      <c r="C11" s="873">
        <v>0</v>
      </c>
      <c r="D11" s="874">
        <f>IF(C11=0,0,C11/(C11+C12+C13))</f>
        <v>0</v>
      </c>
      <c r="E11">
        <v>6</v>
      </c>
      <c r="F11" s="875">
        <v>0</v>
      </c>
      <c r="G11" s="875">
        <v>0</v>
      </c>
    </row>
    <row r="12" spans="1:7" x14ac:dyDescent="0.25">
      <c r="A12" s="861"/>
      <c r="B12" s="872" t="s">
        <v>659</v>
      </c>
      <c r="C12" s="876">
        <v>0</v>
      </c>
      <c r="D12" s="865">
        <f>IF(C12=0,0,C12/(C11+C12+C13))</f>
        <v>0</v>
      </c>
      <c r="E12">
        <v>7</v>
      </c>
      <c r="F12" s="875">
        <v>0</v>
      </c>
      <c r="G12" s="875">
        <v>0</v>
      </c>
    </row>
    <row r="13" spans="1:7" x14ac:dyDescent="0.25">
      <c r="A13" s="861"/>
      <c r="B13" s="872" t="s">
        <v>660</v>
      </c>
      <c r="C13" s="876">
        <v>0</v>
      </c>
      <c r="D13" s="865">
        <f>IF(C13=0,0,C13/(C11+C12+C13))</f>
        <v>0</v>
      </c>
      <c r="E13">
        <v>8</v>
      </c>
      <c r="F13" s="875">
        <v>0</v>
      </c>
      <c r="G13" s="875">
        <v>0</v>
      </c>
    </row>
    <row r="14" spans="1:7" x14ac:dyDescent="0.25">
      <c r="A14" s="861"/>
      <c r="B14" s="872" t="s">
        <v>661</v>
      </c>
      <c r="C14" s="877">
        <v>3</v>
      </c>
      <c r="D14" s="867">
        <f>IF(C14=0,0,C14/(C14+C15+C16))</f>
        <v>0.8571428571428571</v>
      </c>
      <c r="E14">
        <v>9</v>
      </c>
      <c r="F14" s="875">
        <v>3</v>
      </c>
      <c r="G14" s="875">
        <v>3.4</v>
      </c>
    </row>
    <row r="15" spans="1:7" x14ac:dyDescent="0.25">
      <c r="A15" s="861"/>
      <c r="B15" s="878" t="s">
        <v>662</v>
      </c>
      <c r="C15" s="877">
        <v>0.5</v>
      </c>
      <c r="D15" s="867">
        <f>IF(C15=0,0,C15/(C14+C15+C16))</f>
        <v>0.14285714285714285</v>
      </c>
      <c r="E15">
        <v>10</v>
      </c>
      <c r="F15" s="875">
        <v>0.5</v>
      </c>
      <c r="G15" s="875">
        <v>0.56999999999999995</v>
      </c>
    </row>
    <row r="16" spans="1:7" x14ac:dyDescent="0.25">
      <c r="A16" s="861"/>
      <c r="B16" s="878" t="s">
        <v>663</v>
      </c>
      <c r="C16" s="877">
        <v>0</v>
      </c>
      <c r="D16" s="867">
        <f>IF(C16=0,0,C16/(C14+C15+C16))</f>
        <v>0</v>
      </c>
      <c r="E16">
        <v>11</v>
      </c>
      <c r="F16" s="875">
        <v>0</v>
      </c>
      <c r="G16" s="875">
        <v>0</v>
      </c>
    </row>
    <row r="17" spans="1:7" x14ac:dyDescent="0.25">
      <c r="A17" s="861"/>
      <c r="B17" s="872" t="s">
        <v>664</v>
      </c>
      <c r="C17" s="879">
        <v>0</v>
      </c>
      <c r="D17" s="869">
        <f>IF(C17=0,0,C17/(C17+C18+C19))</f>
        <v>0</v>
      </c>
      <c r="E17">
        <v>12</v>
      </c>
      <c r="F17" s="875">
        <v>0</v>
      </c>
      <c r="G17" s="875">
        <v>0</v>
      </c>
    </row>
    <row r="18" spans="1:7" x14ac:dyDescent="0.25">
      <c r="A18" s="861"/>
      <c r="B18" s="872" t="s">
        <v>665</v>
      </c>
      <c r="C18" s="879">
        <v>0</v>
      </c>
      <c r="D18" s="869">
        <f>IF(C18=0,0,C18/(C17+C18+C19))</f>
        <v>0</v>
      </c>
      <c r="E18">
        <v>13</v>
      </c>
      <c r="F18" s="875">
        <v>0</v>
      </c>
      <c r="G18" s="875">
        <v>0</v>
      </c>
    </row>
    <row r="19" spans="1:7" x14ac:dyDescent="0.25">
      <c r="A19" s="861"/>
      <c r="B19" s="872" t="s">
        <v>666</v>
      </c>
      <c r="C19" s="879">
        <v>0</v>
      </c>
      <c r="D19" s="869">
        <f>IF(C19=0,0,C19/(C17+C18+C19))</f>
        <v>0</v>
      </c>
      <c r="E19">
        <v>14</v>
      </c>
      <c r="F19" s="875">
        <v>0</v>
      </c>
      <c r="G19" s="875">
        <v>0</v>
      </c>
    </row>
    <row r="20" spans="1:7" x14ac:dyDescent="0.25">
      <c r="A20" s="861"/>
      <c r="B20" s="856"/>
      <c r="C20" s="880">
        <f>SUM(C11:C19)</f>
        <v>3.5</v>
      </c>
      <c r="D20" s="881">
        <v>1</v>
      </c>
      <c r="E20">
        <v>15</v>
      </c>
    </row>
    <row r="21" spans="1:7" x14ac:dyDescent="0.25">
      <c r="A21" s="861" t="s">
        <v>271</v>
      </c>
      <c r="B21" s="862" t="s">
        <v>271</v>
      </c>
      <c r="C21" s="863" t="s">
        <v>667</v>
      </c>
      <c r="D21" s="857"/>
      <c r="E21">
        <v>1</v>
      </c>
    </row>
    <row r="22" spans="1:7" x14ac:dyDescent="0.25">
      <c r="A22" s="861" t="s">
        <v>271</v>
      </c>
      <c r="B22" s="856">
        <v>111</v>
      </c>
      <c r="C22" s="864">
        <v>0</v>
      </c>
      <c r="D22" s="865">
        <f>C22/C25</f>
        <v>0</v>
      </c>
      <c r="E22">
        <v>2</v>
      </c>
    </row>
    <row r="23" spans="1:7" x14ac:dyDescent="0.25">
      <c r="A23" s="861" t="s">
        <v>271</v>
      </c>
      <c r="B23" s="856">
        <v>112</v>
      </c>
      <c r="C23" s="866">
        <v>0</v>
      </c>
      <c r="D23" s="867">
        <f>C23/C25</f>
        <v>0</v>
      </c>
      <c r="E23">
        <v>3</v>
      </c>
    </row>
    <row r="24" spans="1:7" x14ac:dyDescent="0.25">
      <c r="A24" s="861" t="s">
        <v>271</v>
      </c>
      <c r="B24" s="856">
        <v>113</v>
      </c>
      <c r="C24" s="868">
        <v>1.02</v>
      </c>
      <c r="D24" s="869">
        <f>C24/C25</f>
        <v>1</v>
      </c>
      <c r="E24">
        <v>4</v>
      </c>
    </row>
    <row r="25" spans="1:7" x14ac:dyDescent="0.25">
      <c r="A25" s="861" t="s">
        <v>271</v>
      </c>
      <c r="B25" s="856"/>
      <c r="C25" s="870">
        <f>SUM(C22:C24)</f>
        <v>1.02</v>
      </c>
      <c r="D25" s="871"/>
      <c r="E25">
        <v>5</v>
      </c>
    </row>
    <row r="26" spans="1:7" x14ac:dyDescent="0.25">
      <c r="A26" s="861" t="s">
        <v>271</v>
      </c>
      <c r="B26" s="872" t="s">
        <v>658</v>
      </c>
      <c r="C26" s="882">
        <v>0</v>
      </c>
      <c r="D26" s="874">
        <f>IF(C26=0,0,C26/(C26+C27+C28))</f>
        <v>0</v>
      </c>
      <c r="E26">
        <v>6</v>
      </c>
      <c r="F26" s="875">
        <v>0</v>
      </c>
      <c r="G26" s="875">
        <v>0</v>
      </c>
    </row>
    <row r="27" spans="1:7" x14ac:dyDescent="0.25">
      <c r="A27" s="861" t="s">
        <v>271</v>
      </c>
      <c r="B27" s="872" t="s">
        <v>659</v>
      </c>
      <c r="C27" s="864">
        <v>0</v>
      </c>
      <c r="D27" s="865">
        <f>IF(C27=0,0,C27/(C26+C27+C28))</f>
        <v>0</v>
      </c>
      <c r="E27">
        <v>7</v>
      </c>
      <c r="F27" s="875">
        <v>0</v>
      </c>
      <c r="G27" s="875">
        <v>0</v>
      </c>
    </row>
    <row r="28" spans="1:7" x14ac:dyDescent="0.25">
      <c r="A28" s="861" t="s">
        <v>271</v>
      </c>
      <c r="B28" s="872" t="s">
        <v>660</v>
      </c>
      <c r="C28" s="864">
        <v>0</v>
      </c>
      <c r="D28" s="865">
        <f>IF(C28=0,0,C28/(C26+C27+C28))</f>
        <v>0</v>
      </c>
      <c r="E28">
        <v>8</v>
      </c>
      <c r="F28" s="875">
        <v>0</v>
      </c>
      <c r="G28" s="875">
        <v>0</v>
      </c>
    </row>
    <row r="29" spans="1:7" x14ac:dyDescent="0.25">
      <c r="A29" s="861" t="s">
        <v>271</v>
      </c>
      <c r="B29" s="872" t="s">
        <v>661</v>
      </c>
      <c r="C29" s="866">
        <v>0</v>
      </c>
      <c r="D29" s="867">
        <f>IF(C29=0,0,C29/(C29+C30+C31))</f>
        <v>0</v>
      </c>
      <c r="E29">
        <v>9</v>
      </c>
      <c r="F29" s="875">
        <v>0</v>
      </c>
      <c r="G29" s="875">
        <v>0</v>
      </c>
    </row>
    <row r="30" spans="1:7" x14ac:dyDescent="0.25">
      <c r="A30" s="861" t="s">
        <v>271</v>
      </c>
      <c r="B30" s="872" t="s">
        <v>662</v>
      </c>
      <c r="C30" s="866">
        <v>0</v>
      </c>
      <c r="D30" s="867">
        <f>IF(C30=0,0,C30/(C29+C30+C31))</f>
        <v>0</v>
      </c>
      <c r="E30">
        <v>10</v>
      </c>
      <c r="F30" s="875">
        <v>0</v>
      </c>
      <c r="G30" s="875">
        <v>0</v>
      </c>
    </row>
    <row r="31" spans="1:7" x14ac:dyDescent="0.25">
      <c r="A31" s="861" t="s">
        <v>271</v>
      </c>
      <c r="B31" s="872" t="s">
        <v>663</v>
      </c>
      <c r="C31" s="866">
        <v>0</v>
      </c>
      <c r="D31" s="867">
        <f>IF(C31=0,0,C31/(C29+C30+C31))</f>
        <v>0</v>
      </c>
      <c r="E31">
        <v>11</v>
      </c>
      <c r="F31" s="875">
        <v>0</v>
      </c>
      <c r="G31" s="875">
        <v>0</v>
      </c>
    </row>
    <row r="32" spans="1:7" x14ac:dyDescent="0.25">
      <c r="A32" s="861" t="s">
        <v>271</v>
      </c>
      <c r="B32" s="872" t="s">
        <v>664</v>
      </c>
      <c r="C32" s="868">
        <v>1.02</v>
      </c>
      <c r="D32" s="869">
        <f>IF(C32=0,0,C32/(C32+C33+C34))</f>
        <v>1</v>
      </c>
      <c r="E32">
        <v>12</v>
      </c>
      <c r="F32" s="875">
        <v>0.5</v>
      </c>
      <c r="G32" s="875">
        <v>0</v>
      </c>
    </row>
    <row r="33" spans="1:7" x14ac:dyDescent="0.25">
      <c r="A33" s="861" t="s">
        <v>271</v>
      </c>
      <c r="B33" s="878" t="s">
        <v>665</v>
      </c>
      <c r="C33" s="868">
        <v>0</v>
      </c>
      <c r="D33" s="869">
        <f>IF(C33=0,0,C33/(C32+C33+C34))</f>
        <v>0</v>
      </c>
      <c r="E33">
        <v>13</v>
      </c>
      <c r="F33" s="875">
        <v>0</v>
      </c>
      <c r="G33" s="875">
        <v>0</v>
      </c>
    </row>
    <row r="34" spans="1:7" x14ac:dyDescent="0.25">
      <c r="A34" s="861" t="s">
        <v>271</v>
      </c>
      <c r="B34" s="878" t="s">
        <v>666</v>
      </c>
      <c r="C34" s="868">
        <v>0</v>
      </c>
      <c r="D34" s="869">
        <f>IF(C34=0,0,C34/(C32+C33+C34))</f>
        <v>0</v>
      </c>
      <c r="E34">
        <v>14</v>
      </c>
      <c r="F34" s="875">
        <v>0</v>
      </c>
      <c r="G34" s="875">
        <v>0</v>
      </c>
    </row>
    <row r="35" spans="1:7" x14ac:dyDescent="0.25">
      <c r="A35" s="861" t="s">
        <v>271</v>
      </c>
      <c r="B35" s="856"/>
      <c r="C35" s="880">
        <f>SUM(C26:C34)</f>
        <v>1.02</v>
      </c>
      <c r="D35" s="881">
        <v>1</v>
      </c>
      <c r="E35">
        <v>15</v>
      </c>
    </row>
    <row r="36" spans="1:7" x14ac:dyDescent="0.25">
      <c r="A36" s="861" t="s">
        <v>582</v>
      </c>
      <c r="B36" s="883" t="s">
        <v>582</v>
      </c>
      <c r="C36" s="863" t="s">
        <v>583</v>
      </c>
      <c r="D36" s="857"/>
      <c r="E36">
        <v>1</v>
      </c>
    </row>
    <row r="37" spans="1:7" x14ac:dyDescent="0.25">
      <c r="A37" s="861" t="s">
        <v>582</v>
      </c>
      <c r="B37" s="856">
        <v>111</v>
      </c>
      <c r="C37" s="864"/>
      <c r="D37" s="865">
        <f>C37/C40</f>
        <v>0</v>
      </c>
      <c r="E37">
        <v>2</v>
      </c>
    </row>
    <row r="38" spans="1:7" x14ac:dyDescent="0.25">
      <c r="A38" s="861" t="s">
        <v>582</v>
      </c>
      <c r="B38" s="856">
        <v>112</v>
      </c>
      <c r="C38" s="866">
        <v>0.5</v>
      </c>
      <c r="D38" s="867">
        <f>C38/C40</f>
        <v>5.0505050505050504E-2</v>
      </c>
      <c r="E38">
        <v>3</v>
      </c>
    </row>
    <row r="39" spans="1:7" x14ac:dyDescent="0.25">
      <c r="A39" s="861" t="s">
        <v>582</v>
      </c>
      <c r="B39" s="856">
        <v>113</v>
      </c>
      <c r="C39" s="868">
        <v>9.4</v>
      </c>
      <c r="D39" s="869">
        <f>C39/C40</f>
        <v>0.9494949494949495</v>
      </c>
      <c r="E39">
        <v>4</v>
      </c>
    </row>
    <row r="40" spans="1:7" x14ac:dyDescent="0.25">
      <c r="A40" s="861" t="s">
        <v>582</v>
      </c>
      <c r="B40" s="856"/>
      <c r="C40" s="870">
        <f>SUM(C37:C39)</f>
        <v>9.9</v>
      </c>
      <c r="D40" s="871"/>
      <c r="E40">
        <v>5</v>
      </c>
    </row>
    <row r="41" spans="1:7" x14ac:dyDescent="0.25">
      <c r="A41" s="861" t="s">
        <v>582</v>
      </c>
      <c r="B41" s="872" t="s">
        <v>658</v>
      </c>
      <c r="C41" s="882">
        <v>0</v>
      </c>
      <c r="D41" s="874">
        <f>IF(C41=0,0,C41/(C41+C42+C43))</f>
        <v>0</v>
      </c>
      <c r="E41">
        <v>6</v>
      </c>
      <c r="F41" s="875">
        <v>0</v>
      </c>
      <c r="G41" s="875">
        <v>0</v>
      </c>
    </row>
    <row r="42" spans="1:7" x14ac:dyDescent="0.25">
      <c r="A42" s="861" t="s">
        <v>582</v>
      </c>
      <c r="B42" s="872" t="s">
        <v>659</v>
      </c>
      <c r="C42" s="864">
        <v>0</v>
      </c>
      <c r="D42" s="865">
        <f>IF(C42=0,0,C42/(C41+C42+C43))</f>
        <v>0</v>
      </c>
      <c r="E42">
        <v>7</v>
      </c>
      <c r="F42" s="875">
        <v>0</v>
      </c>
      <c r="G42" s="875">
        <v>0</v>
      </c>
    </row>
    <row r="43" spans="1:7" x14ac:dyDescent="0.25">
      <c r="A43" s="861" t="s">
        <v>582</v>
      </c>
      <c r="B43" s="872" t="s">
        <v>660</v>
      </c>
      <c r="C43" s="864">
        <v>0</v>
      </c>
      <c r="D43" s="865">
        <f>IF(C43=0,0,C43/(C41+C42+C43))</f>
        <v>0</v>
      </c>
      <c r="E43">
        <v>8</v>
      </c>
      <c r="F43" s="875">
        <v>0</v>
      </c>
      <c r="G43" s="875">
        <v>0</v>
      </c>
    </row>
    <row r="44" spans="1:7" x14ac:dyDescent="0.25">
      <c r="A44" s="861" t="s">
        <v>582</v>
      </c>
      <c r="B44" s="872" t="s">
        <v>661</v>
      </c>
      <c r="C44" s="866">
        <v>0.5</v>
      </c>
      <c r="D44" s="867">
        <f>IF(C44=0,0,C44/(C44+C45+C46))</f>
        <v>1</v>
      </c>
      <c r="E44">
        <v>9</v>
      </c>
      <c r="F44" s="875">
        <v>0.5</v>
      </c>
      <c r="G44" s="875">
        <v>0.48</v>
      </c>
    </row>
    <row r="45" spans="1:7" x14ac:dyDescent="0.25">
      <c r="A45" s="861" t="s">
        <v>582</v>
      </c>
      <c r="B45" s="872" t="s">
        <v>662</v>
      </c>
      <c r="C45" s="866">
        <v>0</v>
      </c>
      <c r="D45" s="867">
        <f>IF(C45=0,0,C45/(C44+C45+C46))</f>
        <v>0</v>
      </c>
      <c r="E45">
        <v>10</v>
      </c>
      <c r="F45" s="875">
        <v>0</v>
      </c>
      <c r="G45" s="875">
        <v>0</v>
      </c>
    </row>
    <row r="46" spans="1:7" x14ac:dyDescent="0.25">
      <c r="A46" s="861" t="s">
        <v>582</v>
      </c>
      <c r="B46" s="872" t="s">
        <v>663</v>
      </c>
      <c r="C46" s="866">
        <v>0</v>
      </c>
      <c r="D46" s="867">
        <f>IF(C46=0,0,C46/(C44+C45+C46))</f>
        <v>0</v>
      </c>
      <c r="E46">
        <v>11</v>
      </c>
      <c r="F46" s="875">
        <v>0</v>
      </c>
      <c r="G46" s="875">
        <v>0</v>
      </c>
    </row>
    <row r="47" spans="1:7" x14ac:dyDescent="0.25">
      <c r="A47" s="861" t="s">
        <v>582</v>
      </c>
      <c r="B47" s="872" t="s">
        <v>664</v>
      </c>
      <c r="C47" s="868">
        <v>8.9</v>
      </c>
      <c r="D47" s="869">
        <f>IF(C47=0,0,C47/(C47+C48+C49))</f>
        <v>0.94680851063829785</v>
      </c>
      <c r="E47">
        <v>12</v>
      </c>
      <c r="F47" s="875">
        <v>8.93</v>
      </c>
      <c r="G47" s="875">
        <v>19.5</v>
      </c>
    </row>
    <row r="48" spans="1:7" x14ac:dyDescent="0.25">
      <c r="A48" s="861" t="s">
        <v>582</v>
      </c>
      <c r="B48" s="872" t="s">
        <v>665</v>
      </c>
      <c r="C48" s="868">
        <v>0.5</v>
      </c>
      <c r="D48" s="869">
        <f>IF(C48=0,0,C48/(C47+C48+C49))</f>
        <v>5.3191489361702128E-2</v>
      </c>
      <c r="E48">
        <v>13</v>
      </c>
      <c r="F48" s="875">
        <v>0.5</v>
      </c>
      <c r="G48" s="875">
        <v>1.1000000000000001</v>
      </c>
    </row>
    <row r="49" spans="1:7" x14ac:dyDescent="0.25">
      <c r="A49" s="861" t="s">
        <v>582</v>
      </c>
      <c r="B49" s="872" t="s">
        <v>666</v>
      </c>
      <c r="C49" s="868">
        <v>0</v>
      </c>
      <c r="D49" s="869">
        <f>IF(C49=0,0,C49/(C47+C48+C49))</f>
        <v>0</v>
      </c>
      <c r="E49">
        <v>14</v>
      </c>
      <c r="F49" s="875">
        <v>0</v>
      </c>
      <c r="G49" s="875">
        <v>0</v>
      </c>
    </row>
    <row r="50" spans="1:7" x14ac:dyDescent="0.25">
      <c r="A50" s="861" t="s">
        <v>582</v>
      </c>
      <c r="B50" s="856"/>
      <c r="C50" s="880">
        <f>SUM(C41:C49)</f>
        <v>9.9</v>
      </c>
      <c r="D50" s="881">
        <v>1</v>
      </c>
      <c r="E50">
        <v>15</v>
      </c>
    </row>
    <row r="51" spans="1:7" x14ac:dyDescent="0.25">
      <c r="A51" s="861">
        <v>1461</v>
      </c>
      <c r="B51" s="862">
        <v>1461</v>
      </c>
      <c r="C51" s="863" t="s">
        <v>668</v>
      </c>
      <c r="D51" s="857"/>
      <c r="E51">
        <v>1</v>
      </c>
    </row>
    <row r="52" spans="1:7" x14ac:dyDescent="0.25">
      <c r="A52" s="861">
        <v>1461</v>
      </c>
      <c r="B52" s="856">
        <v>111</v>
      </c>
      <c r="C52" s="864">
        <v>0</v>
      </c>
      <c r="D52" s="865">
        <f>C52/C55</f>
        <v>0</v>
      </c>
      <c r="E52">
        <v>2</v>
      </c>
    </row>
    <row r="53" spans="1:7" x14ac:dyDescent="0.25">
      <c r="A53" s="861">
        <v>1461</v>
      </c>
      <c r="B53" s="856">
        <v>112</v>
      </c>
      <c r="C53" s="866">
        <v>10</v>
      </c>
      <c r="D53" s="867">
        <f>C53/C55</f>
        <v>0.22727272727272727</v>
      </c>
      <c r="E53">
        <v>3</v>
      </c>
    </row>
    <row r="54" spans="1:7" x14ac:dyDescent="0.25">
      <c r="A54" s="861">
        <v>1461</v>
      </c>
      <c r="B54" s="856">
        <v>113</v>
      </c>
      <c r="C54" s="868">
        <v>34</v>
      </c>
      <c r="D54" s="869">
        <f>C54/C55</f>
        <v>0.77272727272727271</v>
      </c>
      <c r="E54">
        <v>4</v>
      </c>
    </row>
    <row r="55" spans="1:7" x14ac:dyDescent="0.25">
      <c r="A55" s="861">
        <v>1461</v>
      </c>
      <c r="B55" s="856"/>
      <c r="C55" s="870">
        <f>SUM(C52:C54)</f>
        <v>44</v>
      </c>
      <c r="D55" s="871"/>
      <c r="E55">
        <v>5</v>
      </c>
    </row>
    <row r="56" spans="1:7" x14ac:dyDescent="0.25">
      <c r="A56" s="861">
        <v>1461</v>
      </c>
      <c r="B56" s="872" t="s">
        <v>658</v>
      </c>
      <c r="C56" s="882">
        <v>0</v>
      </c>
      <c r="D56" s="874">
        <f>IF(C56=0,0,C56/(C56+C57+C58))</f>
        <v>0</v>
      </c>
      <c r="E56">
        <v>6</v>
      </c>
      <c r="F56" s="875">
        <v>0</v>
      </c>
      <c r="G56" s="875">
        <v>0</v>
      </c>
    </row>
    <row r="57" spans="1:7" x14ac:dyDescent="0.25">
      <c r="A57" s="861">
        <v>1461</v>
      </c>
      <c r="B57" s="872" t="s">
        <v>659</v>
      </c>
      <c r="C57" s="864">
        <v>0</v>
      </c>
      <c r="D57" s="865">
        <f>IF(C57=0,0,C57/(C56+C57+C58))</f>
        <v>0</v>
      </c>
      <c r="E57">
        <v>7</v>
      </c>
      <c r="F57" s="875">
        <v>0</v>
      </c>
      <c r="G57" s="875">
        <v>0</v>
      </c>
    </row>
    <row r="58" spans="1:7" x14ac:dyDescent="0.25">
      <c r="A58" s="861">
        <v>1461</v>
      </c>
      <c r="B58" s="872" t="s">
        <v>660</v>
      </c>
      <c r="C58" s="864">
        <v>0</v>
      </c>
      <c r="D58" s="865">
        <f>IF(C58=0,0,C58/(C56+C57+C58))</f>
        <v>0</v>
      </c>
      <c r="E58">
        <v>8</v>
      </c>
      <c r="F58" s="875">
        <v>0</v>
      </c>
      <c r="G58" s="875">
        <v>0</v>
      </c>
    </row>
    <row r="59" spans="1:7" x14ac:dyDescent="0.25">
      <c r="A59" s="861">
        <v>1461</v>
      </c>
      <c r="B59" s="872" t="s">
        <v>661</v>
      </c>
      <c r="C59" s="866">
        <v>9.5</v>
      </c>
      <c r="D59" s="867">
        <f>IF(C59=0,0,C59/(C59+C60+C61))</f>
        <v>0.95</v>
      </c>
      <c r="E59">
        <v>9</v>
      </c>
      <c r="F59" s="875">
        <v>9.5</v>
      </c>
      <c r="G59" s="875">
        <v>9.51</v>
      </c>
    </row>
    <row r="60" spans="1:7" x14ac:dyDescent="0.25">
      <c r="A60" s="861">
        <v>1461</v>
      </c>
      <c r="B60" s="872" t="s">
        <v>662</v>
      </c>
      <c r="C60" s="866">
        <v>0.5</v>
      </c>
      <c r="D60" s="867">
        <f>IF(C60=0,0,C60/(C59+C60+C61))</f>
        <v>0.05</v>
      </c>
      <c r="E60">
        <v>10</v>
      </c>
      <c r="F60" s="875">
        <v>0.5</v>
      </c>
      <c r="G60" s="875">
        <v>0.5</v>
      </c>
    </row>
    <row r="61" spans="1:7" x14ac:dyDescent="0.25">
      <c r="A61" s="861">
        <v>1461</v>
      </c>
      <c r="B61" s="872" t="s">
        <v>663</v>
      </c>
      <c r="C61" s="866">
        <v>0</v>
      </c>
      <c r="D61" s="867">
        <f>IF(C61=0,0,C61/(C59+C60+C61))</f>
        <v>0</v>
      </c>
      <c r="E61">
        <v>11</v>
      </c>
      <c r="F61" s="875">
        <v>0</v>
      </c>
      <c r="G61" s="875">
        <v>0</v>
      </c>
    </row>
    <row r="62" spans="1:7" x14ac:dyDescent="0.25">
      <c r="A62" s="861">
        <v>1461</v>
      </c>
      <c r="B62" s="872" t="s">
        <v>664</v>
      </c>
      <c r="C62" s="868">
        <v>32</v>
      </c>
      <c r="D62" s="869">
        <f>IF(C62=0,0,C62/(C62+C63+C64))</f>
        <v>0.94117647058823528</v>
      </c>
      <c r="E62">
        <v>12</v>
      </c>
      <c r="F62" s="875">
        <v>32.79</v>
      </c>
      <c r="G62" s="875">
        <v>30.51</v>
      </c>
    </row>
    <row r="63" spans="1:7" x14ac:dyDescent="0.25">
      <c r="A63" s="861">
        <v>1461</v>
      </c>
      <c r="B63" s="872" t="s">
        <v>665</v>
      </c>
      <c r="C63" s="868">
        <v>2</v>
      </c>
      <c r="D63" s="869">
        <f>IF(C63=0,0,C63/(C62+C63+C64))</f>
        <v>5.8823529411764705E-2</v>
      </c>
      <c r="E63">
        <v>13</v>
      </c>
      <c r="F63" s="875">
        <v>2.0499999999999998</v>
      </c>
      <c r="G63" s="875">
        <v>1.91</v>
      </c>
    </row>
    <row r="64" spans="1:7" x14ac:dyDescent="0.25">
      <c r="A64" s="861">
        <v>1461</v>
      </c>
      <c r="B64" s="872" t="s">
        <v>666</v>
      </c>
      <c r="C64" s="868">
        <v>0</v>
      </c>
      <c r="D64" s="869">
        <f>IF(C64=0,0,C64/(C62+C63+C64))</f>
        <v>0</v>
      </c>
      <c r="E64">
        <v>14</v>
      </c>
      <c r="F64" s="875">
        <v>0</v>
      </c>
      <c r="G64" s="875">
        <v>0</v>
      </c>
    </row>
    <row r="65" spans="1:7" x14ac:dyDescent="0.25">
      <c r="A65" s="861">
        <v>1461</v>
      </c>
      <c r="B65" s="856"/>
      <c r="C65" s="880">
        <f>SUM(C56:C64)</f>
        <v>44</v>
      </c>
      <c r="D65" s="881">
        <v>1</v>
      </c>
      <c r="E65">
        <v>15</v>
      </c>
    </row>
    <row r="66" spans="1:7" x14ac:dyDescent="0.25">
      <c r="A66" s="861">
        <v>1571</v>
      </c>
      <c r="B66" s="862">
        <v>1571</v>
      </c>
      <c r="C66" s="863" t="s">
        <v>276</v>
      </c>
      <c r="D66" s="857"/>
      <c r="E66">
        <v>1</v>
      </c>
    </row>
    <row r="67" spans="1:7" x14ac:dyDescent="0.25">
      <c r="A67" s="861">
        <v>1571</v>
      </c>
      <c r="B67" s="856">
        <v>111</v>
      </c>
      <c r="C67" s="864">
        <v>0</v>
      </c>
      <c r="D67" s="865">
        <f>C67/C70</f>
        <v>0</v>
      </c>
      <c r="E67">
        <v>2</v>
      </c>
    </row>
    <row r="68" spans="1:7" x14ac:dyDescent="0.25">
      <c r="A68" s="861">
        <v>1571</v>
      </c>
      <c r="B68" s="856">
        <v>112</v>
      </c>
      <c r="C68" s="866">
        <v>0</v>
      </c>
      <c r="D68" s="867">
        <f>C68/C70</f>
        <v>0</v>
      </c>
      <c r="E68">
        <v>3</v>
      </c>
    </row>
    <row r="69" spans="1:7" x14ac:dyDescent="0.25">
      <c r="A69" s="861">
        <v>1571</v>
      </c>
      <c r="B69" s="856">
        <v>113</v>
      </c>
      <c r="C69" s="868">
        <v>143.9</v>
      </c>
      <c r="D69" s="869">
        <f>C69/C70</f>
        <v>1</v>
      </c>
      <c r="E69">
        <v>4</v>
      </c>
    </row>
    <row r="70" spans="1:7" x14ac:dyDescent="0.25">
      <c r="A70" s="861">
        <v>1571</v>
      </c>
      <c r="B70" s="856"/>
      <c r="C70" s="870">
        <f>SUM(C67:C69)</f>
        <v>143.9</v>
      </c>
      <c r="D70" s="871"/>
      <c r="E70">
        <v>5</v>
      </c>
    </row>
    <row r="71" spans="1:7" x14ac:dyDescent="0.25">
      <c r="A71" s="861">
        <v>1571</v>
      </c>
      <c r="B71" s="872" t="s">
        <v>658</v>
      </c>
      <c r="C71" s="882">
        <v>0</v>
      </c>
      <c r="D71" s="874">
        <f>IF(C71=0,0,C71/(C71+C72+C73))</f>
        <v>0</v>
      </c>
      <c r="E71">
        <v>6</v>
      </c>
      <c r="F71" s="875">
        <v>0</v>
      </c>
      <c r="G71" s="875">
        <v>0</v>
      </c>
    </row>
    <row r="72" spans="1:7" x14ac:dyDescent="0.25">
      <c r="A72" s="861">
        <v>1571</v>
      </c>
      <c r="B72" s="872" t="s">
        <v>659</v>
      </c>
      <c r="C72" s="864">
        <v>0</v>
      </c>
      <c r="D72" s="865">
        <f>IF(C72=0,0,C72/(C71+C72+C73))</f>
        <v>0</v>
      </c>
      <c r="E72">
        <v>7</v>
      </c>
      <c r="F72" s="875">
        <v>0</v>
      </c>
      <c r="G72" s="875">
        <v>0</v>
      </c>
    </row>
    <row r="73" spans="1:7" x14ac:dyDescent="0.25">
      <c r="A73" s="861">
        <v>1571</v>
      </c>
      <c r="B73" s="872" t="s">
        <v>660</v>
      </c>
      <c r="C73" s="864">
        <v>0</v>
      </c>
      <c r="D73" s="865">
        <f>IF(C73=0,0,C73/(C71+C72+C73))</f>
        <v>0</v>
      </c>
      <c r="E73">
        <v>8</v>
      </c>
      <c r="F73" s="875">
        <v>0</v>
      </c>
      <c r="G73" s="875">
        <v>0</v>
      </c>
    </row>
    <row r="74" spans="1:7" x14ac:dyDescent="0.25">
      <c r="A74" s="861">
        <v>1571</v>
      </c>
      <c r="B74" s="872" t="s">
        <v>661</v>
      </c>
      <c r="C74" s="866">
        <v>0</v>
      </c>
      <c r="D74" s="867">
        <f>IF(C74=0,0,C74/(C74+C75+C76))</f>
        <v>0</v>
      </c>
      <c r="E74">
        <v>9</v>
      </c>
      <c r="F74" s="875">
        <v>0</v>
      </c>
      <c r="G74" s="875">
        <v>0</v>
      </c>
    </row>
    <row r="75" spans="1:7" x14ac:dyDescent="0.25">
      <c r="A75" s="861">
        <v>1571</v>
      </c>
      <c r="B75" s="872" t="s">
        <v>662</v>
      </c>
      <c r="C75" s="866">
        <v>0</v>
      </c>
      <c r="D75" s="867">
        <f>IF(C75=0,0,C75/(C74+C75+C76))</f>
        <v>0</v>
      </c>
      <c r="E75">
        <v>10</v>
      </c>
      <c r="F75" s="875">
        <v>0</v>
      </c>
      <c r="G75" s="875">
        <v>0</v>
      </c>
    </row>
    <row r="76" spans="1:7" x14ac:dyDescent="0.25">
      <c r="A76" s="861">
        <v>1571</v>
      </c>
      <c r="B76" s="872" t="s">
        <v>663</v>
      </c>
      <c r="C76" s="866">
        <v>0</v>
      </c>
      <c r="D76" s="867">
        <f>IF(C76=0,0,C76/(C74+C75+C76))</f>
        <v>0</v>
      </c>
      <c r="E76">
        <v>11</v>
      </c>
      <c r="F76" s="875">
        <v>0</v>
      </c>
      <c r="G76" s="875">
        <v>0</v>
      </c>
    </row>
    <row r="77" spans="1:7" x14ac:dyDescent="0.25">
      <c r="A77" s="861">
        <v>1571</v>
      </c>
      <c r="B77" s="872" t="s">
        <v>664</v>
      </c>
      <c r="C77" s="868">
        <v>135.4</v>
      </c>
      <c r="D77" s="869">
        <f>IF(C77=0,0,C77/(C77+C78+C79))</f>
        <v>0.94093120222376647</v>
      </c>
      <c r="E77">
        <v>12</v>
      </c>
      <c r="F77" s="875">
        <v>136.18</v>
      </c>
      <c r="G77" s="875">
        <v>129.55000000000001</v>
      </c>
    </row>
    <row r="78" spans="1:7" x14ac:dyDescent="0.25">
      <c r="A78" s="861">
        <v>1571</v>
      </c>
      <c r="B78" s="878" t="s">
        <v>665</v>
      </c>
      <c r="C78" s="868">
        <v>8.5</v>
      </c>
      <c r="D78" s="869">
        <f>IF(C78=0,0,C78/(C77+C78+C79))</f>
        <v>5.9068797776233493E-2</v>
      </c>
      <c r="E78">
        <v>13</v>
      </c>
      <c r="F78" s="875">
        <v>8.5500000000000007</v>
      </c>
      <c r="G78" s="875">
        <v>8.1300000000000008</v>
      </c>
    </row>
    <row r="79" spans="1:7" x14ac:dyDescent="0.25">
      <c r="A79" s="861">
        <v>1571</v>
      </c>
      <c r="B79" s="878" t="s">
        <v>666</v>
      </c>
      <c r="C79" s="868">
        <v>0</v>
      </c>
      <c r="D79" s="869">
        <f>IF(C79=0,0,C79/(C77+C78+C79))</f>
        <v>0</v>
      </c>
      <c r="E79">
        <v>14</v>
      </c>
      <c r="F79" s="875">
        <v>0</v>
      </c>
      <c r="G79" s="875">
        <v>0</v>
      </c>
    </row>
    <row r="80" spans="1:7" x14ac:dyDescent="0.25">
      <c r="A80" s="861">
        <v>1571</v>
      </c>
      <c r="B80" s="856"/>
      <c r="C80" s="880">
        <f>SUM(C71:C79)</f>
        <v>143.9</v>
      </c>
      <c r="D80" s="881">
        <v>1</v>
      </c>
      <c r="E80">
        <v>15</v>
      </c>
    </row>
    <row r="81" spans="1:7" x14ac:dyDescent="0.25">
      <c r="A81" s="861">
        <v>2521</v>
      </c>
      <c r="B81" s="862">
        <v>2521</v>
      </c>
      <c r="C81" s="863" t="s">
        <v>669</v>
      </c>
      <c r="D81" s="857"/>
      <c r="E81">
        <v>1</v>
      </c>
    </row>
    <row r="82" spans="1:7" x14ac:dyDescent="0.25">
      <c r="A82" s="861">
        <v>2521</v>
      </c>
      <c r="B82" s="856">
        <v>111</v>
      </c>
      <c r="C82" s="864">
        <v>0</v>
      </c>
      <c r="D82" s="865">
        <f>C82/C85</f>
        <v>0</v>
      </c>
      <c r="E82">
        <v>2</v>
      </c>
    </row>
    <row r="83" spans="1:7" x14ac:dyDescent="0.25">
      <c r="A83" s="861">
        <v>2521</v>
      </c>
      <c r="B83" s="856">
        <v>112</v>
      </c>
      <c r="C83" s="866">
        <v>0</v>
      </c>
      <c r="D83" s="867">
        <f>C83/C85</f>
        <v>0</v>
      </c>
      <c r="E83">
        <v>3</v>
      </c>
    </row>
    <row r="84" spans="1:7" x14ac:dyDescent="0.25">
      <c r="A84" s="861">
        <v>2521</v>
      </c>
      <c r="B84" s="856">
        <v>113</v>
      </c>
      <c r="C84" s="868">
        <v>27.3</v>
      </c>
      <c r="D84" s="869">
        <f>C84/C85</f>
        <v>1</v>
      </c>
      <c r="E84">
        <v>4</v>
      </c>
    </row>
    <row r="85" spans="1:7" x14ac:dyDescent="0.25">
      <c r="A85" s="861">
        <v>2521</v>
      </c>
      <c r="B85" s="856"/>
      <c r="C85" s="870">
        <f>SUM(C82:C84)</f>
        <v>27.3</v>
      </c>
      <c r="D85" s="871"/>
      <c r="E85">
        <v>5</v>
      </c>
    </row>
    <row r="86" spans="1:7" x14ac:dyDescent="0.25">
      <c r="A86" s="861">
        <v>2521</v>
      </c>
      <c r="B86" s="872" t="s">
        <v>658</v>
      </c>
      <c r="C86" s="882">
        <v>0</v>
      </c>
      <c r="D86" s="874">
        <f>IF(C86=0,0,C86/(C86+C87+C88))</f>
        <v>0</v>
      </c>
      <c r="E86">
        <v>6</v>
      </c>
      <c r="F86" s="875">
        <v>0</v>
      </c>
      <c r="G86" s="875">
        <v>0</v>
      </c>
    </row>
    <row r="87" spans="1:7" x14ac:dyDescent="0.25">
      <c r="A87" s="861">
        <v>2521</v>
      </c>
      <c r="B87" s="872" t="s">
        <v>659</v>
      </c>
      <c r="C87" s="864">
        <v>0</v>
      </c>
      <c r="D87" s="865">
        <f>IF(C87=0,0,C87/(C86+C87+C88))</f>
        <v>0</v>
      </c>
      <c r="E87">
        <v>7</v>
      </c>
      <c r="F87" s="875">
        <v>0</v>
      </c>
      <c r="G87" s="875">
        <v>0</v>
      </c>
    </row>
    <row r="88" spans="1:7" x14ac:dyDescent="0.25">
      <c r="A88" s="861">
        <v>2521</v>
      </c>
      <c r="B88" s="872" t="s">
        <v>660</v>
      </c>
      <c r="C88" s="864">
        <v>1E-3</v>
      </c>
      <c r="D88" s="865">
        <f>IF(C88=0,0,C88/(C86+C87+C88))</f>
        <v>1</v>
      </c>
      <c r="E88">
        <v>8</v>
      </c>
      <c r="F88" s="875">
        <v>0</v>
      </c>
      <c r="G88" s="875">
        <v>0</v>
      </c>
    </row>
    <row r="89" spans="1:7" x14ac:dyDescent="0.25">
      <c r="A89" s="861">
        <v>2521</v>
      </c>
      <c r="B89" s="872" t="s">
        <v>661</v>
      </c>
      <c r="C89" s="866">
        <v>0</v>
      </c>
      <c r="D89" s="867">
        <f>IF(C89=0,0,C89/(C89+C90+C91))</f>
        <v>0</v>
      </c>
      <c r="E89">
        <v>9</v>
      </c>
      <c r="F89" s="875">
        <v>0</v>
      </c>
      <c r="G89" s="875">
        <v>0</v>
      </c>
    </row>
    <row r="90" spans="1:7" x14ac:dyDescent="0.25">
      <c r="A90" s="861">
        <v>2521</v>
      </c>
      <c r="B90" s="872" t="s">
        <v>662</v>
      </c>
      <c r="C90" s="866">
        <v>0</v>
      </c>
      <c r="D90" s="867">
        <f>IF(C90=0,0,C90/(C89+C90+C91))</f>
        <v>0</v>
      </c>
      <c r="E90">
        <v>10</v>
      </c>
      <c r="F90" s="875">
        <v>0</v>
      </c>
      <c r="G90" s="875">
        <v>0</v>
      </c>
    </row>
    <row r="91" spans="1:7" x14ac:dyDescent="0.25">
      <c r="A91" s="861">
        <v>2521</v>
      </c>
      <c r="B91" s="872" t="s">
        <v>663</v>
      </c>
      <c r="C91" s="866">
        <v>1E-3</v>
      </c>
      <c r="D91" s="867">
        <f>IF(C91=0,0,C91/(C89+C90+C91))</f>
        <v>1</v>
      </c>
      <c r="E91">
        <v>11</v>
      </c>
      <c r="F91" s="875">
        <v>0</v>
      </c>
      <c r="G91" s="875">
        <v>0</v>
      </c>
    </row>
    <row r="92" spans="1:7" x14ac:dyDescent="0.25">
      <c r="A92" s="861">
        <v>2521</v>
      </c>
      <c r="B92" s="872" t="s">
        <v>664</v>
      </c>
      <c r="C92" s="868">
        <v>0</v>
      </c>
      <c r="D92" s="869">
        <f>IF(C92=0,0,C92/(C92+C93+C94))</f>
        <v>0</v>
      </c>
      <c r="E92">
        <v>12</v>
      </c>
      <c r="F92" s="875">
        <v>0</v>
      </c>
      <c r="G92" s="875">
        <v>0</v>
      </c>
    </row>
    <row r="93" spans="1:7" x14ac:dyDescent="0.25">
      <c r="A93" s="861">
        <v>2521</v>
      </c>
      <c r="B93" s="872" t="s">
        <v>665</v>
      </c>
      <c r="C93" s="868">
        <v>0.5</v>
      </c>
      <c r="D93" s="869">
        <f>IF(C93=0,0,C93/(C92+C93+C94))</f>
        <v>1.8315018315018316E-2</v>
      </c>
      <c r="E93">
        <v>13</v>
      </c>
      <c r="F93" s="875">
        <v>0.51</v>
      </c>
      <c r="G93" s="875">
        <v>0.5</v>
      </c>
    </row>
    <row r="94" spans="1:7" x14ac:dyDescent="0.25">
      <c r="A94" s="861">
        <v>2521</v>
      </c>
      <c r="B94" s="872" t="s">
        <v>666</v>
      </c>
      <c r="C94" s="868">
        <v>26.8</v>
      </c>
      <c r="D94" s="869">
        <f>IF(C94=0,0,C94/(C92+C93+C94))</f>
        <v>0.98168498168498164</v>
      </c>
      <c r="E94">
        <v>14</v>
      </c>
      <c r="F94" s="875">
        <v>27.28</v>
      </c>
      <c r="G94" s="875">
        <v>26.69</v>
      </c>
    </row>
    <row r="95" spans="1:7" x14ac:dyDescent="0.25">
      <c r="A95" s="861">
        <v>2521</v>
      </c>
      <c r="B95" s="856"/>
      <c r="C95" s="880">
        <f>SUM(C86:C94)</f>
        <v>27.302</v>
      </c>
      <c r="D95" s="881">
        <v>1</v>
      </c>
      <c r="E95">
        <v>15</v>
      </c>
    </row>
    <row r="96" spans="1:7" x14ac:dyDescent="0.25">
      <c r="A96" s="861">
        <v>2531</v>
      </c>
      <c r="B96" s="862">
        <v>2531</v>
      </c>
      <c r="C96" s="863" t="s">
        <v>280</v>
      </c>
      <c r="D96" s="857"/>
      <c r="E96">
        <v>1</v>
      </c>
    </row>
    <row r="97" spans="1:7" x14ac:dyDescent="0.25">
      <c r="A97" s="861">
        <v>2531</v>
      </c>
      <c r="B97" s="856">
        <v>111</v>
      </c>
      <c r="C97" s="864">
        <v>0</v>
      </c>
      <c r="D97" s="865">
        <f>C97/C100</f>
        <v>0</v>
      </c>
      <c r="E97">
        <v>2</v>
      </c>
    </row>
    <row r="98" spans="1:7" x14ac:dyDescent="0.25">
      <c r="A98" s="861">
        <v>2531</v>
      </c>
      <c r="B98" s="856">
        <v>112</v>
      </c>
      <c r="C98" s="866">
        <v>0</v>
      </c>
      <c r="D98" s="867">
        <f>C98/C100</f>
        <v>0</v>
      </c>
      <c r="E98">
        <v>3</v>
      </c>
    </row>
    <row r="99" spans="1:7" x14ac:dyDescent="0.25">
      <c r="A99" s="861">
        <v>2531</v>
      </c>
      <c r="B99" s="856">
        <v>113</v>
      </c>
      <c r="C99" s="868">
        <v>11.5</v>
      </c>
      <c r="D99" s="869">
        <f>C99/C100</f>
        <v>1</v>
      </c>
      <c r="E99">
        <v>4</v>
      </c>
    </row>
    <row r="100" spans="1:7" x14ac:dyDescent="0.25">
      <c r="A100" s="861">
        <v>2531</v>
      </c>
      <c r="B100" s="856"/>
      <c r="C100" s="870">
        <f>SUM(C97:C99)</f>
        <v>11.5</v>
      </c>
      <c r="D100" s="871"/>
      <c r="E100">
        <v>5</v>
      </c>
    </row>
    <row r="101" spans="1:7" x14ac:dyDescent="0.25">
      <c r="A101" s="861">
        <v>2531</v>
      </c>
      <c r="B101" s="872" t="s">
        <v>658</v>
      </c>
      <c r="C101" s="882">
        <v>0</v>
      </c>
      <c r="D101" s="874">
        <f>IF(C101=0,0,C101/(C101+C102+C103))</f>
        <v>0</v>
      </c>
      <c r="E101">
        <v>6</v>
      </c>
      <c r="F101" s="875">
        <v>0</v>
      </c>
      <c r="G101" s="875">
        <v>0</v>
      </c>
    </row>
    <row r="102" spans="1:7" x14ac:dyDescent="0.25">
      <c r="A102" s="861">
        <v>2531</v>
      </c>
      <c r="B102" s="872" t="s">
        <v>659</v>
      </c>
      <c r="C102" s="864">
        <v>0</v>
      </c>
      <c r="D102" s="865">
        <f>IF(C102=0,0,C102/(C101+C102+C103))</f>
        <v>0</v>
      </c>
      <c r="E102">
        <v>7</v>
      </c>
      <c r="F102" s="875">
        <v>0</v>
      </c>
      <c r="G102" s="875">
        <v>0</v>
      </c>
    </row>
    <row r="103" spans="1:7" x14ac:dyDescent="0.25">
      <c r="A103" s="861">
        <v>2531</v>
      </c>
      <c r="B103" s="872" t="s">
        <v>660</v>
      </c>
      <c r="C103" s="864">
        <v>1E-3</v>
      </c>
      <c r="D103" s="865">
        <f>IF(C103=0,0,C103/(C101+C102+C103))</f>
        <v>1</v>
      </c>
      <c r="E103">
        <v>8</v>
      </c>
      <c r="F103" s="875">
        <v>0</v>
      </c>
      <c r="G103" s="875">
        <v>0</v>
      </c>
    </row>
    <row r="104" spans="1:7" x14ac:dyDescent="0.25">
      <c r="A104" s="861">
        <v>2531</v>
      </c>
      <c r="B104" s="872" t="s">
        <v>661</v>
      </c>
      <c r="C104" s="866">
        <v>0</v>
      </c>
      <c r="D104" s="867">
        <f>IF(C104=0,0,C104/(C104+C105+C106))</f>
        <v>0</v>
      </c>
      <c r="E104">
        <v>9</v>
      </c>
      <c r="F104" s="875">
        <v>0</v>
      </c>
      <c r="G104" s="875">
        <v>0</v>
      </c>
    </row>
    <row r="105" spans="1:7" x14ac:dyDescent="0.25">
      <c r="A105" s="861">
        <v>2531</v>
      </c>
      <c r="B105" s="872" t="s">
        <v>662</v>
      </c>
      <c r="C105" s="866">
        <v>0</v>
      </c>
      <c r="D105" s="867">
        <f>IF(C105=0,0,C105/(C104+C105+C106))</f>
        <v>0</v>
      </c>
      <c r="E105">
        <v>10</v>
      </c>
      <c r="F105" s="875">
        <v>0</v>
      </c>
      <c r="G105" s="875">
        <v>0</v>
      </c>
    </row>
    <row r="106" spans="1:7" x14ac:dyDescent="0.25">
      <c r="A106" s="861">
        <v>2531</v>
      </c>
      <c r="B106" s="872" t="s">
        <v>663</v>
      </c>
      <c r="C106" s="866">
        <v>1E-3</v>
      </c>
      <c r="D106" s="867">
        <f>IF(C106=0,0,C106/(C104+C105+C106))</f>
        <v>1</v>
      </c>
      <c r="E106">
        <v>11</v>
      </c>
      <c r="F106" s="875">
        <v>0</v>
      </c>
      <c r="G106" s="875">
        <v>0.5</v>
      </c>
    </row>
    <row r="107" spans="1:7" x14ac:dyDescent="0.25">
      <c r="A107" s="861">
        <v>2531</v>
      </c>
      <c r="B107" s="872" t="s">
        <v>664</v>
      </c>
      <c r="C107" s="868">
        <v>0</v>
      </c>
      <c r="D107" s="869">
        <f>IF(C107=0,0,C107/(C107+C108+C109))</f>
        <v>0</v>
      </c>
      <c r="E107">
        <v>12</v>
      </c>
      <c r="F107" s="875">
        <v>0</v>
      </c>
      <c r="G107" s="875">
        <v>0</v>
      </c>
    </row>
    <row r="108" spans="1:7" x14ac:dyDescent="0.25">
      <c r="A108" s="861">
        <v>2531</v>
      </c>
      <c r="B108" s="878" t="s">
        <v>665</v>
      </c>
      <c r="C108" s="868">
        <v>0.5</v>
      </c>
      <c r="D108" s="869">
        <f>IF(C108=0,0,C108/(C107+C108+C109))</f>
        <v>4.3478260869565216E-2</v>
      </c>
      <c r="E108">
        <v>13</v>
      </c>
      <c r="F108" s="875">
        <v>0.5</v>
      </c>
      <c r="G108" s="875">
        <v>0.48</v>
      </c>
    </row>
    <row r="109" spans="1:7" x14ac:dyDescent="0.25">
      <c r="A109" s="861">
        <v>2531</v>
      </c>
      <c r="B109" s="878" t="s">
        <v>666</v>
      </c>
      <c r="C109" s="868">
        <v>11</v>
      </c>
      <c r="D109" s="869">
        <f>IF(C109=0,0,C109/(C107+C108+C109))</f>
        <v>0.95652173913043481</v>
      </c>
      <c r="E109">
        <v>14</v>
      </c>
      <c r="F109" s="875">
        <v>11</v>
      </c>
      <c r="G109" s="875">
        <v>10.5</v>
      </c>
    </row>
    <row r="110" spans="1:7" x14ac:dyDescent="0.25">
      <c r="A110" s="861">
        <v>2531</v>
      </c>
      <c r="B110" s="856"/>
      <c r="C110" s="880">
        <f>SUM(C101:C109)</f>
        <v>11.502000000000001</v>
      </c>
      <c r="D110" s="881">
        <v>1</v>
      </c>
      <c r="E110">
        <v>15</v>
      </c>
    </row>
    <row r="111" spans="1:7" x14ac:dyDescent="0.25">
      <c r="A111" s="861">
        <v>2791</v>
      </c>
      <c r="B111" s="862">
        <v>2791</v>
      </c>
      <c r="C111" s="883" t="s">
        <v>670</v>
      </c>
      <c r="D111" s="857"/>
      <c r="E111">
        <v>1</v>
      </c>
    </row>
    <row r="112" spans="1:7" x14ac:dyDescent="0.25">
      <c r="A112" s="861">
        <v>2791</v>
      </c>
      <c r="B112" s="856">
        <v>111</v>
      </c>
      <c r="C112" s="864">
        <v>1.02</v>
      </c>
      <c r="D112" s="865">
        <f>C112/C115</f>
        <v>1</v>
      </c>
      <c r="E112">
        <v>2</v>
      </c>
    </row>
    <row r="113" spans="1:7" x14ac:dyDescent="0.25">
      <c r="A113" s="861">
        <v>2791</v>
      </c>
      <c r="B113" s="856">
        <v>112</v>
      </c>
      <c r="C113" s="866">
        <v>0</v>
      </c>
      <c r="D113" s="867">
        <f>C113/C115</f>
        <v>0</v>
      </c>
      <c r="E113">
        <v>3</v>
      </c>
    </row>
    <row r="114" spans="1:7" x14ac:dyDescent="0.25">
      <c r="A114" s="861">
        <v>2791</v>
      </c>
      <c r="B114" s="856">
        <v>113</v>
      </c>
      <c r="C114" s="868">
        <v>0</v>
      </c>
      <c r="D114" s="869">
        <f>C114/C115</f>
        <v>0</v>
      </c>
      <c r="E114">
        <v>4</v>
      </c>
    </row>
    <row r="115" spans="1:7" x14ac:dyDescent="0.25">
      <c r="A115" s="861">
        <v>2791</v>
      </c>
      <c r="B115" s="856"/>
      <c r="C115" s="870">
        <f>SUM(C112:C114)</f>
        <v>1.02</v>
      </c>
      <c r="D115" s="871"/>
      <c r="E115">
        <v>5</v>
      </c>
    </row>
    <row r="116" spans="1:7" x14ac:dyDescent="0.25">
      <c r="A116" s="861">
        <v>2791</v>
      </c>
      <c r="B116" s="872" t="s">
        <v>658</v>
      </c>
      <c r="C116" s="882">
        <v>0</v>
      </c>
      <c r="D116" s="874">
        <f>IF(C116=0,0,C116/(C116+C117+C118))</f>
        <v>0</v>
      </c>
      <c r="E116">
        <v>6</v>
      </c>
      <c r="F116" s="875">
        <v>0</v>
      </c>
      <c r="G116" s="875">
        <v>0</v>
      </c>
    </row>
    <row r="117" spans="1:7" x14ac:dyDescent="0.25">
      <c r="A117" s="861">
        <v>2791</v>
      </c>
      <c r="B117" s="872" t="s">
        <v>659</v>
      </c>
      <c r="C117" s="864">
        <v>0</v>
      </c>
      <c r="D117" s="865">
        <f>IF(C117=0,0,C117/(C116+C117+C118))</f>
        <v>0</v>
      </c>
      <c r="E117">
        <v>7</v>
      </c>
      <c r="F117" s="875">
        <v>0</v>
      </c>
      <c r="G117" s="875">
        <v>0</v>
      </c>
    </row>
    <row r="118" spans="1:7" x14ac:dyDescent="0.25">
      <c r="A118" s="861">
        <v>2791</v>
      </c>
      <c r="B118" s="872" t="s">
        <v>660</v>
      </c>
      <c r="C118" s="864">
        <v>1.02</v>
      </c>
      <c r="D118" s="865">
        <f>IF(C118=0,0,C118/(C116+C117+C118))</f>
        <v>1</v>
      </c>
      <c r="E118">
        <v>8</v>
      </c>
      <c r="F118" s="875">
        <v>3</v>
      </c>
      <c r="G118" s="875">
        <v>1.04</v>
      </c>
    </row>
    <row r="119" spans="1:7" x14ac:dyDescent="0.25">
      <c r="A119" s="861">
        <v>2791</v>
      </c>
      <c r="B119" s="872" t="s">
        <v>661</v>
      </c>
      <c r="C119" s="866">
        <v>0</v>
      </c>
      <c r="D119" s="867">
        <f>IF(C119=0,0,C119/(C119+C120+C121))</f>
        <v>0</v>
      </c>
      <c r="E119">
        <v>9</v>
      </c>
      <c r="F119" s="875">
        <v>0</v>
      </c>
      <c r="G119" s="875">
        <v>0</v>
      </c>
    </row>
    <row r="120" spans="1:7" x14ac:dyDescent="0.25">
      <c r="A120" s="861">
        <v>2791</v>
      </c>
      <c r="B120" s="872" t="s">
        <v>662</v>
      </c>
      <c r="C120" s="866">
        <v>0</v>
      </c>
      <c r="D120" s="867">
        <f>IF(C120=0,0,C120/(C119+C120+C121))</f>
        <v>0</v>
      </c>
      <c r="E120">
        <v>10</v>
      </c>
      <c r="F120" s="875">
        <v>0</v>
      </c>
      <c r="G120" s="875">
        <v>0</v>
      </c>
    </row>
    <row r="121" spans="1:7" x14ac:dyDescent="0.25">
      <c r="A121" s="861">
        <v>2791</v>
      </c>
      <c r="B121" s="872" t="s">
        <v>663</v>
      </c>
      <c r="C121" s="866">
        <v>1E-3</v>
      </c>
      <c r="D121" s="867">
        <f>IF(C121=0,0,C121/(C119+C120+C121))</f>
        <v>1</v>
      </c>
      <c r="E121">
        <v>11</v>
      </c>
      <c r="F121" s="875">
        <v>1</v>
      </c>
      <c r="G121" s="875">
        <v>0</v>
      </c>
    </row>
    <row r="122" spans="1:7" x14ac:dyDescent="0.25">
      <c r="A122" s="861">
        <v>2791</v>
      </c>
      <c r="B122" s="872" t="s">
        <v>664</v>
      </c>
      <c r="C122" s="868">
        <v>0</v>
      </c>
      <c r="D122" s="869">
        <f>IF(C122=0,0,C122/(C122+C123+C124))</f>
        <v>0</v>
      </c>
      <c r="E122">
        <v>12</v>
      </c>
      <c r="F122" s="875">
        <v>0</v>
      </c>
      <c r="G122" s="875">
        <v>0</v>
      </c>
    </row>
    <row r="123" spans="1:7" x14ac:dyDescent="0.25">
      <c r="A123" s="861">
        <v>2791</v>
      </c>
      <c r="B123" s="872" t="s">
        <v>665</v>
      </c>
      <c r="C123" s="868">
        <v>0</v>
      </c>
      <c r="D123" s="869">
        <f>IF(C123=0,0,C123/(C122+C123+C124))</f>
        <v>0</v>
      </c>
      <c r="E123">
        <v>13</v>
      </c>
      <c r="F123" s="875">
        <v>0</v>
      </c>
      <c r="G123" s="875">
        <v>0</v>
      </c>
    </row>
    <row r="124" spans="1:7" x14ac:dyDescent="0.25">
      <c r="A124" s="861">
        <v>2791</v>
      </c>
      <c r="B124" s="872" t="s">
        <v>666</v>
      </c>
      <c r="C124" s="868">
        <v>1E-3</v>
      </c>
      <c r="D124" s="869">
        <f>IF(C124=0,0,C124/(C122+C123+C124))</f>
        <v>1</v>
      </c>
      <c r="E124">
        <v>14</v>
      </c>
      <c r="F124" s="875">
        <v>0</v>
      </c>
      <c r="G124" s="875">
        <v>0</v>
      </c>
    </row>
    <row r="125" spans="1:7" x14ac:dyDescent="0.25">
      <c r="A125" s="861">
        <v>2791</v>
      </c>
      <c r="B125" s="856"/>
      <c r="C125" s="880">
        <f>SUM(C116:C124)</f>
        <v>1.0219999999999998</v>
      </c>
      <c r="D125" s="881">
        <v>1</v>
      </c>
      <c r="E125">
        <v>15</v>
      </c>
    </row>
    <row r="126" spans="1:7" x14ac:dyDescent="0.25">
      <c r="A126" s="861">
        <v>2801</v>
      </c>
      <c r="B126" s="862">
        <v>2801</v>
      </c>
      <c r="C126" s="883" t="s">
        <v>671</v>
      </c>
      <c r="D126" s="884"/>
      <c r="E126">
        <v>1</v>
      </c>
    </row>
    <row r="127" spans="1:7" x14ac:dyDescent="0.25">
      <c r="A127" s="861">
        <v>2801</v>
      </c>
      <c r="B127" s="856">
        <v>111</v>
      </c>
      <c r="C127" s="864">
        <v>25</v>
      </c>
      <c r="D127" s="865">
        <f>C127/C130</f>
        <v>0.64102564102564108</v>
      </c>
      <c r="E127">
        <v>2</v>
      </c>
    </row>
    <row r="128" spans="1:7" x14ac:dyDescent="0.25">
      <c r="A128" s="861">
        <v>2801</v>
      </c>
      <c r="B128" s="856">
        <v>112</v>
      </c>
      <c r="C128" s="866">
        <v>14</v>
      </c>
      <c r="D128" s="867">
        <f>C128/C130</f>
        <v>0.35897435897435898</v>
      </c>
      <c r="E128">
        <v>3</v>
      </c>
    </row>
    <row r="129" spans="1:7" x14ac:dyDescent="0.25">
      <c r="A129" s="861">
        <v>2801</v>
      </c>
      <c r="B129" s="856">
        <v>113</v>
      </c>
      <c r="C129" s="868">
        <v>0</v>
      </c>
      <c r="D129" s="869">
        <f>C129/C130</f>
        <v>0</v>
      </c>
      <c r="E129">
        <v>4</v>
      </c>
    </row>
    <row r="130" spans="1:7" x14ac:dyDescent="0.25">
      <c r="A130" s="861">
        <v>2801</v>
      </c>
      <c r="B130" s="856"/>
      <c r="C130" s="870">
        <f>SUM(C127:C129)</f>
        <v>39</v>
      </c>
      <c r="D130" s="871"/>
      <c r="E130">
        <v>5</v>
      </c>
    </row>
    <row r="131" spans="1:7" x14ac:dyDescent="0.25">
      <c r="A131" s="861">
        <v>2801</v>
      </c>
      <c r="B131" s="872" t="s">
        <v>658</v>
      </c>
      <c r="C131" s="882">
        <v>24</v>
      </c>
      <c r="D131" s="874">
        <f>IF(C131=0,0,C131/(C131+C132+C133))</f>
        <v>0.96</v>
      </c>
      <c r="E131">
        <v>6</v>
      </c>
      <c r="F131" s="875">
        <v>24</v>
      </c>
      <c r="G131" s="875">
        <v>28.33</v>
      </c>
    </row>
    <row r="132" spans="1:7" x14ac:dyDescent="0.25">
      <c r="A132" s="861">
        <v>2801</v>
      </c>
      <c r="B132" s="872" t="s">
        <v>659</v>
      </c>
      <c r="C132" s="864">
        <v>1</v>
      </c>
      <c r="D132" s="865">
        <f>IF(C132=0,0,C132/(C131+C132+C133))</f>
        <v>0.04</v>
      </c>
      <c r="E132">
        <v>7</v>
      </c>
      <c r="F132" s="875">
        <v>1</v>
      </c>
      <c r="G132" s="875">
        <v>1.18</v>
      </c>
    </row>
    <row r="133" spans="1:7" x14ac:dyDescent="0.25">
      <c r="A133" s="861">
        <v>2801</v>
      </c>
      <c r="B133" s="872" t="s">
        <v>660</v>
      </c>
      <c r="C133" s="864">
        <v>0</v>
      </c>
      <c r="D133" s="865">
        <f>IF(C133=0,0,C133/(C131+C132+C133))</f>
        <v>0</v>
      </c>
      <c r="E133">
        <v>8</v>
      </c>
      <c r="F133" s="875">
        <v>0</v>
      </c>
      <c r="G133" s="875">
        <v>0</v>
      </c>
    </row>
    <row r="134" spans="1:7" x14ac:dyDescent="0.25">
      <c r="A134" s="861">
        <v>2801</v>
      </c>
      <c r="B134" s="872" t="s">
        <v>661</v>
      </c>
      <c r="C134" s="866">
        <v>13.5</v>
      </c>
      <c r="D134" s="867">
        <f>IF(C134=0,0,C134/(C134+C135+C136))</f>
        <v>0.9642857142857143</v>
      </c>
      <c r="E134">
        <v>9</v>
      </c>
      <c r="F134" s="875">
        <v>13.5</v>
      </c>
      <c r="G134" s="875">
        <v>14.45</v>
      </c>
    </row>
    <row r="135" spans="1:7" x14ac:dyDescent="0.25">
      <c r="A135" s="861">
        <v>2801</v>
      </c>
      <c r="B135" s="872" t="s">
        <v>662</v>
      </c>
      <c r="C135" s="866">
        <v>0.5</v>
      </c>
      <c r="D135" s="867">
        <f>IF(C135=0,0,C135/(C134+C135+C136))</f>
        <v>3.5714285714285712E-2</v>
      </c>
      <c r="E135">
        <v>10</v>
      </c>
      <c r="F135" s="875">
        <v>0.5</v>
      </c>
      <c r="G135" s="875">
        <v>0.53</v>
      </c>
    </row>
    <row r="136" spans="1:7" x14ac:dyDescent="0.25">
      <c r="A136" s="861">
        <v>2801</v>
      </c>
      <c r="B136" s="872" t="s">
        <v>663</v>
      </c>
      <c r="C136" s="866">
        <v>0</v>
      </c>
      <c r="D136" s="867">
        <f>IF(C136=0,0,C136/(C134+C135+C136))</f>
        <v>0</v>
      </c>
      <c r="E136">
        <v>11</v>
      </c>
      <c r="F136" s="875">
        <v>0</v>
      </c>
      <c r="G136" s="875">
        <v>0</v>
      </c>
    </row>
    <row r="137" spans="1:7" x14ac:dyDescent="0.25">
      <c r="A137" s="861">
        <v>2801</v>
      </c>
      <c r="B137" s="872" t="s">
        <v>664</v>
      </c>
      <c r="C137" s="868">
        <v>0</v>
      </c>
      <c r="D137" s="869">
        <f>IF(C137=0,0,C137/(C137+C138+C139))</f>
        <v>0</v>
      </c>
      <c r="E137">
        <v>12</v>
      </c>
      <c r="F137" s="875">
        <v>0</v>
      </c>
      <c r="G137" s="875">
        <v>0</v>
      </c>
    </row>
    <row r="138" spans="1:7" x14ac:dyDescent="0.25">
      <c r="A138" s="861">
        <v>2801</v>
      </c>
      <c r="B138" s="878" t="s">
        <v>665</v>
      </c>
      <c r="C138" s="868">
        <v>0</v>
      </c>
      <c r="D138" s="869">
        <f>IF(C138=0,0,C138/(C137+C138+C139))</f>
        <v>0</v>
      </c>
      <c r="E138">
        <v>13</v>
      </c>
      <c r="F138" s="875">
        <v>0</v>
      </c>
      <c r="G138" s="875">
        <v>0</v>
      </c>
    </row>
    <row r="139" spans="1:7" x14ac:dyDescent="0.25">
      <c r="A139" s="861">
        <v>2801</v>
      </c>
      <c r="B139" s="878" t="s">
        <v>666</v>
      </c>
      <c r="C139" s="868">
        <v>0</v>
      </c>
      <c r="D139" s="869">
        <f>IF(C139=0,0,C139/(C137+C138+C139))</f>
        <v>0</v>
      </c>
      <c r="E139">
        <v>14</v>
      </c>
      <c r="F139" s="875">
        <v>0</v>
      </c>
      <c r="G139" s="875">
        <v>0</v>
      </c>
    </row>
    <row r="140" spans="1:7" x14ac:dyDescent="0.25">
      <c r="A140" s="861">
        <v>2801</v>
      </c>
      <c r="B140" s="856"/>
      <c r="C140" s="880">
        <f>SUM(C131:C139)</f>
        <v>39</v>
      </c>
      <c r="D140" s="881">
        <v>1</v>
      </c>
      <c r="E140">
        <v>15</v>
      </c>
    </row>
    <row r="141" spans="1:7" x14ac:dyDescent="0.25">
      <c r="A141" s="861">
        <v>2911</v>
      </c>
      <c r="B141" s="862">
        <v>2911</v>
      </c>
      <c r="C141" s="883" t="s">
        <v>672</v>
      </c>
      <c r="D141" s="857"/>
      <c r="E141">
        <v>1</v>
      </c>
    </row>
    <row r="142" spans="1:7" x14ac:dyDescent="0.25">
      <c r="A142" s="861">
        <v>2911</v>
      </c>
      <c r="B142" s="856">
        <v>111</v>
      </c>
      <c r="C142" s="864">
        <v>30.5</v>
      </c>
      <c r="D142" s="865">
        <f>C142/C145</f>
        <v>0.36614645858343337</v>
      </c>
      <c r="E142">
        <v>2</v>
      </c>
    </row>
    <row r="143" spans="1:7" x14ac:dyDescent="0.25">
      <c r="A143" s="861">
        <v>2911</v>
      </c>
      <c r="B143" s="856">
        <v>112</v>
      </c>
      <c r="C143" s="866">
        <v>52.8</v>
      </c>
      <c r="D143" s="867">
        <f>C143/C145</f>
        <v>0.63385354141656658</v>
      </c>
      <c r="E143">
        <v>3</v>
      </c>
    </row>
    <row r="144" spans="1:7" x14ac:dyDescent="0.25">
      <c r="A144" s="861">
        <v>2911</v>
      </c>
      <c r="B144" s="856">
        <v>113</v>
      </c>
      <c r="C144" s="868">
        <v>0</v>
      </c>
      <c r="D144" s="869">
        <f>C144/C145</f>
        <v>0</v>
      </c>
      <c r="E144">
        <v>4</v>
      </c>
    </row>
    <row r="145" spans="1:7" x14ac:dyDescent="0.25">
      <c r="A145" s="861">
        <v>2911</v>
      </c>
      <c r="B145" s="856"/>
      <c r="C145" s="870">
        <f>SUM(C142:C144)</f>
        <v>83.3</v>
      </c>
      <c r="D145" s="871"/>
      <c r="E145">
        <v>5</v>
      </c>
    </row>
    <row r="146" spans="1:7" x14ac:dyDescent="0.25">
      <c r="A146" s="861">
        <v>2911</v>
      </c>
      <c r="B146" s="872" t="s">
        <v>658</v>
      </c>
      <c r="C146" s="882">
        <v>25.5</v>
      </c>
      <c r="D146" s="874">
        <f>IF(C146=0,0,C146/(C146+C147+C148))</f>
        <v>0.83606557377049184</v>
      </c>
      <c r="E146">
        <v>6</v>
      </c>
      <c r="F146" s="875">
        <v>25.5</v>
      </c>
      <c r="G146" s="875">
        <v>26.36</v>
      </c>
    </row>
    <row r="147" spans="1:7" x14ac:dyDescent="0.25">
      <c r="A147" s="861">
        <v>2911</v>
      </c>
      <c r="B147" s="872" t="s">
        <v>659</v>
      </c>
      <c r="C147" s="864">
        <v>5</v>
      </c>
      <c r="D147" s="865">
        <f>IF(C147=0,0,C147/(C146+C147+C148))</f>
        <v>0.16393442622950818</v>
      </c>
      <c r="E147">
        <v>7</v>
      </c>
      <c r="F147" s="875">
        <v>5</v>
      </c>
      <c r="G147" s="875">
        <v>5.17</v>
      </c>
    </row>
    <row r="148" spans="1:7" x14ac:dyDescent="0.25">
      <c r="A148" s="861">
        <v>2911</v>
      </c>
      <c r="B148" s="872" t="s">
        <v>660</v>
      </c>
      <c r="C148" s="864"/>
      <c r="D148" s="865">
        <f>IF(C148=0,0,C148/(C146+C147+C148))</f>
        <v>0</v>
      </c>
      <c r="E148">
        <v>8</v>
      </c>
      <c r="F148" s="875">
        <v>0</v>
      </c>
      <c r="G148" s="875">
        <v>0</v>
      </c>
    </row>
    <row r="149" spans="1:7" x14ac:dyDescent="0.25">
      <c r="A149" s="861">
        <v>2911</v>
      </c>
      <c r="B149" s="872" t="s">
        <v>661</v>
      </c>
      <c r="C149" s="866">
        <v>45.3</v>
      </c>
      <c r="D149" s="867">
        <f>IF(C149=0,0,C149/(C149+C150+C151))</f>
        <v>0.85795454545454541</v>
      </c>
      <c r="E149">
        <v>9</v>
      </c>
      <c r="F149" s="875">
        <v>46.18</v>
      </c>
      <c r="G149" s="875">
        <v>45.86</v>
      </c>
    </row>
    <row r="150" spans="1:7" x14ac:dyDescent="0.25">
      <c r="A150" s="861">
        <v>2911</v>
      </c>
      <c r="B150" s="872" t="s">
        <v>662</v>
      </c>
      <c r="C150" s="866">
        <v>7</v>
      </c>
      <c r="D150" s="867">
        <f>IF(C150=0,0,C150/(C149+C150+C151))</f>
        <v>0.13257575757575757</v>
      </c>
      <c r="E150">
        <v>10</v>
      </c>
      <c r="F150" s="875">
        <v>7.14</v>
      </c>
      <c r="G150" s="875">
        <v>7.09</v>
      </c>
    </row>
    <row r="151" spans="1:7" x14ac:dyDescent="0.25">
      <c r="A151" s="861">
        <v>2911</v>
      </c>
      <c r="B151" s="872" t="s">
        <v>663</v>
      </c>
      <c r="C151" s="866">
        <v>0.5</v>
      </c>
      <c r="D151" s="867">
        <f>IF(C151=0,0,C151/(C149+C150+C151))</f>
        <v>9.46969696969697E-3</v>
      </c>
      <c r="E151">
        <v>11</v>
      </c>
      <c r="F151" s="875">
        <v>0.51</v>
      </c>
      <c r="G151" s="875">
        <v>0.5</v>
      </c>
    </row>
    <row r="152" spans="1:7" x14ac:dyDescent="0.25">
      <c r="A152" s="861">
        <v>2911</v>
      </c>
      <c r="B152" s="872" t="s">
        <v>664</v>
      </c>
      <c r="C152" s="868">
        <v>0</v>
      </c>
      <c r="D152" s="869">
        <f>IF(C152=0,0,C152/(C152+C153+C154))</f>
        <v>0</v>
      </c>
      <c r="E152">
        <v>12</v>
      </c>
      <c r="F152" s="875">
        <v>0</v>
      </c>
      <c r="G152" s="875">
        <v>0</v>
      </c>
    </row>
    <row r="153" spans="1:7" x14ac:dyDescent="0.25">
      <c r="A153" s="861">
        <v>2911</v>
      </c>
      <c r="B153" s="872" t="s">
        <v>665</v>
      </c>
      <c r="C153" s="868">
        <v>0</v>
      </c>
      <c r="D153" s="869">
        <f>IF(C153=0,0,C153/(C152+C153+C154))</f>
        <v>0</v>
      </c>
      <c r="E153">
        <v>13</v>
      </c>
      <c r="F153" s="875">
        <v>0</v>
      </c>
      <c r="G153" s="875">
        <v>0</v>
      </c>
    </row>
    <row r="154" spans="1:7" x14ac:dyDescent="0.25">
      <c r="A154" s="861">
        <v>2911</v>
      </c>
      <c r="B154" s="872" t="s">
        <v>666</v>
      </c>
      <c r="C154" s="868">
        <v>0</v>
      </c>
      <c r="D154" s="869">
        <f>IF(C154=0,0,C154/(C152+C153+C154))</f>
        <v>0</v>
      </c>
      <c r="E154">
        <v>14</v>
      </c>
      <c r="F154" s="875">
        <v>0</v>
      </c>
      <c r="G154" s="875">
        <v>0</v>
      </c>
    </row>
    <row r="155" spans="1:7" x14ac:dyDescent="0.25">
      <c r="A155" s="861">
        <v>2911</v>
      </c>
      <c r="B155" s="856"/>
      <c r="C155" s="880">
        <f>SUM(C146:C154)</f>
        <v>83.3</v>
      </c>
      <c r="D155" s="881">
        <v>1</v>
      </c>
      <c r="E155">
        <v>15</v>
      </c>
    </row>
    <row r="156" spans="1:7" x14ac:dyDescent="0.25">
      <c r="A156" s="861">
        <v>2941</v>
      </c>
      <c r="B156" s="862">
        <v>2941</v>
      </c>
      <c r="C156" s="863" t="s">
        <v>288</v>
      </c>
      <c r="D156" s="884"/>
      <c r="E156">
        <v>1</v>
      </c>
    </row>
    <row r="157" spans="1:7" x14ac:dyDescent="0.25">
      <c r="A157" s="861">
        <v>2941</v>
      </c>
      <c r="B157" s="856">
        <v>111</v>
      </c>
      <c r="C157" s="864">
        <v>4.5</v>
      </c>
      <c r="D157" s="865">
        <f>C157/C160</f>
        <v>0.11936339522546419</v>
      </c>
      <c r="E157">
        <v>2</v>
      </c>
    </row>
    <row r="158" spans="1:7" x14ac:dyDescent="0.25">
      <c r="A158" s="861">
        <v>2941</v>
      </c>
      <c r="B158" s="856">
        <v>112</v>
      </c>
      <c r="C158" s="866">
        <v>10</v>
      </c>
      <c r="D158" s="867">
        <f>C158/C160</f>
        <v>0.2652519893899204</v>
      </c>
      <c r="E158">
        <v>3</v>
      </c>
    </row>
    <row r="159" spans="1:7" x14ac:dyDescent="0.25">
      <c r="A159" s="861">
        <v>2941</v>
      </c>
      <c r="B159" s="856">
        <v>113</v>
      </c>
      <c r="C159" s="868">
        <v>23.2</v>
      </c>
      <c r="D159" s="869">
        <f>C159/C160</f>
        <v>0.61538461538461531</v>
      </c>
      <c r="E159">
        <v>4</v>
      </c>
    </row>
    <row r="160" spans="1:7" x14ac:dyDescent="0.25">
      <c r="A160" s="861">
        <v>2941</v>
      </c>
      <c r="B160" s="856"/>
      <c r="C160" s="870">
        <f>SUM(C157:C159)</f>
        <v>37.700000000000003</v>
      </c>
      <c r="D160" s="871"/>
      <c r="E160">
        <v>5</v>
      </c>
    </row>
    <row r="161" spans="1:7" x14ac:dyDescent="0.25">
      <c r="A161" s="861">
        <v>2941</v>
      </c>
      <c r="B161" s="872" t="s">
        <v>658</v>
      </c>
      <c r="C161" s="882">
        <v>0.5</v>
      </c>
      <c r="D161" s="874">
        <f>IF(C161=0,0,C161/(C161+C162+C163))</f>
        <v>0.1111111111111111</v>
      </c>
      <c r="E161">
        <v>6</v>
      </c>
      <c r="F161" s="875">
        <v>0.83</v>
      </c>
      <c r="G161" s="875">
        <v>0.56000000000000005</v>
      </c>
    </row>
    <row r="162" spans="1:7" x14ac:dyDescent="0.25">
      <c r="A162" s="861">
        <v>2941</v>
      </c>
      <c r="B162" s="872" t="s">
        <v>659</v>
      </c>
      <c r="C162" s="864">
        <v>0</v>
      </c>
      <c r="D162" s="865">
        <f>IF(C162=0,0,C162/(C161+C162+C163))</f>
        <v>0</v>
      </c>
      <c r="E162">
        <v>7</v>
      </c>
      <c r="F162" s="875">
        <v>0</v>
      </c>
      <c r="G162" s="875">
        <v>0</v>
      </c>
    </row>
    <row r="163" spans="1:7" x14ac:dyDescent="0.25">
      <c r="A163" s="861">
        <v>2941</v>
      </c>
      <c r="B163" s="872" t="s">
        <v>660</v>
      </c>
      <c r="C163" s="864">
        <v>4</v>
      </c>
      <c r="D163" s="865">
        <f>IF(C163=0,0,C163/(C161+C162+C163))</f>
        <v>0.88888888888888884</v>
      </c>
      <c r="E163">
        <v>8</v>
      </c>
      <c r="F163" s="875">
        <v>6.67</v>
      </c>
      <c r="G163" s="875">
        <v>4.4400000000000004</v>
      </c>
    </row>
    <row r="164" spans="1:7" x14ac:dyDescent="0.25">
      <c r="A164" s="861">
        <v>2941</v>
      </c>
      <c r="B164" s="872" t="s">
        <v>661</v>
      </c>
      <c r="C164" s="866">
        <v>0</v>
      </c>
      <c r="D164" s="867">
        <f>IF(C164=0,0,C164/(C164+C165+C166))</f>
        <v>0</v>
      </c>
      <c r="E164">
        <v>9</v>
      </c>
      <c r="F164" s="875">
        <v>0</v>
      </c>
      <c r="G164" s="875">
        <v>0</v>
      </c>
    </row>
    <row r="165" spans="1:7" x14ac:dyDescent="0.25">
      <c r="A165" s="861">
        <v>2941</v>
      </c>
      <c r="B165" s="872" t="s">
        <v>662</v>
      </c>
      <c r="C165" s="866">
        <v>0</v>
      </c>
      <c r="D165" s="867">
        <f>IF(C165=0,0,C165/(C164+C165+C166))</f>
        <v>0</v>
      </c>
      <c r="E165">
        <v>10</v>
      </c>
      <c r="F165" s="875">
        <v>0</v>
      </c>
      <c r="G165" s="875">
        <v>0</v>
      </c>
    </row>
    <row r="166" spans="1:7" x14ac:dyDescent="0.25">
      <c r="A166" s="861">
        <v>2941</v>
      </c>
      <c r="B166" s="872" t="s">
        <v>663</v>
      </c>
      <c r="C166" s="866">
        <v>10</v>
      </c>
      <c r="D166" s="867">
        <f>IF(C166=0,0,C166/(C164+C165+C166))</f>
        <v>1</v>
      </c>
      <c r="E166">
        <v>11</v>
      </c>
      <c r="F166" s="875">
        <v>11</v>
      </c>
      <c r="G166" s="875">
        <v>10.53</v>
      </c>
    </row>
    <row r="167" spans="1:7" x14ac:dyDescent="0.25">
      <c r="A167" s="861">
        <v>2941</v>
      </c>
      <c r="B167" s="872" t="s">
        <v>664</v>
      </c>
      <c r="C167" s="868">
        <v>0</v>
      </c>
      <c r="D167" s="869">
        <f>IF(C167=0,0,C167/(C167+C168+C169))</f>
        <v>0</v>
      </c>
      <c r="E167">
        <v>12</v>
      </c>
      <c r="F167" s="875">
        <v>0</v>
      </c>
      <c r="G167" s="875">
        <v>0</v>
      </c>
    </row>
    <row r="168" spans="1:7" x14ac:dyDescent="0.25">
      <c r="A168" s="861">
        <v>2941</v>
      </c>
      <c r="B168" s="878" t="s">
        <v>665</v>
      </c>
      <c r="C168" s="868">
        <v>3</v>
      </c>
      <c r="D168" s="869">
        <f>IF(C168=0,0,C168/(C167+C168+C169))</f>
        <v>0.12931034482758622</v>
      </c>
      <c r="E168">
        <v>13</v>
      </c>
      <c r="F168" s="875">
        <v>2.99</v>
      </c>
      <c r="G168" s="875">
        <v>3.09</v>
      </c>
    </row>
    <row r="169" spans="1:7" x14ac:dyDescent="0.25">
      <c r="A169" s="861">
        <v>2941</v>
      </c>
      <c r="B169" s="878" t="s">
        <v>666</v>
      </c>
      <c r="C169" s="868">
        <v>20.2</v>
      </c>
      <c r="D169" s="869">
        <f>IF(C169=0,0,C169/(C167+C168+C169))</f>
        <v>0.87068965517241381</v>
      </c>
      <c r="E169">
        <v>14</v>
      </c>
      <c r="F169" s="875">
        <v>20.16</v>
      </c>
      <c r="G169" s="875">
        <v>20.81</v>
      </c>
    </row>
    <row r="170" spans="1:7" x14ac:dyDescent="0.25">
      <c r="A170" s="861">
        <v>2941</v>
      </c>
      <c r="B170" s="856"/>
      <c r="C170" s="880">
        <f>SUM(C161:C169)</f>
        <v>37.700000000000003</v>
      </c>
      <c r="D170" s="881">
        <v>1</v>
      </c>
      <c r="E170">
        <v>15</v>
      </c>
    </row>
    <row r="171" spans="1:7" x14ac:dyDescent="0.25">
      <c r="A171" s="861">
        <v>3083</v>
      </c>
      <c r="B171" s="862">
        <v>3083</v>
      </c>
      <c r="C171" s="883" t="s">
        <v>673</v>
      </c>
      <c r="D171" s="857"/>
      <c r="E171">
        <v>1</v>
      </c>
    </row>
    <row r="172" spans="1:7" x14ac:dyDescent="0.25">
      <c r="A172" s="861">
        <v>3083</v>
      </c>
      <c r="B172" s="856">
        <v>111</v>
      </c>
      <c r="C172" s="864">
        <v>0</v>
      </c>
      <c r="D172" s="865">
        <f>C172/C175</f>
        <v>0</v>
      </c>
      <c r="E172">
        <v>2</v>
      </c>
    </row>
    <row r="173" spans="1:7" x14ac:dyDescent="0.25">
      <c r="A173" s="861">
        <v>3083</v>
      </c>
      <c r="B173" s="856">
        <v>112</v>
      </c>
      <c r="C173" s="866">
        <v>0.5</v>
      </c>
      <c r="D173" s="867">
        <f>C173/C175</f>
        <v>0.1</v>
      </c>
      <c r="E173">
        <v>3</v>
      </c>
    </row>
    <row r="174" spans="1:7" x14ac:dyDescent="0.25">
      <c r="A174" s="861">
        <v>3083</v>
      </c>
      <c r="B174" s="856">
        <v>113</v>
      </c>
      <c r="C174" s="868">
        <v>4.5</v>
      </c>
      <c r="D174" s="869">
        <f>C174/C175</f>
        <v>0.9</v>
      </c>
      <c r="E174">
        <v>4</v>
      </c>
    </row>
    <row r="175" spans="1:7" x14ac:dyDescent="0.25">
      <c r="A175" s="861">
        <v>3083</v>
      </c>
      <c r="B175" s="856"/>
      <c r="C175" s="870">
        <f>SUM(C172:C174)</f>
        <v>5</v>
      </c>
      <c r="D175" s="871"/>
      <c r="E175">
        <v>5</v>
      </c>
    </row>
    <row r="176" spans="1:7" x14ac:dyDescent="0.25">
      <c r="A176" s="861">
        <v>3083</v>
      </c>
      <c r="B176" s="872" t="s">
        <v>658</v>
      </c>
      <c r="C176" s="882">
        <v>0</v>
      </c>
      <c r="D176" s="874">
        <f>IF(C176=0,0,C176/(C176+C177+C178))</f>
        <v>0</v>
      </c>
      <c r="E176">
        <v>6</v>
      </c>
      <c r="F176" s="875">
        <v>0</v>
      </c>
      <c r="G176" s="875">
        <v>0</v>
      </c>
    </row>
    <row r="177" spans="1:7" x14ac:dyDescent="0.25">
      <c r="A177" s="861">
        <v>3083</v>
      </c>
      <c r="B177" s="872" t="s">
        <v>659</v>
      </c>
      <c r="C177" s="864">
        <v>0</v>
      </c>
      <c r="D177" s="865">
        <f>IF(C177=0,0,C177/(C176+C177+C178))</f>
        <v>0</v>
      </c>
      <c r="E177">
        <v>7</v>
      </c>
      <c r="F177" s="875">
        <v>0</v>
      </c>
      <c r="G177" s="875">
        <v>0</v>
      </c>
    </row>
    <row r="178" spans="1:7" x14ac:dyDescent="0.25">
      <c r="A178" s="861">
        <v>3083</v>
      </c>
      <c r="B178" s="872" t="s">
        <v>660</v>
      </c>
      <c r="C178" s="864">
        <v>1E-3</v>
      </c>
      <c r="D178" s="865">
        <f>IF(C178=0,0,C178/(C176+C177+C178))</f>
        <v>1</v>
      </c>
      <c r="E178">
        <v>8</v>
      </c>
      <c r="F178" s="875">
        <v>1</v>
      </c>
      <c r="G178" s="875">
        <v>0.5</v>
      </c>
    </row>
    <row r="179" spans="1:7" x14ac:dyDescent="0.25">
      <c r="A179" s="861">
        <v>3083</v>
      </c>
      <c r="B179" s="872" t="s">
        <v>661</v>
      </c>
      <c r="C179" s="866">
        <v>0</v>
      </c>
      <c r="D179" s="867">
        <f>IF(C179=0,0,C179/(C179+C180+C181))</f>
        <v>0</v>
      </c>
      <c r="E179">
        <v>9</v>
      </c>
      <c r="F179" s="875">
        <v>0</v>
      </c>
      <c r="G179" s="875">
        <v>0</v>
      </c>
    </row>
    <row r="180" spans="1:7" x14ac:dyDescent="0.25">
      <c r="A180" s="861">
        <v>3083</v>
      </c>
      <c r="B180" s="872" t="s">
        <v>662</v>
      </c>
      <c r="C180" s="866">
        <v>0</v>
      </c>
      <c r="D180" s="867">
        <f>IF(C180=0,0,C180/(C179+C180+C181))</f>
        <v>0</v>
      </c>
      <c r="E180">
        <v>10</v>
      </c>
      <c r="F180" s="875">
        <v>0</v>
      </c>
      <c r="G180" s="875">
        <v>0</v>
      </c>
    </row>
    <row r="181" spans="1:7" x14ac:dyDescent="0.25">
      <c r="A181" s="861">
        <v>3083</v>
      </c>
      <c r="B181" s="872" t="s">
        <v>663</v>
      </c>
      <c r="C181" s="866">
        <v>0.5</v>
      </c>
      <c r="D181" s="867">
        <f>IF(C181=0,0,C181/(C179+C180+C181))</f>
        <v>1</v>
      </c>
      <c r="E181">
        <v>11</v>
      </c>
      <c r="F181" s="875">
        <v>0.5</v>
      </c>
      <c r="G181" s="875">
        <v>0.5</v>
      </c>
    </row>
    <row r="182" spans="1:7" x14ac:dyDescent="0.25">
      <c r="A182" s="861">
        <v>3083</v>
      </c>
      <c r="B182" s="872" t="s">
        <v>664</v>
      </c>
      <c r="C182" s="868">
        <v>0</v>
      </c>
      <c r="D182" s="869">
        <f>IF(C182=0,0,C182/(C182+C183+C184))</f>
        <v>0</v>
      </c>
      <c r="E182">
        <v>12</v>
      </c>
      <c r="F182" s="875">
        <v>0</v>
      </c>
      <c r="G182" s="875">
        <v>0</v>
      </c>
    </row>
    <row r="183" spans="1:7" x14ac:dyDescent="0.25">
      <c r="A183" s="861">
        <v>3083</v>
      </c>
      <c r="B183" s="872" t="s">
        <v>665</v>
      </c>
      <c r="C183" s="868">
        <v>0</v>
      </c>
      <c r="D183" s="869">
        <f>IF(C183=0,0,C183/(C182+C183+C184))</f>
        <v>0</v>
      </c>
      <c r="E183">
        <v>13</v>
      </c>
      <c r="F183" s="875">
        <v>0</v>
      </c>
      <c r="G183" s="875">
        <v>0</v>
      </c>
    </row>
    <row r="184" spans="1:7" x14ac:dyDescent="0.25">
      <c r="A184" s="861">
        <v>3083</v>
      </c>
      <c r="B184" s="872" t="s">
        <v>666</v>
      </c>
      <c r="C184" s="868">
        <v>4.5</v>
      </c>
      <c r="D184" s="869">
        <f>IF(C184=0,0,C184/(C182+C183+C184))</f>
        <v>1</v>
      </c>
      <c r="E184">
        <v>14</v>
      </c>
      <c r="F184" s="875">
        <v>5</v>
      </c>
      <c r="G184" s="875">
        <v>4.46</v>
      </c>
    </row>
    <row r="185" spans="1:7" x14ac:dyDescent="0.25">
      <c r="A185" s="861">
        <v>3083</v>
      </c>
      <c r="B185" s="856"/>
      <c r="C185" s="880">
        <f>SUM(C176:C184)</f>
        <v>5.0010000000000003</v>
      </c>
      <c r="D185" s="881">
        <v>1</v>
      </c>
      <c r="E185">
        <v>15</v>
      </c>
    </row>
    <row r="186" spans="1:7" x14ac:dyDescent="0.25">
      <c r="A186" s="861">
        <v>3345</v>
      </c>
      <c r="B186" s="862">
        <v>3345</v>
      </c>
      <c r="C186" s="883" t="s">
        <v>292</v>
      </c>
      <c r="D186" s="884"/>
      <c r="E186">
        <v>1</v>
      </c>
    </row>
    <row r="187" spans="1:7" x14ac:dyDescent="0.25">
      <c r="A187" s="861">
        <v>3345</v>
      </c>
      <c r="B187" s="856">
        <v>111</v>
      </c>
      <c r="C187" s="864">
        <v>0</v>
      </c>
      <c r="D187" s="865">
        <f>C187/C190</f>
        <v>0</v>
      </c>
      <c r="E187">
        <v>2</v>
      </c>
    </row>
    <row r="188" spans="1:7" x14ac:dyDescent="0.25">
      <c r="A188" s="861">
        <v>3345</v>
      </c>
      <c r="B188" s="856">
        <v>112</v>
      </c>
      <c r="C188" s="866">
        <v>0</v>
      </c>
      <c r="D188" s="867">
        <f>C188/C190</f>
        <v>0</v>
      </c>
      <c r="E188">
        <v>3</v>
      </c>
    </row>
    <row r="189" spans="1:7" x14ac:dyDescent="0.25">
      <c r="A189" s="861">
        <v>3345</v>
      </c>
      <c r="B189" s="856">
        <v>113</v>
      </c>
      <c r="C189" s="868">
        <v>40</v>
      </c>
      <c r="D189" s="869">
        <f>C189/C190</f>
        <v>1</v>
      </c>
      <c r="E189">
        <v>4</v>
      </c>
    </row>
    <row r="190" spans="1:7" x14ac:dyDescent="0.25">
      <c r="A190" s="861">
        <v>3345</v>
      </c>
      <c r="B190" s="856"/>
      <c r="C190" s="870">
        <f>SUM(C187:C189)</f>
        <v>40</v>
      </c>
      <c r="D190" s="871"/>
      <c r="E190">
        <v>5</v>
      </c>
    </row>
    <row r="191" spans="1:7" x14ac:dyDescent="0.25">
      <c r="A191" s="861">
        <v>3345</v>
      </c>
      <c r="B191" s="872" t="s">
        <v>658</v>
      </c>
      <c r="C191" s="882">
        <v>0</v>
      </c>
      <c r="D191" s="874">
        <f>IF(C191=0,0,C191/(C191+C192+C193))</f>
        <v>0</v>
      </c>
      <c r="E191">
        <v>6</v>
      </c>
      <c r="F191" s="875">
        <v>0</v>
      </c>
      <c r="G191" s="875">
        <v>0</v>
      </c>
    </row>
    <row r="192" spans="1:7" x14ac:dyDescent="0.25">
      <c r="A192" s="861">
        <v>3345</v>
      </c>
      <c r="B192" s="872" t="s">
        <v>659</v>
      </c>
      <c r="C192" s="864">
        <v>0</v>
      </c>
      <c r="D192" s="865">
        <f>IF(C192=0,0,C192/(C191+C192+C193))</f>
        <v>0</v>
      </c>
      <c r="E192">
        <v>7</v>
      </c>
      <c r="F192" s="875">
        <v>0</v>
      </c>
      <c r="G192" s="875">
        <v>0</v>
      </c>
    </row>
    <row r="193" spans="1:7" x14ac:dyDescent="0.25">
      <c r="A193" s="861">
        <v>3345</v>
      </c>
      <c r="B193" s="872" t="s">
        <v>660</v>
      </c>
      <c r="C193" s="864">
        <v>0</v>
      </c>
      <c r="D193" s="865">
        <f>IF(C193=0,0,C193/(C191+C192+C193))</f>
        <v>0</v>
      </c>
      <c r="E193">
        <v>8</v>
      </c>
      <c r="F193" s="875">
        <v>0</v>
      </c>
      <c r="G193" s="875">
        <v>0</v>
      </c>
    </row>
    <row r="194" spans="1:7" x14ac:dyDescent="0.25">
      <c r="A194" s="861">
        <v>3345</v>
      </c>
      <c r="B194" s="872" t="s">
        <v>661</v>
      </c>
      <c r="C194" s="866">
        <v>0</v>
      </c>
      <c r="D194" s="867">
        <f>IF(C194=0,0,C194/(C194+C195+C196))</f>
        <v>0</v>
      </c>
      <c r="E194">
        <v>9</v>
      </c>
      <c r="F194" s="875">
        <v>0</v>
      </c>
      <c r="G194" s="875">
        <v>0</v>
      </c>
    </row>
    <row r="195" spans="1:7" x14ac:dyDescent="0.25">
      <c r="A195" s="861">
        <v>3345</v>
      </c>
      <c r="B195" s="872" t="s">
        <v>662</v>
      </c>
      <c r="C195" s="866">
        <v>0</v>
      </c>
      <c r="D195" s="867">
        <f>IF(C195=0,0,C195/(C194+C195+C196))</f>
        <v>0</v>
      </c>
      <c r="E195">
        <v>10</v>
      </c>
      <c r="F195" s="875">
        <v>0</v>
      </c>
      <c r="G195" s="875">
        <v>0</v>
      </c>
    </row>
    <row r="196" spans="1:7" x14ac:dyDescent="0.25">
      <c r="A196" s="861">
        <v>3345</v>
      </c>
      <c r="B196" s="872" t="s">
        <v>663</v>
      </c>
      <c r="C196" s="866">
        <v>0</v>
      </c>
      <c r="D196" s="867">
        <f>IF(C196=0,0,C196/(C194+C195+C196))</f>
        <v>0</v>
      </c>
      <c r="E196">
        <v>11</v>
      </c>
      <c r="F196" s="875">
        <v>0</v>
      </c>
      <c r="G196" s="875">
        <v>0</v>
      </c>
    </row>
    <row r="197" spans="1:7" x14ac:dyDescent="0.25">
      <c r="A197" s="861">
        <v>3345</v>
      </c>
      <c r="B197" s="872" t="s">
        <v>664</v>
      </c>
      <c r="C197" s="868">
        <v>1.5</v>
      </c>
      <c r="D197" s="869">
        <f>IF(C197=0,0,C197/(C197+C198+C199))</f>
        <v>3.7499999999999999E-2</v>
      </c>
      <c r="E197">
        <v>12</v>
      </c>
      <c r="F197" s="875">
        <v>1.52</v>
      </c>
      <c r="G197" s="875">
        <v>1.54</v>
      </c>
    </row>
    <row r="198" spans="1:7" x14ac:dyDescent="0.25">
      <c r="A198" s="861">
        <v>3345</v>
      </c>
      <c r="B198" s="878" t="s">
        <v>665</v>
      </c>
      <c r="C198" s="868">
        <v>13.5</v>
      </c>
      <c r="D198" s="869">
        <f>IF(C198=0,0,C198/(C197+C198+C199))</f>
        <v>0.33750000000000002</v>
      </c>
      <c r="E198">
        <v>13</v>
      </c>
      <c r="F198" s="875">
        <v>13.67</v>
      </c>
      <c r="G198" s="875">
        <v>13.84</v>
      </c>
    </row>
    <row r="199" spans="1:7" x14ac:dyDescent="0.25">
      <c r="A199" s="861">
        <v>3345</v>
      </c>
      <c r="B199" s="878" t="s">
        <v>666</v>
      </c>
      <c r="C199" s="868">
        <v>25</v>
      </c>
      <c r="D199" s="869">
        <f>IF(C199=0,0,C199/(C197+C198+C199))</f>
        <v>0.625</v>
      </c>
      <c r="E199">
        <v>14</v>
      </c>
      <c r="F199" s="875">
        <v>25.31</v>
      </c>
      <c r="G199" s="875">
        <v>25.62</v>
      </c>
    </row>
    <row r="200" spans="1:7" x14ac:dyDescent="0.25">
      <c r="A200" s="861">
        <v>3345</v>
      </c>
      <c r="B200" s="856"/>
      <c r="C200" s="880">
        <f>SUM(C191:C199)</f>
        <v>40</v>
      </c>
      <c r="D200" s="881">
        <v>1</v>
      </c>
      <c r="E200">
        <v>15</v>
      </c>
    </row>
    <row r="201" spans="1:7" x14ac:dyDescent="0.25">
      <c r="A201" s="861">
        <v>3362</v>
      </c>
      <c r="B201" s="862">
        <v>3362</v>
      </c>
      <c r="C201" s="883" t="s">
        <v>674</v>
      </c>
      <c r="D201" s="884"/>
      <c r="E201">
        <v>1</v>
      </c>
    </row>
    <row r="202" spans="1:7" x14ac:dyDescent="0.25">
      <c r="A202" s="861">
        <v>3362</v>
      </c>
      <c r="B202" s="856">
        <v>111</v>
      </c>
      <c r="C202" s="864">
        <v>3.5</v>
      </c>
      <c r="D202" s="865">
        <f>C202/C205</f>
        <v>0.35</v>
      </c>
      <c r="E202">
        <v>2</v>
      </c>
    </row>
    <row r="203" spans="1:7" x14ac:dyDescent="0.25">
      <c r="A203" s="861">
        <v>3362</v>
      </c>
      <c r="B203" s="856">
        <v>112</v>
      </c>
      <c r="C203" s="866">
        <v>6.5</v>
      </c>
      <c r="D203" s="867">
        <f>C203/C205</f>
        <v>0.65</v>
      </c>
      <c r="E203">
        <v>3</v>
      </c>
    </row>
    <row r="204" spans="1:7" x14ac:dyDescent="0.25">
      <c r="A204" s="861">
        <v>3362</v>
      </c>
      <c r="B204" s="856">
        <v>113</v>
      </c>
      <c r="C204" s="868"/>
      <c r="D204" s="869">
        <f>C204/C205</f>
        <v>0</v>
      </c>
      <c r="E204">
        <v>4</v>
      </c>
    </row>
    <row r="205" spans="1:7" x14ac:dyDescent="0.25">
      <c r="A205" s="861">
        <v>3362</v>
      </c>
      <c r="B205" s="856"/>
      <c r="C205" s="870">
        <f>SUM(C202:C204)</f>
        <v>10</v>
      </c>
      <c r="D205" s="871"/>
      <c r="E205">
        <v>5</v>
      </c>
    </row>
    <row r="206" spans="1:7" x14ac:dyDescent="0.25">
      <c r="A206" s="861">
        <v>3362</v>
      </c>
      <c r="B206" s="872" t="s">
        <v>658</v>
      </c>
      <c r="C206" s="882">
        <v>2.5</v>
      </c>
      <c r="D206" s="874">
        <f>IF(C206=0,0,C206/(C206+C207+C208))</f>
        <v>0.7142857142857143</v>
      </c>
      <c r="E206">
        <v>6</v>
      </c>
      <c r="F206" s="875">
        <v>4.6399999999999997</v>
      </c>
      <c r="G206" s="875">
        <v>6.08</v>
      </c>
    </row>
    <row r="207" spans="1:7" x14ac:dyDescent="0.25">
      <c r="A207" s="861">
        <v>3362</v>
      </c>
      <c r="B207" s="872" t="s">
        <v>659</v>
      </c>
      <c r="C207" s="864">
        <v>1</v>
      </c>
      <c r="D207" s="865">
        <f>IF(C207=0,0,C207/(C206+C207+C208))</f>
        <v>0.2857142857142857</v>
      </c>
      <c r="E207">
        <v>7</v>
      </c>
      <c r="F207" s="875">
        <v>1.86</v>
      </c>
      <c r="G207" s="875">
        <v>2.4300000000000002</v>
      </c>
    </row>
    <row r="208" spans="1:7" x14ac:dyDescent="0.25">
      <c r="A208" s="861">
        <v>3362</v>
      </c>
      <c r="B208" s="872" t="s">
        <v>660</v>
      </c>
      <c r="C208" s="864">
        <v>0</v>
      </c>
      <c r="D208" s="865">
        <f>IF(C208=0,0,C208/(C206+C207+C208))</f>
        <v>0</v>
      </c>
      <c r="E208">
        <v>8</v>
      </c>
      <c r="F208" s="875">
        <v>0</v>
      </c>
      <c r="G208" s="875">
        <v>0</v>
      </c>
    </row>
    <row r="209" spans="1:7" x14ac:dyDescent="0.25">
      <c r="A209" s="861">
        <v>3362</v>
      </c>
      <c r="B209" s="872" t="s">
        <v>661</v>
      </c>
      <c r="C209" s="866">
        <v>3.5</v>
      </c>
      <c r="D209" s="867">
        <f>IF(C209=0,0,C209/(C209+C210+C211))</f>
        <v>0.53846153846153844</v>
      </c>
      <c r="E209">
        <v>9</v>
      </c>
      <c r="F209" s="875">
        <v>1.88</v>
      </c>
      <c r="G209" s="875">
        <v>2.16</v>
      </c>
    </row>
    <row r="210" spans="1:7" x14ac:dyDescent="0.25">
      <c r="A210" s="861">
        <v>3362</v>
      </c>
      <c r="B210" s="872" t="s">
        <v>662</v>
      </c>
      <c r="C210" s="866">
        <v>3</v>
      </c>
      <c r="D210" s="867">
        <f>IF(C210=0,0,C210/(C209+C210+C211))</f>
        <v>0.46153846153846156</v>
      </c>
      <c r="E210">
        <v>10</v>
      </c>
      <c r="F210" s="875">
        <v>1.62</v>
      </c>
      <c r="G210" s="875">
        <v>1.86</v>
      </c>
    </row>
    <row r="211" spans="1:7" x14ac:dyDescent="0.25">
      <c r="A211" s="861">
        <v>3362</v>
      </c>
      <c r="B211" s="872" t="s">
        <v>663</v>
      </c>
      <c r="C211" s="866">
        <v>0</v>
      </c>
      <c r="D211" s="867">
        <f>IF(C211=0,0,C211/(C209+C210+C211))</f>
        <v>0</v>
      </c>
      <c r="E211">
        <v>11</v>
      </c>
      <c r="F211" s="875">
        <v>0</v>
      </c>
      <c r="G211" s="875">
        <v>0</v>
      </c>
    </row>
    <row r="212" spans="1:7" x14ac:dyDescent="0.25">
      <c r="A212" s="861">
        <v>3362</v>
      </c>
      <c r="B212" s="872" t="s">
        <v>664</v>
      </c>
      <c r="C212" s="868">
        <v>0</v>
      </c>
      <c r="D212" s="869">
        <f>IF(C212=0,0,C212/(C212+C213+C214))</f>
        <v>0</v>
      </c>
      <c r="E212">
        <v>12</v>
      </c>
      <c r="F212" s="875">
        <v>0</v>
      </c>
      <c r="G212" s="875">
        <v>0</v>
      </c>
    </row>
    <row r="213" spans="1:7" x14ac:dyDescent="0.25">
      <c r="A213" s="861">
        <v>3362</v>
      </c>
      <c r="B213" s="872" t="s">
        <v>665</v>
      </c>
      <c r="C213" s="868">
        <v>0</v>
      </c>
      <c r="D213" s="869">
        <f>IF(C213=0,0,C213/(C212+C213+C214))</f>
        <v>0</v>
      </c>
      <c r="E213">
        <v>13</v>
      </c>
      <c r="F213" s="875">
        <v>0</v>
      </c>
      <c r="G213" s="875">
        <v>0</v>
      </c>
    </row>
    <row r="214" spans="1:7" x14ac:dyDescent="0.25">
      <c r="A214" s="861">
        <v>3362</v>
      </c>
      <c r="B214" s="872" t="s">
        <v>666</v>
      </c>
      <c r="C214" s="868">
        <v>0</v>
      </c>
      <c r="D214" s="869">
        <f>IF(C214=0,0,C214/(C212+C213+C214))</f>
        <v>0</v>
      </c>
      <c r="E214">
        <v>14</v>
      </c>
      <c r="F214" s="875">
        <v>0</v>
      </c>
      <c r="G214" s="875">
        <v>0</v>
      </c>
    </row>
    <row r="215" spans="1:7" x14ac:dyDescent="0.25">
      <c r="A215" s="861">
        <v>3362</v>
      </c>
      <c r="B215" s="856"/>
      <c r="C215" s="880">
        <f>SUM(C206:C214)</f>
        <v>10</v>
      </c>
      <c r="D215" s="881">
        <v>1</v>
      </c>
      <c r="E215">
        <v>15</v>
      </c>
    </row>
    <row r="216" spans="1:7" x14ac:dyDescent="0.25">
      <c r="A216" s="861">
        <v>3381</v>
      </c>
      <c r="B216" s="862">
        <v>3381</v>
      </c>
      <c r="C216" s="863" t="s">
        <v>675</v>
      </c>
      <c r="D216" s="884"/>
      <c r="E216">
        <v>1</v>
      </c>
    </row>
    <row r="217" spans="1:7" x14ac:dyDescent="0.25">
      <c r="A217" s="861">
        <v>3381</v>
      </c>
      <c r="B217" s="856">
        <v>111</v>
      </c>
      <c r="C217" s="864">
        <v>29</v>
      </c>
      <c r="D217" s="865">
        <f>C217/C220</f>
        <v>0.32222222222222224</v>
      </c>
      <c r="E217">
        <v>2</v>
      </c>
    </row>
    <row r="218" spans="1:7" x14ac:dyDescent="0.25">
      <c r="A218" s="861">
        <v>3381</v>
      </c>
      <c r="B218" s="856">
        <v>112</v>
      </c>
      <c r="C218" s="866">
        <v>61</v>
      </c>
      <c r="D218" s="867">
        <f>C218/C220</f>
        <v>0.67777777777777781</v>
      </c>
      <c r="E218">
        <v>3</v>
      </c>
    </row>
    <row r="219" spans="1:7" x14ac:dyDescent="0.25">
      <c r="A219" s="861">
        <v>3381</v>
      </c>
      <c r="B219" s="856">
        <v>113</v>
      </c>
      <c r="C219" s="868">
        <v>0</v>
      </c>
      <c r="D219" s="869">
        <f>C219/C220</f>
        <v>0</v>
      </c>
      <c r="E219">
        <v>4</v>
      </c>
    </row>
    <row r="220" spans="1:7" x14ac:dyDescent="0.25">
      <c r="A220" s="861">
        <v>3381</v>
      </c>
      <c r="B220" s="856"/>
      <c r="C220" s="870">
        <f>SUM(C217:C219)</f>
        <v>90</v>
      </c>
      <c r="D220" s="871"/>
      <c r="E220">
        <v>5</v>
      </c>
    </row>
    <row r="221" spans="1:7" x14ac:dyDescent="0.25">
      <c r="A221" s="861">
        <v>3381</v>
      </c>
      <c r="B221" s="872" t="s">
        <v>658</v>
      </c>
      <c r="C221" s="882">
        <v>25.5</v>
      </c>
      <c r="D221" s="874">
        <f>IF(C221=0,0,C221/(C221+C222+C223))</f>
        <v>0.87931034482758619</v>
      </c>
      <c r="E221">
        <v>6</v>
      </c>
      <c r="F221" s="875">
        <v>25.5</v>
      </c>
      <c r="G221" s="875">
        <v>26.5</v>
      </c>
    </row>
    <row r="222" spans="1:7" x14ac:dyDescent="0.25">
      <c r="A222" s="861">
        <v>3381</v>
      </c>
      <c r="B222" s="872" t="s">
        <v>659</v>
      </c>
      <c r="C222" s="864">
        <v>3.5</v>
      </c>
      <c r="D222" s="865">
        <f>IF(C222=0,0,C222/(C221+C222+C223))</f>
        <v>0.1206896551724138</v>
      </c>
      <c r="E222">
        <v>7</v>
      </c>
      <c r="F222" s="875">
        <v>3.5</v>
      </c>
      <c r="G222" s="875">
        <v>3.64</v>
      </c>
    </row>
    <row r="223" spans="1:7" x14ac:dyDescent="0.25">
      <c r="A223" s="861">
        <v>3381</v>
      </c>
      <c r="B223" s="872" t="s">
        <v>660</v>
      </c>
      <c r="C223" s="864">
        <v>0</v>
      </c>
      <c r="D223" s="865">
        <f>IF(C223=0,0,C223/(C221+C222+C223))</f>
        <v>0</v>
      </c>
      <c r="E223">
        <v>8</v>
      </c>
      <c r="F223" s="875">
        <v>0</v>
      </c>
      <c r="G223" s="875">
        <v>0</v>
      </c>
    </row>
    <row r="224" spans="1:7" x14ac:dyDescent="0.25">
      <c r="A224" s="861">
        <v>3381</v>
      </c>
      <c r="B224" s="872" t="s">
        <v>661</v>
      </c>
      <c r="C224" s="866">
        <v>58.5</v>
      </c>
      <c r="D224" s="867">
        <f>IF(C224=0,0,C224/(C224+C225+C226))</f>
        <v>0.95901639344262291</v>
      </c>
      <c r="E224">
        <v>9</v>
      </c>
      <c r="F224" s="875">
        <v>58.98</v>
      </c>
      <c r="G224" s="875">
        <v>61.81</v>
      </c>
    </row>
    <row r="225" spans="1:7" x14ac:dyDescent="0.25">
      <c r="A225" s="861">
        <v>3381</v>
      </c>
      <c r="B225" s="872" t="s">
        <v>662</v>
      </c>
      <c r="C225" s="866">
        <v>2.5</v>
      </c>
      <c r="D225" s="867">
        <f>IF(C225=0,0,C225/(C224+C225+C226))</f>
        <v>4.0983606557377046E-2</v>
      </c>
      <c r="E225">
        <v>10</v>
      </c>
      <c r="F225" s="875">
        <v>2.52</v>
      </c>
      <c r="G225" s="875">
        <v>2.64</v>
      </c>
    </row>
    <row r="226" spans="1:7" x14ac:dyDescent="0.25">
      <c r="A226" s="861">
        <v>3381</v>
      </c>
      <c r="B226" s="872" t="s">
        <v>663</v>
      </c>
      <c r="C226" s="866">
        <v>0</v>
      </c>
      <c r="D226" s="867">
        <f>IF(C226=0,0,C226/(C224+C225+C226))</f>
        <v>0</v>
      </c>
      <c r="E226">
        <v>11</v>
      </c>
      <c r="F226" s="875">
        <v>0</v>
      </c>
      <c r="G226" s="875">
        <v>0</v>
      </c>
    </row>
    <row r="227" spans="1:7" x14ac:dyDescent="0.25">
      <c r="A227" s="861">
        <v>3381</v>
      </c>
      <c r="B227" s="872" t="s">
        <v>664</v>
      </c>
      <c r="C227" s="868">
        <v>0</v>
      </c>
      <c r="D227" s="869">
        <f>IF(C227=0,0,C227/(C227+C228+C229))</f>
        <v>0</v>
      </c>
      <c r="E227">
        <v>12</v>
      </c>
      <c r="F227" s="875">
        <v>0</v>
      </c>
      <c r="G227" s="875">
        <v>0</v>
      </c>
    </row>
    <row r="228" spans="1:7" x14ac:dyDescent="0.25">
      <c r="A228" s="861">
        <v>3381</v>
      </c>
      <c r="B228" s="872" t="s">
        <v>665</v>
      </c>
      <c r="C228" s="868">
        <v>0</v>
      </c>
      <c r="D228" s="869">
        <f>IF(C228=0,0,C228/(C227+C228+C229))</f>
        <v>0</v>
      </c>
      <c r="E228">
        <v>13</v>
      </c>
      <c r="F228" s="875">
        <v>0</v>
      </c>
      <c r="G228" s="875">
        <v>0</v>
      </c>
    </row>
    <row r="229" spans="1:7" x14ac:dyDescent="0.25">
      <c r="A229" s="861">
        <v>3381</v>
      </c>
      <c r="B229" s="872" t="s">
        <v>666</v>
      </c>
      <c r="C229" s="868">
        <v>0</v>
      </c>
      <c r="D229" s="869">
        <f>IF(C229=0,0,C229/(C227+C228+C229))</f>
        <v>0</v>
      </c>
      <c r="E229">
        <v>14</v>
      </c>
      <c r="F229" s="875">
        <v>0</v>
      </c>
      <c r="G229" s="875">
        <v>0</v>
      </c>
    </row>
    <row r="230" spans="1:7" x14ac:dyDescent="0.25">
      <c r="A230" s="861">
        <v>3381</v>
      </c>
      <c r="B230" s="856"/>
      <c r="C230" s="880">
        <f>SUM(C221:C229)</f>
        <v>90</v>
      </c>
      <c r="D230" s="881">
        <v>1</v>
      </c>
      <c r="E230">
        <v>15</v>
      </c>
    </row>
    <row r="231" spans="1:7" x14ac:dyDescent="0.25">
      <c r="A231" s="861">
        <v>3382</v>
      </c>
      <c r="B231" s="862">
        <v>3382</v>
      </c>
      <c r="C231" s="863" t="s">
        <v>676</v>
      </c>
      <c r="D231" s="884"/>
      <c r="E231">
        <v>1</v>
      </c>
    </row>
    <row r="232" spans="1:7" x14ac:dyDescent="0.25">
      <c r="A232" s="861">
        <v>3382</v>
      </c>
      <c r="B232" s="856">
        <v>111</v>
      </c>
      <c r="C232" s="864">
        <v>8</v>
      </c>
      <c r="D232" s="865">
        <f>C232/C235</f>
        <v>0.29090909090909089</v>
      </c>
      <c r="E232">
        <v>2</v>
      </c>
    </row>
    <row r="233" spans="1:7" x14ac:dyDescent="0.25">
      <c r="A233" s="861">
        <v>3382</v>
      </c>
      <c r="B233" s="856">
        <v>112</v>
      </c>
      <c r="C233" s="866">
        <v>19.5</v>
      </c>
      <c r="D233" s="867">
        <f>C233/C235</f>
        <v>0.70909090909090911</v>
      </c>
      <c r="E233">
        <v>3</v>
      </c>
    </row>
    <row r="234" spans="1:7" x14ac:dyDescent="0.25">
      <c r="A234" s="861">
        <v>3382</v>
      </c>
      <c r="B234" s="856">
        <v>113</v>
      </c>
      <c r="C234" s="868">
        <v>0</v>
      </c>
      <c r="D234" s="869">
        <f>C234/C235</f>
        <v>0</v>
      </c>
      <c r="E234">
        <v>4</v>
      </c>
    </row>
    <row r="235" spans="1:7" x14ac:dyDescent="0.25">
      <c r="A235" s="861">
        <v>3382</v>
      </c>
      <c r="B235" s="856"/>
      <c r="C235" s="870">
        <f>SUM(C232:C234)</f>
        <v>27.5</v>
      </c>
      <c r="D235" s="871"/>
      <c r="E235">
        <v>5</v>
      </c>
    </row>
    <row r="236" spans="1:7" x14ac:dyDescent="0.25">
      <c r="A236" s="861">
        <v>3382</v>
      </c>
      <c r="B236" s="872" t="s">
        <v>658</v>
      </c>
      <c r="C236" s="882">
        <v>7.5</v>
      </c>
      <c r="D236" s="874">
        <f>IF(C236=0,0,C236/(C236+C237+C238))</f>
        <v>0.9375</v>
      </c>
      <c r="E236">
        <v>6</v>
      </c>
      <c r="F236" s="875">
        <v>7.5</v>
      </c>
      <c r="G236" s="875">
        <v>7.02</v>
      </c>
    </row>
    <row r="237" spans="1:7" x14ac:dyDescent="0.25">
      <c r="A237" s="861">
        <v>3382</v>
      </c>
      <c r="B237" s="872" t="s">
        <v>659</v>
      </c>
      <c r="C237" s="864">
        <v>0.5</v>
      </c>
      <c r="D237" s="865">
        <f>IF(C237=0,0,C237/(C236+C237+C238))</f>
        <v>6.25E-2</v>
      </c>
      <c r="E237">
        <v>7</v>
      </c>
      <c r="F237" s="875">
        <v>0.5</v>
      </c>
      <c r="G237" s="875">
        <v>0.47</v>
      </c>
    </row>
    <row r="238" spans="1:7" x14ac:dyDescent="0.25">
      <c r="A238" s="861">
        <v>3382</v>
      </c>
      <c r="B238" s="872" t="s">
        <v>660</v>
      </c>
      <c r="C238" s="864">
        <v>0</v>
      </c>
      <c r="D238" s="865">
        <f>IF(C238=0,0,C238/(C236+C237+C238))</f>
        <v>0</v>
      </c>
      <c r="E238">
        <v>8</v>
      </c>
      <c r="F238" s="875">
        <v>0</v>
      </c>
      <c r="G238" s="875">
        <v>0</v>
      </c>
    </row>
    <row r="239" spans="1:7" x14ac:dyDescent="0.25">
      <c r="A239" s="861">
        <v>3382</v>
      </c>
      <c r="B239" s="872" t="s">
        <v>661</v>
      </c>
      <c r="C239" s="866">
        <v>18</v>
      </c>
      <c r="D239" s="867">
        <f>IF(C239=0,0,C239/(C239+C240+C241))</f>
        <v>0.92307692307692313</v>
      </c>
      <c r="E239">
        <v>9</v>
      </c>
      <c r="F239" s="875">
        <v>18.46</v>
      </c>
      <c r="G239" s="875">
        <v>15.26</v>
      </c>
    </row>
    <row r="240" spans="1:7" x14ac:dyDescent="0.25">
      <c r="A240" s="861">
        <v>3382</v>
      </c>
      <c r="B240" s="872" t="s">
        <v>662</v>
      </c>
      <c r="C240" s="866">
        <v>1.5</v>
      </c>
      <c r="D240" s="867">
        <f>IF(C240=0,0,C240/(C239+C240+C241))</f>
        <v>7.6923076923076927E-2</v>
      </c>
      <c r="E240">
        <v>10</v>
      </c>
      <c r="F240" s="875">
        <v>1.54</v>
      </c>
      <c r="G240" s="875">
        <v>1.27</v>
      </c>
    </row>
    <row r="241" spans="1:7" x14ac:dyDescent="0.25">
      <c r="A241" s="861">
        <v>3382</v>
      </c>
      <c r="B241" s="872" t="s">
        <v>663</v>
      </c>
      <c r="C241" s="866"/>
      <c r="D241" s="867">
        <f>IF(C241=0,0,C241/(C239+C240+C241))</f>
        <v>0</v>
      </c>
      <c r="E241">
        <v>11</v>
      </c>
      <c r="F241" s="875">
        <v>0</v>
      </c>
      <c r="G241" s="875">
        <v>0</v>
      </c>
    </row>
    <row r="242" spans="1:7" x14ac:dyDescent="0.25">
      <c r="A242" s="861">
        <v>3382</v>
      </c>
      <c r="B242" s="872" t="s">
        <v>664</v>
      </c>
      <c r="C242" s="868"/>
      <c r="D242" s="869">
        <f>IF(C242=0,0,C242/(C242+C243+C244))</f>
        <v>0</v>
      </c>
      <c r="E242">
        <v>12</v>
      </c>
      <c r="F242" s="875">
        <v>0</v>
      </c>
      <c r="G242" s="875">
        <v>0</v>
      </c>
    </row>
    <row r="243" spans="1:7" x14ac:dyDescent="0.25">
      <c r="A243" s="861">
        <v>3382</v>
      </c>
      <c r="B243" s="872" t="s">
        <v>665</v>
      </c>
      <c r="C243" s="868"/>
      <c r="D243" s="869">
        <f>IF(C243=0,0,C243/(C242+C243+C244))</f>
        <v>0</v>
      </c>
      <c r="E243">
        <v>13</v>
      </c>
      <c r="F243" s="875">
        <v>0</v>
      </c>
      <c r="G243" s="875">
        <v>0</v>
      </c>
    </row>
    <row r="244" spans="1:7" x14ac:dyDescent="0.25">
      <c r="A244" s="861">
        <v>3382</v>
      </c>
      <c r="B244" s="872" t="s">
        <v>666</v>
      </c>
      <c r="C244" s="868"/>
      <c r="D244" s="869">
        <f>IF(C244=0,0,C244/(C242+C243+C244))</f>
        <v>0</v>
      </c>
      <c r="E244">
        <v>14</v>
      </c>
      <c r="F244" s="875">
        <v>0</v>
      </c>
      <c r="G244" s="875">
        <v>0</v>
      </c>
    </row>
    <row r="245" spans="1:7" x14ac:dyDescent="0.25">
      <c r="A245" s="861">
        <v>3382</v>
      </c>
      <c r="B245" s="856"/>
      <c r="C245" s="880">
        <f>SUM(C236:C244)</f>
        <v>27.5</v>
      </c>
      <c r="D245" s="881">
        <v>1</v>
      </c>
      <c r="E245">
        <v>15</v>
      </c>
    </row>
    <row r="246" spans="1:7" x14ac:dyDescent="0.25">
      <c r="A246" s="861">
        <v>3394</v>
      </c>
      <c r="B246" s="862">
        <v>3394</v>
      </c>
      <c r="C246" s="863" t="s">
        <v>300</v>
      </c>
      <c r="D246" s="884"/>
      <c r="E246">
        <v>1</v>
      </c>
    </row>
    <row r="247" spans="1:7" x14ac:dyDescent="0.25">
      <c r="A247" s="861">
        <v>3394</v>
      </c>
      <c r="B247" s="856">
        <v>111</v>
      </c>
      <c r="C247" s="864">
        <v>4</v>
      </c>
      <c r="D247" s="865">
        <f>C247/C250</f>
        <v>0.5</v>
      </c>
      <c r="E247">
        <v>2</v>
      </c>
    </row>
    <row r="248" spans="1:7" x14ac:dyDescent="0.25">
      <c r="A248" s="861">
        <v>3394</v>
      </c>
      <c r="B248" s="856">
        <v>112</v>
      </c>
      <c r="C248" s="866">
        <v>4</v>
      </c>
      <c r="D248" s="867">
        <f>C248/C250</f>
        <v>0.5</v>
      </c>
      <c r="E248">
        <v>3</v>
      </c>
    </row>
    <row r="249" spans="1:7" x14ac:dyDescent="0.25">
      <c r="A249" s="861">
        <v>3394</v>
      </c>
      <c r="B249" s="856">
        <v>113</v>
      </c>
      <c r="C249" s="868">
        <v>0</v>
      </c>
      <c r="D249" s="869">
        <f>C249/C250</f>
        <v>0</v>
      </c>
      <c r="E249">
        <v>4</v>
      </c>
    </row>
    <row r="250" spans="1:7" x14ac:dyDescent="0.25">
      <c r="A250" s="861">
        <v>3394</v>
      </c>
      <c r="B250" s="856"/>
      <c r="C250" s="870">
        <f>SUM(C247:C249)</f>
        <v>8</v>
      </c>
      <c r="D250" s="871"/>
      <c r="E250">
        <v>5</v>
      </c>
    </row>
    <row r="251" spans="1:7" x14ac:dyDescent="0.25">
      <c r="A251" s="861">
        <v>3394</v>
      </c>
      <c r="B251" s="872" t="s">
        <v>658</v>
      </c>
      <c r="C251" s="882">
        <v>4</v>
      </c>
      <c r="D251" s="874">
        <f>IF(C251=0,0,C251/(C251+C252+C253))</f>
        <v>1</v>
      </c>
      <c r="E251">
        <v>6</v>
      </c>
      <c r="F251" s="875">
        <v>4</v>
      </c>
      <c r="G251" s="875">
        <v>5</v>
      </c>
    </row>
    <row r="252" spans="1:7" x14ac:dyDescent="0.25">
      <c r="A252" s="861">
        <v>3394</v>
      </c>
      <c r="B252" s="872" t="s">
        <v>659</v>
      </c>
      <c r="C252" s="864"/>
      <c r="D252" s="865">
        <f>IF(C252=0,0,C252/(C251+C252+C253))</f>
        <v>0</v>
      </c>
      <c r="E252">
        <v>7</v>
      </c>
      <c r="F252" s="875">
        <v>0</v>
      </c>
      <c r="G252" s="875">
        <v>0</v>
      </c>
    </row>
    <row r="253" spans="1:7" x14ac:dyDescent="0.25">
      <c r="A253" s="861">
        <v>3394</v>
      </c>
      <c r="B253" s="872" t="s">
        <v>660</v>
      </c>
      <c r="C253" s="864"/>
      <c r="D253" s="865">
        <f>IF(C253=0,0,C253/(C251+C252+C253))</f>
        <v>0</v>
      </c>
      <c r="E253">
        <v>8</v>
      </c>
      <c r="F253" s="875">
        <v>0</v>
      </c>
      <c r="G253" s="875">
        <v>0</v>
      </c>
    </row>
    <row r="254" spans="1:7" x14ac:dyDescent="0.25">
      <c r="A254" s="861">
        <v>3394</v>
      </c>
      <c r="B254" s="872" t="s">
        <v>661</v>
      </c>
      <c r="C254" s="866">
        <v>2.5</v>
      </c>
      <c r="D254" s="867">
        <f>IF(C254=0,0,C254/(C254+C255+C256))</f>
        <v>0.625</v>
      </c>
      <c r="E254">
        <v>9</v>
      </c>
      <c r="F254" s="875">
        <v>2.5</v>
      </c>
      <c r="G254" s="875">
        <v>2.81</v>
      </c>
    </row>
    <row r="255" spans="1:7" x14ac:dyDescent="0.25">
      <c r="A255" s="861">
        <v>3394</v>
      </c>
      <c r="B255" s="878" t="s">
        <v>662</v>
      </c>
      <c r="C255" s="866">
        <v>1.5</v>
      </c>
      <c r="D255" s="867">
        <f>IF(C255=0,0,C255/(C254+C255+C256))</f>
        <v>0.375</v>
      </c>
      <c r="E255">
        <v>10</v>
      </c>
      <c r="F255" s="875">
        <v>1.5</v>
      </c>
      <c r="G255" s="875">
        <v>1.69</v>
      </c>
    </row>
    <row r="256" spans="1:7" x14ac:dyDescent="0.25">
      <c r="A256" s="861">
        <v>3394</v>
      </c>
      <c r="B256" s="878" t="s">
        <v>663</v>
      </c>
      <c r="C256" s="866">
        <v>0</v>
      </c>
      <c r="D256" s="867">
        <f>IF(C256=0,0,C256/(C254+C255+C256))</f>
        <v>0</v>
      </c>
      <c r="E256">
        <v>11</v>
      </c>
      <c r="F256" s="875">
        <v>0</v>
      </c>
      <c r="G256" s="875">
        <v>0</v>
      </c>
    </row>
    <row r="257" spans="1:7" x14ac:dyDescent="0.25">
      <c r="A257" s="861">
        <v>3394</v>
      </c>
      <c r="B257" s="872" t="s">
        <v>664</v>
      </c>
      <c r="C257" s="868">
        <v>0</v>
      </c>
      <c r="D257" s="869">
        <f>IF(C257=0,0,C257/(C257+C258+C259))</f>
        <v>0</v>
      </c>
      <c r="E257">
        <v>12</v>
      </c>
      <c r="F257" s="875">
        <v>0</v>
      </c>
      <c r="G257" s="875">
        <v>0</v>
      </c>
    </row>
    <row r="258" spans="1:7" x14ac:dyDescent="0.25">
      <c r="A258" s="861">
        <v>3394</v>
      </c>
      <c r="B258" s="872" t="s">
        <v>665</v>
      </c>
      <c r="C258" s="868">
        <v>0</v>
      </c>
      <c r="D258" s="869">
        <f>IF(C258=0,0,C258/(C257+C258+C259))</f>
        <v>0</v>
      </c>
      <c r="E258">
        <v>13</v>
      </c>
      <c r="F258" s="875">
        <v>0</v>
      </c>
      <c r="G258" s="875">
        <v>0</v>
      </c>
    </row>
    <row r="259" spans="1:7" x14ac:dyDescent="0.25">
      <c r="A259" s="861">
        <v>3394</v>
      </c>
      <c r="B259" s="872" t="s">
        <v>666</v>
      </c>
      <c r="C259" s="868">
        <v>0</v>
      </c>
      <c r="D259" s="869">
        <f>IF(C259=0,0,C259/(C257+C258+C259))</f>
        <v>0</v>
      </c>
      <c r="E259">
        <v>14</v>
      </c>
      <c r="F259" s="875">
        <v>0</v>
      </c>
      <c r="G259" s="875">
        <v>0</v>
      </c>
    </row>
    <row r="260" spans="1:7" x14ac:dyDescent="0.25">
      <c r="A260" s="861">
        <v>3394</v>
      </c>
      <c r="B260" s="856"/>
      <c r="C260" s="880">
        <f>SUM(C251:C259)</f>
        <v>8</v>
      </c>
      <c r="D260" s="881">
        <v>1</v>
      </c>
      <c r="E260">
        <v>15</v>
      </c>
    </row>
    <row r="261" spans="1:7" x14ac:dyDescent="0.25">
      <c r="A261" s="861">
        <v>3395</v>
      </c>
      <c r="B261" s="862">
        <v>3395</v>
      </c>
      <c r="C261" s="863" t="s">
        <v>677</v>
      </c>
      <c r="D261" s="857"/>
      <c r="E261">
        <v>1</v>
      </c>
    </row>
    <row r="262" spans="1:7" x14ac:dyDescent="0.25">
      <c r="A262" s="861">
        <v>3395</v>
      </c>
      <c r="B262" s="856">
        <v>111</v>
      </c>
      <c r="C262" s="864">
        <v>10.5</v>
      </c>
      <c r="D262" s="865">
        <f>C262/C265</f>
        <v>0.375</v>
      </c>
      <c r="E262">
        <v>2</v>
      </c>
    </row>
    <row r="263" spans="1:7" x14ac:dyDescent="0.25">
      <c r="A263" s="861">
        <v>3395</v>
      </c>
      <c r="B263" s="856">
        <v>112</v>
      </c>
      <c r="C263" s="866">
        <v>17.5</v>
      </c>
      <c r="D263" s="867">
        <f>C263/C265</f>
        <v>0.625</v>
      </c>
      <c r="E263">
        <v>3</v>
      </c>
    </row>
    <row r="264" spans="1:7" x14ac:dyDescent="0.25">
      <c r="A264" s="861">
        <v>3395</v>
      </c>
      <c r="B264" s="856">
        <v>113</v>
      </c>
      <c r="C264" s="868">
        <v>0</v>
      </c>
      <c r="D264" s="869">
        <f>C264/C265</f>
        <v>0</v>
      </c>
      <c r="E264">
        <v>4</v>
      </c>
    </row>
    <row r="265" spans="1:7" x14ac:dyDescent="0.25">
      <c r="A265" s="861">
        <v>3395</v>
      </c>
      <c r="B265" s="856"/>
      <c r="C265" s="870">
        <f>SUM(C262:C264)</f>
        <v>28</v>
      </c>
      <c r="D265" s="871"/>
      <c r="E265">
        <v>5</v>
      </c>
    </row>
    <row r="266" spans="1:7" x14ac:dyDescent="0.25">
      <c r="A266" s="861">
        <v>3395</v>
      </c>
      <c r="B266" s="872" t="s">
        <v>658</v>
      </c>
      <c r="C266" s="882">
        <v>9.5</v>
      </c>
      <c r="D266" s="874">
        <f>IF(C266=0,0,C266/(C266+C267+C268))</f>
        <v>0.90476190476190477</v>
      </c>
      <c r="E266">
        <v>6</v>
      </c>
      <c r="F266" s="875">
        <v>9.5</v>
      </c>
      <c r="G266" s="875">
        <v>10.86</v>
      </c>
    </row>
    <row r="267" spans="1:7" x14ac:dyDescent="0.25">
      <c r="A267" s="861">
        <v>3395</v>
      </c>
      <c r="B267" s="872" t="s">
        <v>659</v>
      </c>
      <c r="C267" s="864">
        <v>1</v>
      </c>
      <c r="D267" s="865">
        <f>IF(C267=0,0,C267/(C266+C267+C268))</f>
        <v>9.5238095238095233E-2</v>
      </c>
      <c r="E267">
        <v>7</v>
      </c>
      <c r="F267" s="875">
        <v>1</v>
      </c>
      <c r="G267" s="875">
        <v>1.1399999999999999</v>
      </c>
    </row>
    <row r="268" spans="1:7" x14ac:dyDescent="0.25">
      <c r="A268" s="861">
        <v>3395</v>
      </c>
      <c r="B268" s="872" t="s">
        <v>660</v>
      </c>
      <c r="C268" s="864"/>
      <c r="D268" s="865">
        <f>IF(C268=0,0,C268/(C266+C267+C268))</f>
        <v>0</v>
      </c>
      <c r="E268">
        <v>8</v>
      </c>
      <c r="F268" s="875">
        <v>0</v>
      </c>
      <c r="G268" s="875">
        <v>0</v>
      </c>
    </row>
    <row r="269" spans="1:7" x14ac:dyDescent="0.25">
      <c r="A269" s="861">
        <v>3395</v>
      </c>
      <c r="B269" s="872" t="s">
        <v>661</v>
      </c>
      <c r="C269" s="866">
        <v>17</v>
      </c>
      <c r="D269" s="867">
        <f>IF(C269=0,0,C269/(C269+C270+C271))</f>
        <v>0.97142857142857142</v>
      </c>
      <c r="E269">
        <v>9</v>
      </c>
      <c r="F269" s="875">
        <v>17</v>
      </c>
      <c r="G269" s="875">
        <v>17.97</v>
      </c>
    </row>
    <row r="270" spans="1:7" x14ac:dyDescent="0.25">
      <c r="A270" s="861">
        <v>3395</v>
      </c>
      <c r="B270" s="872" t="s">
        <v>662</v>
      </c>
      <c r="C270" s="866">
        <v>0.5</v>
      </c>
      <c r="D270" s="867">
        <f>IF(C270=0,0,C270/(C269+C270+C271))</f>
        <v>2.8571428571428571E-2</v>
      </c>
      <c r="E270">
        <v>10</v>
      </c>
      <c r="F270" s="875">
        <v>0.5</v>
      </c>
      <c r="G270" s="875">
        <v>0.53</v>
      </c>
    </row>
    <row r="271" spans="1:7" x14ac:dyDescent="0.25">
      <c r="A271" s="861">
        <v>3395</v>
      </c>
      <c r="B271" s="872" t="s">
        <v>663</v>
      </c>
      <c r="C271" s="866"/>
      <c r="D271" s="867">
        <f>IF(C271=0,0,C271/(C269+C270+C271))</f>
        <v>0</v>
      </c>
      <c r="E271">
        <v>11</v>
      </c>
      <c r="F271" s="875">
        <v>0</v>
      </c>
      <c r="G271" s="875">
        <v>0</v>
      </c>
    </row>
    <row r="272" spans="1:7" x14ac:dyDescent="0.25">
      <c r="A272" s="861">
        <v>3395</v>
      </c>
      <c r="B272" s="872" t="s">
        <v>664</v>
      </c>
      <c r="C272" s="868"/>
      <c r="D272" s="869">
        <f>IF(C272=0,0,C272/(C272+C273+C274))</f>
        <v>0</v>
      </c>
      <c r="E272">
        <v>12</v>
      </c>
      <c r="F272" s="875">
        <v>0</v>
      </c>
      <c r="G272" s="875">
        <v>0</v>
      </c>
    </row>
    <row r="273" spans="1:7" x14ac:dyDescent="0.25">
      <c r="A273" s="861">
        <v>3395</v>
      </c>
      <c r="B273" s="872" t="s">
        <v>665</v>
      </c>
      <c r="C273" s="868"/>
      <c r="D273" s="869">
        <f>IF(C273=0,0,C273/(C272+C273+C274))</f>
        <v>0</v>
      </c>
      <c r="E273">
        <v>13</v>
      </c>
      <c r="F273" s="875">
        <v>0</v>
      </c>
      <c r="G273" s="875">
        <v>0</v>
      </c>
    </row>
    <row r="274" spans="1:7" x14ac:dyDescent="0.25">
      <c r="A274" s="861">
        <v>3395</v>
      </c>
      <c r="B274" s="872" t="s">
        <v>666</v>
      </c>
      <c r="C274" s="868"/>
      <c r="D274" s="869">
        <f>IF(C274=0,0,C274/(C272+C273+C274))</f>
        <v>0</v>
      </c>
      <c r="E274">
        <v>14</v>
      </c>
      <c r="F274" s="875">
        <v>0</v>
      </c>
      <c r="G274" s="875">
        <v>0</v>
      </c>
    </row>
    <row r="275" spans="1:7" x14ac:dyDescent="0.25">
      <c r="A275" s="861">
        <v>3395</v>
      </c>
      <c r="B275" s="856"/>
      <c r="C275" s="880">
        <f>SUM(C266:C274)</f>
        <v>28</v>
      </c>
      <c r="D275" s="881">
        <v>1</v>
      </c>
      <c r="E275">
        <v>15</v>
      </c>
    </row>
    <row r="276" spans="1:7" x14ac:dyDescent="0.25">
      <c r="A276" s="861">
        <v>3396</v>
      </c>
      <c r="B276" s="862">
        <v>3396</v>
      </c>
      <c r="C276" s="863" t="s">
        <v>678</v>
      </c>
      <c r="D276" s="885"/>
      <c r="E276">
        <v>1</v>
      </c>
    </row>
    <row r="277" spans="1:7" x14ac:dyDescent="0.25">
      <c r="A277" s="861">
        <v>3396</v>
      </c>
      <c r="B277" s="856">
        <v>111</v>
      </c>
      <c r="C277" s="864">
        <v>0</v>
      </c>
      <c r="D277" s="865">
        <f>C277/C280</f>
        <v>0</v>
      </c>
      <c r="E277">
        <v>2</v>
      </c>
    </row>
    <row r="278" spans="1:7" x14ac:dyDescent="0.25">
      <c r="A278" s="861">
        <v>3396</v>
      </c>
      <c r="B278" s="856">
        <v>112</v>
      </c>
      <c r="C278" s="866">
        <v>11</v>
      </c>
      <c r="D278" s="867">
        <f>C278/C280</f>
        <v>0.24175824175824176</v>
      </c>
      <c r="E278">
        <v>3</v>
      </c>
    </row>
    <row r="279" spans="1:7" x14ac:dyDescent="0.25">
      <c r="A279" s="861">
        <v>3396</v>
      </c>
      <c r="B279" s="856">
        <v>113</v>
      </c>
      <c r="C279" s="868">
        <v>34.5</v>
      </c>
      <c r="D279" s="869">
        <f>C279/C280</f>
        <v>0.75824175824175821</v>
      </c>
      <c r="E279">
        <v>4</v>
      </c>
    </row>
    <row r="280" spans="1:7" x14ac:dyDescent="0.25">
      <c r="A280" s="861">
        <v>3396</v>
      </c>
      <c r="B280" s="856"/>
      <c r="C280" s="870">
        <f>SUM(C277:C279)</f>
        <v>45.5</v>
      </c>
      <c r="D280" s="871"/>
      <c r="E280">
        <v>5</v>
      </c>
    </row>
    <row r="281" spans="1:7" x14ac:dyDescent="0.25">
      <c r="A281" s="861">
        <v>3396</v>
      </c>
      <c r="B281" s="872" t="s">
        <v>658</v>
      </c>
      <c r="C281" s="882">
        <v>0</v>
      </c>
      <c r="D281" s="874">
        <f>IF(C281=0,0,C281/(C281+C282+C283))</f>
        <v>0</v>
      </c>
      <c r="E281">
        <v>6</v>
      </c>
      <c r="F281" s="875">
        <v>0</v>
      </c>
      <c r="G281" s="875">
        <v>0</v>
      </c>
    </row>
    <row r="282" spans="1:7" x14ac:dyDescent="0.25">
      <c r="A282" s="861">
        <v>3396</v>
      </c>
      <c r="B282" s="872" t="s">
        <v>659</v>
      </c>
      <c r="C282" s="864">
        <v>0</v>
      </c>
      <c r="D282" s="865">
        <f>IF(C282=0,0,C282/(C281+C282+C283))</f>
        <v>0</v>
      </c>
      <c r="E282">
        <v>7</v>
      </c>
      <c r="F282" s="875">
        <v>0</v>
      </c>
      <c r="G282" s="875">
        <v>0</v>
      </c>
    </row>
    <row r="283" spans="1:7" x14ac:dyDescent="0.25">
      <c r="A283" s="861">
        <v>3396</v>
      </c>
      <c r="B283" s="872" t="s">
        <v>660</v>
      </c>
      <c r="C283" s="864">
        <v>0</v>
      </c>
      <c r="D283" s="865">
        <f>IF(C283=0,0,C283/(C281+C282+C283))</f>
        <v>0</v>
      </c>
      <c r="E283">
        <v>8</v>
      </c>
      <c r="F283" s="875">
        <v>0</v>
      </c>
      <c r="G283" s="875">
        <v>0</v>
      </c>
    </row>
    <row r="284" spans="1:7" x14ac:dyDescent="0.25">
      <c r="A284" s="861">
        <v>3396</v>
      </c>
      <c r="B284" s="872" t="s">
        <v>661</v>
      </c>
      <c r="C284" s="866">
        <v>9.5</v>
      </c>
      <c r="D284" s="867">
        <f>IF(C284=0,0,C284/(C284+C285+C286))</f>
        <v>0.86363636363636365</v>
      </c>
      <c r="E284">
        <v>9</v>
      </c>
      <c r="F284" s="875">
        <v>9.5</v>
      </c>
      <c r="G284" s="875">
        <v>9.0500000000000007</v>
      </c>
    </row>
    <row r="285" spans="1:7" x14ac:dyDescent="0.25">
      <c r="A285" s="861">
        <v>3396</v>
      </c>
      <c r="B285" s="878" t="s">
        <v>662</v>
      </c>
      <c r="C285" s="866">
        <v>1.5</v>
      </c>
      <c r="D285" s="867">
        <f>IF(C285=0,0,C285/(C284+C285+C286))</f>
        <v>0.13636363636363635</v>
      </c>
      <c r="E285">
        <v>10</v>
      </c>
      <c r="F285" s="875">
        <v>1.5</v>
      </c>
      <c r="G285" s="875">
        <v>1.43</v>
      </c>
    </row>
    <row r="286" spans="1:7" x14ac:dyDescent="0.25">
      <c r="A286" s="861">
        <v>3396</v>
      </c>
      <c r="B286" s="878" t="s">
        <v>663</v>
      </c>
      <c r="C286" s="866"/>
      <c r="D286" s="867">
        <f>IF(C286=0,0,C286/(C284+C285+C286))</f>
        <v>0</v>
      </c>
      <c r="E286">
        <v>11</v>
      </c>
      <c r="F286" s="875">
        <v>0</v>
      </c>
      <c r="G286" s="875">
        <v>0</v>
      </c>
    </row>
    <row r="287" spans="1:7" x14ac:dyDescent="0.25">
      <c r="A287" s="861">
        <v>3396</v>
      </c>
      <c r="B287" s="872" t="s">
        <v>664</v>
      </c>
      <c r="C287" s="868">
        <v>32</v>
      </c>
      <c r="D287" s="869">
        <f>IF(C287=0,0,C287/(C287+C288+C289))</f>
        <v>0.92753623188405798</v>
      </c>
      <c r="E287">
        <v>12</v>
      </c>
      <c r="F287" s="875">
        <v>32.46</v>
      </c>
      <c r="G287" s="875">
        <v>31.42</v>
      </c>
    </row>
    <row r="288" spans="1:7" x14ac:dyDescent="0.25">
      <c r="A288" s="861">
        <v>3396</v>
      </c>
      <c r="B288" s="878" t="s">
        <v>665</v>
      </c>
      <c r="C288" s="868">
        <v>2.5</v>
      </c>
      <c r="D288" s="869">
        <f>IF(C288=0,0,C288/(C287+C288+C289))</f>
        <v>7.2463768115942032E-2</v>
      </c>
      <c r="E288">
        <v>13</v>
      </c>
      <c r="F288" s="875">
        <v>2.54</v>
      </c>
      <c r="G288" s="875">
        <v>2.46</v>
      </c>
    </row>
    <row r="289" spans="1:7" x14ac:dyDescent="0.25">
      <c r="A289" s="861">
        <v>3396</v>
      </c>
      <c r="B289" s="878" t="s">
        <v>666</v>
      </c>
      <c r="C289" s="868"/>
      <c r="D289" s="869">
        <f>IF(C289=0,0,C289/(C287+C288+C289))</f>
        <v>0</v>
      </c>
      <c r="E289">
        <v>14</v>
      </c>
      <c r="F289" s="875">
        <v>0</v>
      </c>
      <c r="G289" s="875">
        <v>0</v>
      </c>
    </row>
    <row r="290" spans="1:7" x14ac:dyDescent="0.25">
      <c r="A290" s="861">
        <v>3396</v>
      </c>
      <c r="B290" s="856"/>
      <c r="C290" s="880">
        <f>SUM(C281:C289)</f>
        <v>45.5</v>
      </c>
      <c r="D290" s="881">
        <v>1</v>
      </c>
      <c r="E290">
        <v>15</v>
      </c>
    </row>
    <row r="291" spans="1:7" x14ac:dyDescent="0.25">
      <c r="A291" s="861">
        <v>3398</v>
      </c>
      <c r="B291" s="862">
        <v>3398</v>
      </c>
      <c r="C291" s="863" t="s">
        <v>306</v>
      </c>
      <c r="D291" s="885"/>
      <c r="E291">
        <v>1</v>
      </c>
    </row>
    <row r="292" spans="1:7" x14ac:dyDescent="0.25">
      <c r="A292" s="861">
        <v>3398</v>
      </c>
      <c r="B292" s="856">
        <v>111</v>
      </c>
      <c r="C292" s="864">
        <v>0</v>
      </c>
      <c r="D292" s="865">
        <f>C292/C295</f>
        <v>0</v>
      </c>
      <c r="E292">
        <v>2</v>
      </c>
    </row>
    <row r="293" spans="1:7" x14ac:dyDescent="0.25">
      <c r="A293" s="861">
        <v>3398</v>
      </c>
      <c r="B293" s="856">
        <v>112</v>
      </c>
      <c r="C293" s="866">
        <v>3</v>
      </c>
      <c r="D293" s="867">
        <f>C293/C295</f>
        <v>0.24</v>
      </c>
      <c r="E293">
        <v>3</v>
      </c>
    </row>
    <row r="294" spans="1:7" x14ac:dyDescent="0.25">
      <c r="A294" s="861">
        <v>3398</v>
      </c>
      <c r="B294" s="856">
        <v>113</v>
      </c>
      <c r="C294" s="868">
        <v>9.5</v>
      </c>
      <c r="D294" s="869">
        <f>C294/C295</f>
        <v>0.76</v>
      </c>
      <c r="E294">
        <v>4</v>
      </c>
    </row>
    <row r="295" spans="1:7" x14ac:dyDescent="0.25">
      <c r="A295" s="861">
        <v>3398</v>
      </c>
      <c r="B295" s="856"/>
      <c r="C295" s="870">
        <f>SUM(C292:C294)</f>
        <v>12.5</v>
      </c>
      <c r="D295" s="871"/>
      <c r="E295">
        <v>5</v>
      </c>
    </row>
    <row r="296" spans="1:7" x14ac:dyDescent="0.25">
      <c r="A296" s="861">
        <v>3398</v>
      </c>
      <c r="B296" s="872" t="s">
        <v>658</v>
      </c>
      <c r="C296" s="882">
        <v>0</v>
      </c>
      <c r="D296" s="874">
        <f>IF(C296=0,0,C296/(C296+C297+C298))</f>
        <v>0</v>
      </c>
      <c r="E296">
        <v>6</v>
      </c>
      <c r="F296" s="875">
        <v>0</v>
      </c>
      <c r="G296" s="875">
        <v>0</v>
      </c>
    </row>
    <row r="297" spans="1:7" x14ac:dyDescent="0.25">
      <c r="A297" s="861">
        <v>3398</v>
      </c>
      <c r="B297" s="872" t="s">
        <v>659</v>
      </c>
      <c r="C297" s="864">
        <v>0</v>
      </c>
      <c r="D297" s="865">
        <f>IF(C297=0,0,C297/(C296+C297+C298))</f>
        <v>0</v>
      </c>
      <c r="E297">
        <v>7</v>
      </c>
      <c r="F297" s="875">
        <v>0</v>
      </c>
      <c r="G297" s="875">
        <v>0</v>
      </c>
    </row>
    <row r="298" spans="1:7" x14ac:dyDescent="0.25">
      <c r="A298" s="861">
        <v>3398</v>
      </c>
      <c r="B298" s="872" t="s">
        <v>660</v>
      </c>
      <c r="C298" s="864">
        <v>0</v>
      </c>
      <c r="D298" s="865">
        <f>IF(C298=0,0,C298/(C296+C297+C298))</f>
        <v>0</v>
      </c>
      <c r="E298">
        <v>8</v>
      </c>
      <c r="F298" s="875">
        <v>0</v>
      </c>
      <c r="G298" s="875">
        <v>0</v>
      </c>
    </row>
    <row r="299" spans="1:7" x14ac:dyDescent="0.25">
      <c r="A299" s="861">
        <v>3398</v>
      </c>
      <c r="B299" s="872" t="s">
        <v>661</v>
      </c>
      <c r="C299" s="866">
        <v>3</v>
      </c>
      <c r="D299" s="867">
        <f>IF(C299=0,0,C299/(C299+C300+C301))</f>
        <v>1</v>
      </c>
      <c r="E299">
        <v>9</v>
      </c>
      <c r="F299" s="875">
        <v>0</v>
      </c>
      <c r="G299" s="875">
        <v>2.5</v>
      </c>
    </row>
    <row r="300" spans="1:7" x14ac:dyDescent="0.25">
      <c r="A300" s="861">
        <v>3398</v>
      </c>
      <c r="B300" s="872" t="s">
        <v>662</v>
      </c>
      <c r="C300" s="866"/>
      <c r="D300" s="867">
        <f>IF(C300=0,0,C300/(C299+C300+C301))</f>
        <v>0</v>
      </c>
      <c r="E300">
        <v>10</v>
      </c>
      <c r="F300" s="875">
        <v>0</v>
      </c>
      <c r="G300" s="875">
        <v>0</v>
      </c>
    </row>
    <row r="301" spans="1:7" x14ac:dyDescent="0.25">
      <c r="A301" s="861">
        <v>3398</v>
      </c>
      <c r="B301" s="872" t="s">
        <v>663</v>
      </c>
      <c r="C301" s="866"/>
      <c r="D301" s="867">
        <f>IF(C301=0,0,C301/(C299+C300+C301))</f>
        <v>0</v>
      </c>
      <c r="E301">
        <v>11</v>
      </c>
      <c r="F301" s="875">
        <v>0</v>
      </c>
      <c r="G301" s="875">
        <v>0</v>
      </c>
    </row>
    <row r="302" spans="1:7" x14ac:dyDescent="0.25">
      <c r="A302" s="861">
        <v>3398</v>
      </c>
      <c r="B302" s="872" t="s">
        <v>664</v>
      </c>
      <c r="C302" s="868">
        <v>9</v>
      </c>
      <c r="D302" s="869">
        <f>IF(C302=0,0,C302/(C302+C303+C304))</f>
        <v>0.94736842105263153</v>
      </c>
      <c r="E302">
        <v>12</v>
      </c>
      <c r="F302" s="875">
        <v>11.84</v>
      </c>
      <c r="G302" s="875">
        <v>8.86</v>
      </c>
    </row>
    <row r="303" spans="1:7" x14ac:dyDescent="0.25">
      <c r="A303" s="861">
        <v>3398</v>
      </c>
      <c r="B303" s="872" t="s">
        <v>665</v>
      </c>
      <c r="C303" s="868">
        <v>0.5</v>
      </c>
      <c r="D303" s="869">
        <f>IF(C303=0,0,C303/(C302+C303+C304))</f>
        <v>5.2631578947368418E-2</v>
      </c>
      <c r="E303">
        <v>13</v>
      </c>
      <c r="F303" s="875">
        <v>0.66</v>
      </c>
      <c r="G303" s="875">
        <v>0.49</v>
      </c>
    </row>
    <row r="304" spans="1:7" x14ac:dyDescent="0.25">
      <c r="A304" s="861">
        <v>3398</v>
      </c>
      <c r="B304" s="872" t="s">
        <v>666</v>
      </c>
      <c r="C304" s="868"/>
      <c r="D304" s="869">
        <f>IF(C304=0,0,C304/(C302+C303+C304))</f>
        <v>0</v>
      </c>
      <c r="E304">
        <v>14</v>
      </c>
      <c r="F304" s="875">
        <v>0</v>
      </c>
      <c r="G304" s="875">
        <v>0</v>
      </c>
    </row>
    <row r="305" spans="1:7" x14ac:dyDescent="0.25">
      <c r="A305" s="861">
        <v>3398</v>
      </c>
      <c r="B305" s="856"/>
      <c r="C305" s="880">
        <f>SUM(C296:C304)</f>
        <v>12.5</v>
      </c>
      <c r="D305" s="881">
        <v>1</v>
      </c>
      <c r="E305">
        <v>15</v>
      </c>
    </row>
    <row r="306" spans="1:7" x14ac:dyDescent="0.25">
      <c r="A306" s="861">
        <v>3400</v>
      </c>
      <c r="B306" s="862">
        <v>3400</v>
      </c>
      <c r="C306" s="863" t="s">
        <v>308</v>
      </c>
      <c r="D306" s="885"/>
      <c r="E306">
        <v>1</v>
      </c>
    </row>
    <row r="307" spans="1:7" x14ac:dyDescent="0.25">
      <c r="A307" s="861">
        <v>3400</v>
      </c>
      <c r="B307" s="856">
        <v>111</v>
      </c>
      <c r="C307" s="864">
        <v>0</v>
      </c>
      <c r="D307" s="865">
        <f>C307/C310</f>
        <v>0</v>
      </c>
      <c r="E307">
        <v>2</v>
      </c>
    </row>
    <row r="308" spans="1:7" x14ac:dyDescent="0.25">
      <c r="A308" s="861">
        <v>3400</v>
      </c>
      <c r="B308" s="856">
        <v>112</v>
      </c>
      <c r="C308" s="866">
        <v>1.5</v>
      </c>
      <c r="D308" s="867">
        <f>C308/C310</f>
        <v>3.2679738562091505E-2</v>
      </c>
      <c r="E308">
        <v>3</v>
      </c>
    </row>
    <row r="309" spans="1:7" x14ac:dyDescent="0.25">
      <c r="A309" s="861">
        <v>3400</v>
      </c>
      <c r="B309" s="856">
        <v>113</v>
      </c>
      <c r="C309" s="868">
        <v>44.4</v>
      </c>
      <c r="D309" s="869">
        <f>C309/C310</f>
        <v>0.9673202614379085</v>
      </c>
      <c r="E309">
        <v>4</v>
      </c>
    </row>
    <row r="310" spans="1:7" x14ac:dyDescent="0.25">
      <c r="A310" s="861">
        <v>3400</v>
      </c>
      <c r="B310" s="856"/>
      <c r="C310" s="870">
        <f>SUM(C307:C309)</f>
        <v>45.9</v>
      </c>
      <c r="D310" s="871"/>
      <c r="E310">
        <v>5</v>
      </c>
    </row>
    <row r="311" spans="1:7" x14ac:dyDescent="0.25">
      <c r="A311" s="861">
        <v>3400</v>
      </c>
      <c r="B311" s="872" t="s">
        <v>658</v>
      </c>
      <c r="C311" s="882">
        <v>0</v>
      </c>
      <c r="D311" s="874">
        <f>IF(C311=0,0,C311/(C311+C312+C313))</f>
        <v>0</v>
      </c>
      <c r="E311">
        <v>6</v>
      </c>
      <c r="F311" s="875">
        <v>0</v>
      </c>
      <c r="G311" s="875">
        <v>0</v>
      </c>
    </row>
    <row r="312" spans="1:7" x14ac:dyDescent="0.25">
      <c r="A312" s="861">
        <v>3400</v>
      </c>
      <c r="B312" s="872" t="s">
        <v>659</v>
      </c>
      <c r="C312" s="864">
        <v>0</v>
      </c>
      <c r="D312" s="865">
        <f>IF(C312=0,0,C312/(C311+C312+C313))</f>
        <v>0</v>
      </c>
      <c r="E312">
        <v>7</v>
      </c>
      <c r="F312" s="875">
        <v>0</v>
      </c>
      <c r="G312" s="875">
        <v>0</v>
      </c>
    </row>
    <row r="313" spans="1:7" x14ac:dyDescent="0.25">
      <c r="A313" s="861">
        <v>3400</v>
      </c>
      <c r="B313" s="872" t="s">
        <v>660</v>
      </c>
      <c r="C313" s="864">
        <v>0</v>
      </c>
      <c r="D313" s="865">
        <f>IF(C313=0,0,C313/(C311+C312+C313))</f>
        <v>0</v>
      </c>
      <c r="E313">
        <v>8</v>
      </c>
      <c r="F313" s="875">
        <v>0</v>
      </c>
      <c r="G313" s="875">
        <v>0</v>
      </c>
    </row>
    <row r="314" spans="1:7" x14ac:dyDescent="0.25">
      <c r="A314" s="861">
        <v>3400</v>
      </c>
      <c r="B314" s="872" t="s">
        <v>661</v>
      </c>
      <c r="C314" s="866">
        <v>0</v>
      </c>
      <c r="D314" s="867">
        <f>IF(C314=0,0,C314/(C314+C315+C316))</f>
        <v>0</v>
      </c>
      <c r="E314">
        <v>9</v>
      </c>
      <c r="F314" s="875">
        <v>0</v>
      </c>
      <c r="G314" s="875">
        <v>0</v>
      </c>
    </row>
    <row r="315" spans="1:7" x14ac:dyDescent="0.25">
      <c r="A315" s="861">
        <v>3400</v>
      </c>
      <c r="B315" s="878" t="s">
        <v>662</v>
      </c>
      <c r="C315" s="866">
        <v>1</v>
      </c>
      <c r="D315" s="867">
        <f>IF(C315=0,0,C315/(C314+C315+C316))</f>
        <v>0.66666666666666663</v>
      </c>
      <c r="E315">
        <v>10</v>
      </c>
      <c r="F315" s="875">
        <v>1</v>
      </c>
      <c r="G315" s="875">
        <v>0.67</v>
      </c>
    </row>
    <row r="316" spans="1:7" x14ac:dyDescent="0.25">
      <c r="A316" s="861">
        <v>3400</v>
      </c>
      <c r="B316" s="878" t="s">
        <v>663</v>
      </c>
      <c r="C316" s="866">
        <v>0.5</v>
      </c>
      <c r="D316" s="867">
        <f>IF(C316=0,0,C316/(C314+C315+C316))</f>
        <v>0.33333333333333331</v>
      </c>
      <c r="E316">
        <v>11</v>
      </c>
      <c r="F316" s="875">
        <v>0.5</v>
      </c>
      <c r="G316" s="875">
        <v>0.33</v>
      </c>
    </row>
    <row r="317" spans="1:7" x14ac:dyDescent="0.25">
      <c r="A317" s="861">
        <v>3400</v>
      </c>
      <c r="B317" s="872" t="s">
        <v>664</v>
      </c>
      <c r="C317" s="868">
        <v>0</v>
      </c>
      <c r="D317" s="869">
        <f>IF(C317=0,0,C317/(C317+C318+C319))</f>
        <v>0</v>
      </c>
      <c r="E317">
        <v>12</v>
      </c>
      <c r="F317" s="875">
        <v>0</v>
      </c>
      <c r="G317" s="875">
        <v>0</v>
      </c>
    </row>
    <row r="318" spans="1:7" x14ac:dyDescent="0.25">
      <c r="A318" s="861">
        <v>3400</v>
      </c>
      <c r="B318" s="878" t="s">
        <v>665</v>
      </c>
      <c r="C318" s="868">
        <v>27.9</v>
      </c>
      <c r="D318" s="869">
        <f>IF(C318=0,0,C318/(C317+C318+C319))</f>
        <v>0.6283783783783784</v>
      </c>
      <c r="E318">
        <v>13</v>
      </c>
      <c r="F318" s="875">
        <v>27.93</v>
      </c>
      <c r="G318" s="875">
        <v>27.72</v>
      </c>
    </row>
    <row r="319" spans="1:7" x14ac:dyDescent="0.25">
      <c r="A319" s="861">
        <v>3400</v>
      </c>
      <c r="B319" s="878" t="s">
        <v>666</v>
      </c>
      <c r="C319" s="868">
        <v>16.5</v>
      </c>
      <c r="D319" s="869">
        <f>IF(C319=0,0,C319/(C317+C318+C319))</f>
        <v>0.37162162162162166</v>
      </c>
      <c r="E319">
        <v>14</v>
      </c>
      <c r="F319" s="875">
        <v>16.510000000000002</v>
      </c>
      <c r="G319" s="875">
        <v>16.399999999999999</v>
      </c>
    </row>
    <row r="320" spans="1:7" x14ac:dyDescent="0.25">
      <c r="A320" s="861">
        <v>3400</v>
      </c>
      <c r="B320" s="856"/>
      <c r="C320" s="880">
        <f>SUM(C311:C319)</f>
        <v>45.9</v>
      </c>
      <c r="D320" s="881">
        <v>1</v>
      </c>
      <c r="E320">
        <v>15</v>
      </c>
    </row>
    <row r="321" spans="1:7" x14ac:dyDescent="0.25">
      <c r="A321" s="861">
        <v>3401</v>
      </c>
      <c r="B321" s="862">
        <v>3401</v>
      </c>
      <c r="C321" s="863" t="s">
        <v>679</v>
      </c>
      <c r="D321" s="885"/>
      <c r="E321">
        <v>1</v>
      </c>
    </row>
    <row r="322" spans="1:7" x14ac:dyDescent="0.25">
      <c r="A322" s="861">
        <v>3401</v>
      </c>
      <c r="B322" s="856">
        <v>111</v>
      </c>
      <c r="C322" s="864">
        <v>0</v>
      </c>
      <c r="D322" s="865">
        <f>C322/C325</f>
        <v>0</v>
      </c>
      <c r="E322">
        <v>2</v>
      </c>
    </row>
    <row r="323" spans="1:7" x14ac:dyDescent="0.25">
      <c r="A323" s="861">
        <v>3401</v>
      </c>
      <c r="B323" s="856">
        <v>112</v>
      </c>
      <c r="C323" s="866">
        <v>4</v>
      </c>
      <c r="D323" s="867">
        <f>C323/C325</f>
        <v>9.9750623441396499E-2</v>
      </c>
      <c r="E323">
        <v>3</v>
      </c>
    </row>
    <row r="324" spans="1:7" x14ac:dyDescent="0.25">
      <c r="A324" s="861">
        <v>3401</v>
      </c>
      <c r="B324" s="856">
        <v>113</v>
      </c>
      <c r="C324" s="868">
        <v>36.1</v>
      </c>
      <c r="D324" s="869">
        <f>C324/C325</f>
        <v>0.90024937655860349</v>
      </c>
      <c r="E324">
        <v>4</v>
      </c>
    </row>
    <row r="325" spans="1:7" x14ac:dyDescent="0.25">
      <c r="A325" s="861">
        <v>3401</v>
      </c>
      <c r="B325" s="856"/>
      <c r="C325" s="870">
        <f>SUM(C322:C324)</f>
        <v>40.1</v>
      </c>
      <c r="D325" s="871"/>
      <c r="E325">
        <v>5</v>
      </c>
    </row>
    <row r="326" spans="1:7" x14ac:dyDescent="0.25">
      <c r="A326" s="861">
        <v>3401</v>
      </c>
      <c r="B326" s="872" t="s">
        <v>658</v>
      </c>
      <c r="C326" s="882">
        <v>0</v>
      </c>
      <c r="D326" s="874">
        <f>IF(C326=0,0,C326/(C326+C327+C328))</f>
        <v>0</v>
      </c>
      <c r="E326">
        <v>6</v>
      </c>
      <c r="F326" s="875">
        <v>0</v>
      </c>
      <c r="G326" s="875">
        <v>0</v>
      </c>
    </row>
    <row r="327" spans="1:7" x14ac:dyDescent="0.25">
      <c r="A327" s="861">
        <v>3401</v>
      </c>
      <c r="B327" s="872" t="s">
        <v>659</v>
      </c>
      <c r="C327" s="864">
        <v>0</v>
      </c>
      <c r="D327" s="865">
        <f>IF(C327=0,0,C327/(C326+C327+C328))</f>
        <v>0</v>
      </c>
      <c r="E327">
        <v>7</v>
      </c>
      <c r="F327" s="875">
        <v>0</v>
      </c>
      <c r="G327" s="875">
        <v>0</v>
      </c>
    </row>
    <row r="328" spans="1:7" x14ac:dyDescent="0.25">
      <c r="A328" s="861">
        <v>3401</v>
      </c>
      <c r="B328" s="872" t="s">
        <v>660</v>
      </c>
      <c r="C328" s="864">
        <v>0</v>
      </c>
      <c r="D328" s="865">
        <f>IF(C328=0,0,C328/(C326+C327+C328))</f>
        <v>0</v>
      </c>
      <c r="E328">
        <v>8</v>
      </c>
      <c r="F328" s="875">
        <v>0</v>
      </c>
      <c r="G328" s="875">
        <v>0</v>
      </c>
    </row>
    <row r="329" spans="1:7" x14ac:dyDescent="0.25">
      <c r="A329" s="861">
        <v>3401</v>
      </c>
      <c r="B329" s="872" t="s">
        <v>661</v>
      </c>
      <c r="C329" s="866">
        <v>3.5</v>
      </c>
      <c r="D329" s="867">
        <f>IF(C329=0,0,C329/(C329+C330+C331))</f>
        <v>0.875</v>
      </c>
      <c r="E329">
        <v>9</v>
      </c>
      <c r="F329" s="875">
        <v>3.5</v>
      </c>
      <c r="G329" s="875">
        <v>2.57</v>
      </c>
    </row>
    <row r="330" spans="1:7" x14ac:dyDescent="0.25">
      <c r="A330" s="861">
        <v>3401</v>
      </c>
      <c r="B330" s="872" t="s">
        <v>662</v>
      </c>
      <c r="C330" s="866">
        <v>0.5</v>
      </c>
      <c r="D330" s="867">
        <f>IF(C330=0,0,C330/(C329+C330+C331))</f>
        <v>0.125</v>
      </c>
      <c r="E330">
        <v>10</v>
      </c>
      <c r="F330" s="875">
        <v>0.5</v>
      </c>
      <c r="G330" s="875">
        <v>0.37</v>
      </c>
    </row>
    <row r="331" spans="1:7" x14ac:dyDescent="0.25">
      <c r="A331" s="861">
        <v>3401</v>
      </c>
      <c r="B331" s="872" t="s">
        <v>663</v>
      </c>
      <c r="C331" s="866"/>
      <c r="D331" s="867">
        <f>IF(C331=0,0,C331/(C329+C330+C331))</f>
        <v>0</v>
      </c>
      <c r="E331">
        <v>11</v>
      </c>
      <c r="F331" s="875">
        <v>0</v>
      </c>
      <c r="G331" s="875">
        <v>0</v>
      </c>
    </row>
    <row r="332" spans="1:7" x14ac:dyDescent="0.25">
      <c r="A332" s="861">
        <v>3401</v>
      </c>
      <c r="B332" s="872" t="s">
        <v>664</v>
      </c>
      <c r="C332" s="868">
        <v>33.1</v>
      </c>
      <c r="D332" s="869">
        <f>IF(C332=0,0,C332/(C332+C333+C334))</f>
        <v>0.91689750692520777</v>
      </c>
      <c r="E332">
        <v>12</v>
      </c>
      <c r="F332" s="875">
        <v>33.130000000000003</v>
      </c>
      <c r="G332" s="875">
        <v>34.25</v>
      </c>
    </row>
    <row r="333" spans="1:7" x14ac:dyDescent="0.25">
      <c r="A333" s="861">
        <v>3401</v>
      </c>
      <c r="B333" s="872" t="s">
        <v>665</v>
      </c>
      <c r="C333" s="868">
        <v>3</v>
      </c>
      <c r="D333" s="869">
        <f>IF(C333=0,0,C333/(C332+C333+C334))</f>
        <v>8.3102493074792241E-2</v>
      </c>
      <c r="E333">
        <v>13</v>
      </c>
      <c r="F333" s="875">
        <v>3</v>
      </c>
      <c r="G333" s="875">
        <v>3.1</v>
      </c>
    </row>
    <row r="334" spans="1:7" x14ac:dyDescent="0.25">
      <c r="A334" s="861">
        <v>3401</v>
      </c>
      <c r="B334" s="872" t="s">
        <v>666</v>
      </c>
      <c r="C334" s="868">
        <v>0</v>
      </c>
      <c r="D334" s="869">
        <f>IF(C334=0,0,C334/(C332+C333+C334))</f>
        <v>0</v>
      </c>
      <c r="E334">
        <v>14</v>
      </c>
      <c r="F334" s="875">
        <v>0</v>
      </c>
      <c r="G334" s="875">
        <v>0</v>
      </c>
    </row>
    <row r="335" spans="1:7" x14ac:dyDescent="0.25">
      <c r="A335" s="861">
        <v>3401</v>
      </c>
      <c r="B335" s="856"/>
      <c r="C335" s="880">
        <f>SUM(C326:C334)</f>
        <v>40.1</v>
      </c>
      <c r="D335" s="881">
        <v>1</v>
      </c>
      <c r="E335">
        <v>15</v>
      </c>
    </row>
    <row r="336" spans="1:7" x14ac:dyDescent="0.25">
      <c r="A336" s="861">
        <v>3413</v>
      </c>
      <c r="B336" s="862">
        <v>3413</v>
      </c>
      <c r="C336" s="863" t="s">
        <v>680</v>
      </c>
      <c r="D336" s="885"/>
      <c r="E336">
        <v>1</v>
      </c>
    </row>
    <row r="337" spans="1:7" x14ac:dyDescent="0.25">
      <c r="A337" s="861">
        <v>3413</v>
      </c>
      <c r="B337" s="856">
        <v>111</v>
      </c>
      <c r="C337" s="864">
        <v>17.5</v>
      </c>
      <c r="D337" s="865">
        <f>C337/C340</f>
        <v>0.4375</v>
      </c>
      <c r="E337">
        <v>2</v>
      </c>
    </row>
    <row r="338" spans="1:7" x14ac:dyDescent="0.25">
      <c r="A338" s="861">
        <v>3413</v>
      </c>
      <c r="B338" s="856">
        <v>112</v>
      </c>
      <c r="C338" s="866">
        <v>22.5</v>
      </c>
      <c r="D338" s="867">
        <f>C338/C340</f>
        <v>0.5625</v>
      </c>
      <c r="E338">
        <v>3</v>
      </c>
    </row>
    <row r="339" spans="1:7" x14ac:dyDescent="0.25">
      <c r="A339" s="861">
        <v>3413</v>
      </c>
      <c r="B339" s="856">
        <v>113</v>
      </c>
      <c r="C339" s="868">
        <v>0</v>
      </c>
      <c r="D339" s="869">
        <f>C339/C340</f>
        <v>0</v>
      </c>
      <c r="E339">
        <v>4</v>
      </c>
    </row>
    <row r="340" spans="1:7" x14ac:dyDescent="0.25">
      <c r="A340" s="861">
        <v>3413</v>
      </c>
      <c r="B340" s="856"/>
      <c r="C340" s="870">
        <f>SUM(C337:C339)</f>
        <v>40</v>
      </c>
      <c r="D340" s="871"/>
      <c r="E340">
        <v>5</v>
      </c>
    </row>
    <row r="341" spans="1:7" x14ac:dyDescent="0.25">
      <c r="A341" s="861">
        <v>3413</v>
      </c>
      <c r="B341" s="872" t="s">
        <v>658</v>
      </c>
      <c r="C341" s="882">
        <v>16</v>
      </c>
      <c r="D341" s="874">
        <f>IF(C341=0,0,C341/(C341+C342+C343))</f>
        <v>0.91428571428571426</v>
      </c>
      <c r="E341">
        <v>6</v>
      </c>
      <c r="F341" s="875">
        <v>20.57</v>
      </c>
      <c r="G341" s="875">
        <v>24.69</v>
      </c>
    </row>
    <row r="342" spans="1:7" x14ac:dyDescent="0.25">
      <c r="A342" s="861">
        <v>3413</v>
      </c>
      <c r="B342" s="872" t="s">
        <v>659</v>
      </c>
      <c r="C342" s="864">
        <v>1.5</v>
      </c>
      <c r="D342" s="865">
        <f>IF(C342=0,0,C342/(C341+C342+C343))</f>
        <v>8.5714285714285715E-2</v>
      </c>
      <c r="E342">
        <v>7</v>
      </c>
      <c r="F342" s="875">
        <v>1.93</v>
      </c>
      <c r="G342" s="875">
        <v>2.31</v>
      </c>
    </row>
    <row r="343" spans="1:7" x14ac:dyDescent="0.25">
      <c r="A343" s="861">
        <v>3413</v>
      </c>
      <c r="B343" s="872" t="s">
        <v>660</v>
      </c>
      <c r="C343" s="864">
        <v>0</v>
      </c>
      <c r="D343" s="865">
        <f>IF(C343=0,0,C343/(C341+C342+C343))</f>
        <v>0</v>
      </c>
      <c r="E343">
        <v>8</v>
      </c>
      <c r="F343" s="875">
        <v>0</v>
      </c>
      <c r="G343" s="875">
        <v>0</v>
      </c>
    </row>
    <row r="344" spans="1:7" x14ac:dyDescent="0.25">
      <c r="A344" s="861">
        <v>3413</v>
      </c>
      <c r="B344" s="872" t="s">
        <v>661</v>
      </c>
      <c r="C344" s="866">
        <v>21.5</v>
      </c>
      <c r="D344" s="867">
        <f>IF(C344=0,0,C344/(C344+C345+C346))</f>
        <v>0.9555555555555556</v>
      </c>
      <c r="E344">
        <v>9</v>
      </c>
      <c r="F344" s="875">
        <v>17.2</v>
      </c>
      <c r="G344" s="875">
        <v>17.2</v>
      </c>
    </row>
    <row r="345" spans="1:7" x14ac:dyDescent="0.25">
      <c r="A345" s="861">
        <v>3413</v>
      </c>
      <c r="B345" s="878" t="s">
        <v>662</v>
      </c>
      <c r="C345" s="866">
        <v>1</v>
      </c>
      <c r="D345" s="867">
        <f>IF(C345=0,0,C345/(C344+C345+C346))</f>
        <v>4.4444444444444446E-2</v>
      </c>
      <c r="E345">
        <v>10</v>
      </c>
      <c r="F345" s="875">
        <v>0.8</v>
      </c>
      <c r="G345" s="875">
        <v>0.8</v>
      </c>
    </row>
    <row r="346" spans="1:7" x14ac:dyDescent="0.25">
      <c r="A346" s="861">
        <v>3413</v>
      </c>
      <c r="B346" s="878" t="s">
        <v>663</v>
      </c>
      <c r="C346" s="866">
        <v>0</v>
      </c>
      <c r="D346" s="867">
        <f>IF(C346=0,0,C346/(C344+C345+C346))</f>
        <v>0</v>
      </c>
      <c r="E346">
        <v>11</v>
      </c>
      <c r="F346" s="875">
        <v>0</v>
      </c>
      <c r="G346" s="875">
        <v>0</v>
      </c>
    </row>
    <row r="347" spans="1:7" x14ac:dyDescent="0.25">
      <c r="A347" s="861">
        <v>3413</v>
      </c>
      <c r="B347" s="872" t="s">
        <v>664</v>
      </c>
      <c r="C347" s="868">
        <v>0</v>
      </c>
      <c r="D347" s="869">
        <f>IF(C347=0,0,C347/(C347+C348+C349))</f>
        <v>0</v>
      </c>
      <c r="E347">
        <v>12</v>
      </c>
      <c r="F347" s="875">
        <v>0</v>
      </c>
      <c r="G347" s="875">
        <v>0</v>
      </c>
    </row>
    <row r="348" spans="1:7" x14ac:dyDescent="0.25">
      <c r="A348" s="861">
        <v>3413</v>
      </c>
      <c r="B348" s="872" t="s">
        <v>665</v>
      </c>
      <c r="C348" s="868">
        <v>0</v>
      </c>
      <c r="D348" s="869">
        <f>IF(C348=0,0,C348/(C347+C348+C349))</f>
        <v>0</v>
      </c>
      <c r="E348">
        <v>13</v>
      </c>
      <c r="F348" s="875">
        <v>0</v>
      </c>
      <c r="G348" s="875">
        <v>0</v>
      </c>
    </row>
    <row r="349" spans="1:7" x14ac:dyDescent="0.25">
      <c r="A349" s="861">
        <v>3413</v>
      </c>
      <c r="B349" s="872" t="s">
        <v>666</v>
      </c>
      <c r="C349" s="868">
        <v>0</v>
      </c>
      <c r="D349" s="869">
        <f>IF(C349=0,0,C349/(C347+C348+C349))</f>
        <v>0</v>
      </c>
      <c r="E349">
        <v>14</v>
      </c>
      <c r="F349" s="875">
        <v>0</v>
      </c>
      <c r="G349" s="875">
        <v>0</v>
      </c>
    </row>
    <row r="350" spans="1:7" x14ac:dyDescent="0.25">
      <c r="A350" s="861">
        <v>3413</v>
      </c>
      <c r="B350" s="856"/>
      <c r="C350" s="880">
        <f>SUM(C341:C349)</f>
        <v>40</v>
      </c>
      <c r="D350" s="881">
        <v>1</v>
      </c>
      <c r="E350">
        <v>15</v>
      </c>
    </row>
    <row r="351" spans="1:7" x14ac:dyDescent="0.25">
      <c r="A351" s="861">
        <v>3421</v>
      </c>
      <c r="B351" s="862">
        <v>3421</v>
      </c>
      <c r="C351" s="863" t="s">
        <v>681</v>
      </c>
      <c r="D351" s="885"/>
      <c r="E351">
        <v>1</v>
      </c>
    </row>
    <row r="352" spans="1:7" x14ac:dyDescent="0.25">
      <c r="A352" s="861">
        <v>3421</v>
      </c>
      <c r="B352" s="856">
        <v>111</v>
      </c>
      <c r="C352" s="864">
        <v>0</v>
      </c>
      <c r="D352" s="865">
        <f>C352/C355</f>
        <v>0</v>
      </c>
      <c r="E352">
        <v>2</v>
      </c>
    </row>
    <row r="353" spans="1:7" x14ac:dyDescent="0.25">
      <c r="A353" s="861">
        <v>3421</v>
      </c>
      <c r="B353" s="856">
        <v>112</v>
      </c>
      <c r="C353" s="866">
        <v>1</v>
      </c>
      <c r="D353" s="867">
        <f>C353/C355</f>
        <v>2.0120724346076459E-2</v>
      </c>
      <c r="E353">
        <v>3</v>
      </c>
    </row>
    <row r="354" spans="1:7" x14ac:dyDescent="0.25">
      <c r="A354" s="861">
        <v>3421</v>
      </c>
      <c r="B354" s="856">
        <v>113</v>
      </c>
      <c r="C354" s="868">
        <v>48.7</v>
      </c>
      <c r="D354" s="869">
        <f>C354/C355</f>
        <v>0.97987927565392352</v>
      </c>
      <c r="E354">
        <v>4</v>
      </c>
    </row>
    <row r="355" spans="1:7" x14ac:dyDescent="0.25">
      <c r="A355" s="861">
        <v>3421</v>
      </c>
      <c r="B355" s="856"/>
      <c r="C355" s="870">
        <f>SUM(C352:C354)</f>
        <v>49.7</v>
      </c>
      <c r="D355" s="871"/>
      <c r="E355">
        <v>5</v>
      </c>
    </row>
    <row r="356" spans="1:7" x14ac:dyDescent="0.25">
      <c r="A356" s="861">
        <v>3421</v>
      </c>
      <c r="B356" s="872" t="s">
        <v>658</v>
      </c>
      <c r="C356" s="882">
        <v>0</v>
      </c>
      <c r="D356" s="874">
        <f>IF(C356=0,0,C356/(C356+C357+C358))</f>
        <v>0</v>
      </c>
      <c r="E356">
        <v>6</v>
      </c>
      <c r="F356" s="875">
        <v>0</v>
      </c>
      <c r="G356" s="875">
        <v>0</v>
      </c>
    </row>
    <row r="357" spans="1:7" x14ac:dyDescent="0.25">
      <c r="A357" s="861">
        <v>3421</v>
      </c>
      <c r="B357" s="872" t="s">
        <v>659</v>
      </c>
      <c r="C357" s="864">
        <v>0</v>
      </c>
      <c r="D357" s="865">
        <f>IF(C357=0,0,C357/(C356+C357+C358))</f>
        <v>0</v>
      </c>
      <c r="E357">
        <v>7</v>
      </c>
      <c r="F357" s="875">
        <v>0</v>
      </c>
      <c r="G357" s="875">
        <v>0</v>
      </c>
    </row>
    <row r="358" spans="1:7" x14ac:dyDescent="0.25">
      <c r="A358" s="861">
        <v>3421</v>
      </c>
      <c r="B358" s="872" t="s">
        <v>660</v>
      </c>
      <c r="C358" s="864">
        <v>0</v>
      </c>
      <c r="D358" s="865">
        <f>IF(C358=0,0,C358/(C356+C357+C358))</f>
        <v>0</v>
      </c>
      <c r="E358">
        <v>8</v>
      </c>
      <c r="F358" s="875">
        <v>0</v>
      </c>
      <c r="G358" s="875">
        <v>0</v>
      </c>
    </row>
    <row r="359" spans="1:7" x14ac:dyDescent="0.25">
      <c r="A359" s="861">
        <v>3421</v>
      </c>
      <c r="B359" s="872" t="s">
        <v>661</v>
      </c>
      <c r="C359" s="866">
        <v>1</v>
      </c>
      <c r="D359" s="867">
        <f>IF(C359=0,0,C359/(C359+C360+C361))</f>
        <v>1</v>
      </c>
      <c r="E359">
        <v>9</v>
      </c>
      <c r="F359" s="875">
        <v>1</v>
      </c>
      <c r="G359" s="875">
        <v>1.45</v>
      </c>
    </row>
    <row r="360" spans="1:7" x14ac:dyDescent="0.25">
      <c r="A360" s="861">
        <v>3421</v>
      </c>
      <c r="B360" s="872" t="s">
        <v>662</v>
      </c>
      <c r="C360" s="866">
        <v>0</v>
      </c>
      <c r="D360" s="867">
        <f>IF(C360=0,0,C360/(C359+C360+C361))</f>
        <v>0</v>
      </c>
      <c r="E360">
        <v>10</v>
      </c>
      <c r="F360" s="875">
        <v>0</v>
      </c>
      <c r="G360" s="875">
        <v>0</v>
      </c>
    </row>
    <row r="361" spans="1:7" x14ac:dyDescent="0.25">
      <c r="A361" s="861">
        <v>3421</v>
      </c>
      <c r="B361" s="872" t="s">
        <v>663</v>
      </c>
      <c r="C361" s="866">
        <v>0</v>
      </c>
      <c r="D361" s="867">
        <f>IF(C361=0,0,C361/(C359+C360+C361))</f>
        <v>0</v>
      </c>
      <c r="E361">
        <v>11</v>
      </c>
      <c r="F361" s="875">
        <v>0</v>
      </c>
      <c r="G361" s="875">
        <v>0</v>
      </c>
    </row>
    <row r="362" spans="1:7" x14ac:dyDescent="0.25">
      <c r="A362" s="861">
        <v>3421</v>
      </c>
      <c r="B362" s="872" t="s">
        <v>664</v>
      </c>
      <c r="C362" s="868">
        <v>44.9</v>
      </c>
      <c r="D362" s="869">
        <f>IF(C362=0,0,C362/(C362+C363+C364))</f>
        <v>0.92197125256673518</v>
      </c>
      <c r="E362">
        <v>12</v>
      </c>
      <c r="F362" s="875">
        <v>44.96</v>
      </c>
      <c r="G362" s="875">
        <v>54.07</v>
      </c>
    </row>
    <row r="363" spans="1:7" x14ac:dyDescent="0.25">
      <c r="A363" s="861">
        <v>3421</v>
      </c>
      <c r="B363" s="872" t="s">
        <v>665</v>
      </c>
      <c r="C363" s="868">
        <v>3.8</v>
      </c>
      <c r="D363" s="869">
        <f>IF(C363=0,0,C363/(C362+C363+C364))</f>
        <v>7.8028747433264892E-2</v>
      </c>
      <c r="E363">
        <v>13</v>
      </c>
      <c r="F363" s="875">
        <v>3.8</v>
      </c>
      <c r="G363" s="875">
        <v>4.58</v>
      </c>
    </row>
    <row r="364" spans="1:7" x14ac:dyDescent="0.25">
      <c r="A364" s="861">
        <v>3421</v>
      </c>
      <c r="B364" s="872" t="s">
        <v>666</v>
      </c>
      <c r="C364" s="868">
        <v>0</v>
      </c>
      <c r="D364" s="869">
        <f>IF(C364=0,0,C364/(C362+C363+C364))</f>
        <v>0</v>
      </c>
      <c r="E364">
        <v>14</v>
      </c>
      <c r="F364" s="875">
        <v>0</v>
      </c>
      <c r="G364" s="875">
        <v>0</v>
      </c>
    </row>
    <row r="365" spans="1:7" x14ac:dyDescent="0.25">
      <c r="A365" s="861">
        <v>3421</v>
      </c>
      <c r="B365" s="856"/>
      <c r="C365" s="880">
        <f>SUM(C356:C364)</f>
        <v>49.699999999999996</v>
      </c>
      <c r="D365" s="881">
        <v>1</v>
      </c>
      <c r="E365">
        <v>15</v>
      </c>
    </row>
    <row r="366" spans="1:7" x14ac:dyDescent="0.25">
      <c r="A366" s="861">
        <v>3431</v>
      </c>
      <c r="B366" s="862">
        <v>3431</v>
      </c>
      <c r="C366" s="863" t="s">
        <v>682</v>
      </c>
      <c r="D366" s="884"/>
      <c r="E366">
        <v>1</v>
      </c>
    </row>
    <row r="367" spans="1:7" x14ac:dyDescent="0.25">
      <c r="A367" s="861">
        <v>3431</v>
      </c>
      <c r="B367" s="856">
        <v>111</v>
      </c>
      <c r="C367" s="864">
        <v>41.5</v>
      </c>
      <c r="D367" s="865">
        <f>C367/C370</f>
        <v>0.61029411764705888</v>
      </c>
      <c r="E367">
        <v>2</v>
      </c>
    </row>
    <row r="368" spans="1:7" x14ac:dyDescent="0.25">
      <c r="A368" s="861">
        <v>3431</v>
      </c>
      <c r="B368" s="856">
        <v>112</v>
      </c>
      <c r="C368" s="866">
        <v>26.5</v>
      </c>
      <c r="D368" s="867">
        <f>C368/C370</f>
        <v>0.38970588235294118</v>
      </c>
      <c r="E368">
        <v>3</v>
      </c>
    </row>
    <row r="369" spans="1:7" x14ac:dyDescent="0.25">
      <c r="A369" s="861">
        <v>3431</v>
      </c>
      <c r="B369" s="856">
        <v>113</v>
      </c>
      <c r="C369" s="868">
        <v>0</v>
      </c>
      <c r="D369" s="869">
        <f>C369/C370</f>
        <v>0</v>
      </c>
      <c r="E369">
        <v>4</v>
      </c>
    </row>
    <row r="370" spans="1:7" x14ac:dyDescent="0.25">
      <c r="A370" s="861">
        <v>3431</v>
      </c>
      <c r="B370" s="856"/>
      <c r="C370" s="870">
        <f>SUM(C367:C369)</f>
        <v>68</v>
      </c>
      <c r="D370" s="871"/>
      <c r="E370">
        <v>5</v>
      </c>
    </row>
    <row r="371" spans="1:7" x14ac:dyDescent="0.25">
      <c r="A371" s="861">
        <v>3431</v>
      </c>
      <c r="B371" s="872" t="s">
        <v>658</v>
      </c>
      <c r="C371" s="882">
        <v>37</v>
      </c>
      <c r="D371" s="874">
        <f>IF(C371=0,0,C371/(C371+C372+C373))</f>
        <v>0.89156626506024095</v>
      </c>
      <c r="E371">
        <v>6</v>
      </c>
      <c r="F371" s="875">
        <v>23.63</v>
      </c>
      <c r="G371" s="875">
        <v>28.53</v>
      </c>
    </row>
    <row r="372" spans="1:7" x14ac:dyDescent="0.25">
      <c r="A372" s="861">
        <v>3431</v>
      </c>
      <c r="B372" s="878" t="s">
        <v>659</v>
      </c>
      <c r="C372" s="864">
        <v>4.5</v>
      </c>
      <c r="D372" s="865">
        <f>IF(C372=0,0,C372/(C371+C372+C373))</f>
        <v>0.10843373493975904</v>
      </c>
      <c r="E372">
        <v>7</v>
      </c>
      <c r="F372" s="875">
        <v>2.87</v>
      </c>
      <c r="G372" s="875">
        <v>3.47</v>
      </c>
    </row>
    <row r="373" spans="1:7" x14ac:dyDescent="0.25">
      <c r="A373" s="861">
        <v>3431</v>
      </c>
      <c r="B373" s="878" t="s">
        <v>660</v>
      </c>
      <c r="C373" s="864">
        <v>0</v>
      </c>
      <c r="D373" s="865">
        <f>IF(C373=0,0,C373/(C371+C372+C373))</f>
        <v>0</v>
      </c>
      <c r="E373">
        <v>8</v>
      </c>
      <c r="F373" s="875">
        <v>0</v>
      </c>
      <c r="G373" s="875">
        <v>0</v>
      </c>
    </row>
    <row r="374" spans="1:7" x14ac:dyDescent="0.25">
      <c r="A374" s="861">
        <v>3431</v>
      </c>
      <c r="B374" s="872" t="s">
        <v>661</v>
      </c>
      <c r="C374" s="866">
        <v>22.5</v>
      </c>
      <c r="D374" s="867">
        <f>IF(C374=0,0,C374/(C374+C375+C376))</f>
        <v>0.84905660377358494</v>
      </c>
      <c r="E374">
        <v>9</v>
      </c>
      <c r="F374" s="875">
        <v>36.08</v>
      </c>
      <c r="G374" s="875">
        <v>36.07</v>
      </c>
    </row>
    <row r="375" spans="1:7" x14ac:dyDescent="0.25">
      <c r="A375" s="861">
        <v>3431</v>
      </c>
      <c r="B375" s="878" t="s">
        <v>662</v>
      </c>
      <c r="C375" s="866">
        <v>4</v>
      </c>
      <c r="D375" s="867">
        <f>IF(C375=0,0,C375/(C374+C375+C376))</f>
        <v>0.15094339622641509</v>
      </c>
      <c r="E375">
        <v>10</v>
      </c>
      <c r="F375" s="875">
        <v>6.42</v>
      </c>
      <c r="G375" s="875">
        <v>6.41</v>
      </c>
    </row>
    <row r="376" spans="1:7" x14ac:dyDescent="0.25">
      <c r="A376" s="861">
        <v>3431</v>
      </c>
      <c r="B376" s="878" t="s">
        <v>663</v>
      </c>
      <c r="C376" s="866">
        <v>0</v>
      </c>
      <c r="D376" s="867">
        <f>IF(C376=0,0,C376/(C374+C375+C376))</f>
        <v>0</v>
      </c>
      <c r="E376">
        <v>11</v>
      </c>
      <c r="F376" s="875">
        <v>0</v>
      </c>
      <c r="G376" s="875">
        <v>0</v>
      </c>
    </row>
    <row r="377" spans="1:7" x14ac:dyDescent="0.25">
      <c r="A377" s="861">
        <v>3431</v>
      </c>
      <c r="B377" s="872" t="s">
        <v>664</v>
      </c>
      <c r="C377" s="868">
        <v>0</v>
      </c>
      <c r="D377" s="869">
        <f>IF(C377=0,0,C377/(C377+C378+C379))</f>
        <v>0</v>
      </c>
      <c r="E377">
        <v>12</v>
      </c>
      <c r="F377" s="875">
        <v>0</v>
      </c>
      <c r="G377" s="875">
        <v>0</v>
      </c>
    </row>
    <row r="378" spans="1:7" x14ac:dyDescent="0.25">
      <c r="A378" s="861">
        <v>3431</v>
      </c>
      <c r="B378" s="872" t="s">
        <v>665</v>
      </c>
      <c r="C378" s="868">
        <v>0</v>
      </c>
      <c r="D378" s="869">
        <f>IF(C378=0,0,C378/(C377+C378+C379))</f>
        <v>0</v>
      </c>
      <c r="E378">
        <v>13</v>
      </c>
      <c r="F378" s="875">
        <v>0</v>
      </c>
      <c r="G378" s="875">
        <v>0</v>
      </c>
    </row>
    <row r="379" spans="1:7" x14ac:dyDescent="0.25">
      <c r="A379" s="861">
        <v>3431</v>
      </c>
      <c r="B379" s="872" t="s">
        <v>666</v>
      </c>
      <c r="C379" s="868">
        <v>0</v>
      </c>
      <c r="D379" s="869">
        <f>IF(C379=0,0,C379/(C377+C378+C379))</f>
        <v>0</v>
      </c>
      <c r="E379">
        <v>14</v>
      </c>
      <c r="F379" s="875">
        <v>0</v>
      </c>
      <c r="G379" s="875">
        <v>0</v>
      </c>
    </row>
    <row r="380" spans="1:7" x14ac:dyDescent="0.25">
      <c r="A380" s="861">
        <v>3431</v>
      </c>
      <c r="B380" s="856"/>
      <c r="C380" s="880">
        <f>SUM(C371:C379)</f>
        <v>68</v>
      </c>
      <c r="D380" s="881">
        <v>1</v>
      </c>
      <c r="E380">
        <v>15</v>
      </c>
    </row>
    <row r="381" spans="1:7" x14ac:dyDescent="0.25">
      <c r="A381" s="861">
        <v>3441</v>
      </c>
      <c r="B381" s="862">
        <v>3441</v>
      </c>
      <c r="C381" s="863" t="s">
        <v>683</v>
      </c>
      <c r="D381" s="885"/>
      <c r="E381">
        <v>1</v>
      </c>
    </row>
    <row r="382" spans="1:7" x14ac:dyDescent="0.25">
      <c r="A382" s="861">
        <v>3441</v>
      </c>
      <c r="B382" s="856">
        <v>111</v>
      </c>
      <c r="C382" s="864">
        <v>0</v>
      </c>
      <c r="D382" s="865">
        <f>C382/C385</f>
        <v>0</v>
      </c>
      <c r="E382">
        <v>2</v>
      </c>
    </row>
    <row r="383" spans="1:7" x14ac:dyDescent="0.25">
      <c r="A383" s="861">
        <v>3441</v>
      </c>
      <c r="B383" s="856">
        <v>112</v>
      </c>
      <c r="C383" s="866">
        <v>35.5</v>
      </c>
      <c r="D383" s="867">
        <f>C383/C385</f>
        <v>1</v>
      </c>
      <c r="E383">
        <v>3</v>
      </c>
    </row>
    <row r="384" spans="1:7" x14ac:dyDescent="0.25">
      <c r="A384" s="861">
        <v>3441</v>
      </c>
      <c r="B384" s="856">
        <v>113</v>
      </c>
      <c r="C384" s="868">
        <v>0</v>
      </c>
      <c r="D384" s="869">
        <f>C384/C385</f>
        <v>0</v>
      </c>
      <c r="E384">
        <v>4</v>
      </c>
    </row>
    <row r="385" spans="1:7" x14ac:dyDescent="0.25">
      <c r="A385" s="861">
        <v>3441</v>
      </c>
      <c r="B385" s="856"/>
      <c r="C385" s="870">
        <f>SUM(C382:C384)</f>
        <v>35.5</v>
      </c>
      <c r="D385" s="871"/>
      <c r="E385">
        <v>5</v>
      </c>
    </row>
    <row r="386" spans="1:7" x14ac:dyDescent="0.25">
      <c r="A386" s="861">
        <v>3441</v>
      </c>
      <c r="B386" s="872" t="s">
        <v>658</v>
      </c>
      <c r="C386" s="882">
        <v>0</v>
      </c>
      <c r="D386" s="874">
        <f>IF(C386=0,0,C386/(C386+C387+C388))</f>
        <v>0</v>
      </c>
      <c r="E386">
        <v>6</v>
      </c>
      <c r="F386" s="875">
        <v>0</v>
      </c>
      <c r="G386" s="875">
        <v>0</v>
      </c>
    </row>
    <row r="387" spans="1:7" x14ac:dyDescent="0.25">
      <c r="A387" s="861">
        <v>3441</v>
      </c>
      <c r="B387" s="872" t="s">
        <v>659</v>
      </c>
      <c r="C387" s="864">
        <v>0</v>
      </c>
      <c r="D387" s="865">
        <f>IF(C387=0,0,C387/(C386+C387+C388))</f>
        <v>0</v>
      </c>
      <c r="E387">
        <v>7</v>
      </c>
      <c r="F387" s="875">
        <v>0</v>
      </c>
      <c r="G387" s="875">
        <v>0</v>
      </c>
    </row>
    <row r="388" spans="1:7" x14ac:dyDescent="0.25">
      <c r="A388" s="861">
        <v>3441</v>
      </c>
      <c r="B388" s="872" t="s">
        <v>660</v>
      </c>
      <c r="C388" s="864">
        <v>0</v>
      </c>
      <c r="D388" s="865">
        <f>IF(C388=0,0,C388/(C386+C387+C388))</f>
        <v>0</v>
      </c>
      <c r="E388">
        <v>8</v>
      </c>
      <c r="F388" s="875">
        <v>0</v>
      </c>
      <c r="G388" s="875">
        <v>0</v>
      </c>
    </row>
    <row r="389" spans="1:7" x14ac:dyDescent="0.25">
      <c r="A389" s="861">
        <v>3441</v>
      </c>
      <c r="B389" s="872" t="s">
        <v>661</v>
      </c>
      <c r="C389" s="866">
        <v>34</v>
      </c>
      <c r="D389" s="867">
        <f>IF(C389=0,0,C389/(C389+C390+C391))</f>
        <v>0.95774647887323938</v>
      </c>
      <c r="E389">
        <v>9</v>
      </c>
      <c r="F389" s="875">
        <v>34.479999999999997</v>
      </c>
      <c r="G389" s="875">
        <v>33.520000000000003</v>
      </c>
    </row>
    <row r="390" spans="1:7" x14ac:dyDescent="0.25">
      <c r="A390" s="861">
        <v>3441</v>
      </c>
      <c r="B390" s="872" t="s">
        <v>662</v>
      </c>
      <c r="C390" s="866">
        <v>1.5</v>
      </c>
      <c r="D390" s="867">
        <f>IF(C390=0,0,C390/(C389+C390+C391))</f>
        <v>4.2253521126760563E-2</v>
      </c>
      <c r="E390">
        <v>10</v>
      </c>
      <c r="F390" s="875">
        <v>1.52</v>
      </c>
      <c r="G390" s="875">
        <v>1.48</v>
      </c>
    </row>
    <row r="391" spans="1:7" x14ac:dyDescent="0.25">
      <c r="A391" s="861">
        <v>3441</v>
      </c>
      <c r="B391" s="872" t="s">
        <v>663</v>
      </c>
      <c r="C391" s="866">
        <v>0</v>
      </c>
      <c r="D391" s="867">
        <f>IF(C391=0,0,C391/(C389+C390+C391))</f>
        <v>0</v>
      </c>
      <c r="E391">
        <v>11</v>
      </c>
      <c r="F391" s="875">
        <v>0</v>
      </c>
      <c r="G391" s="875">
        <v>0</v>
      </c>
    </row>
    <row r="392" spans="1:7" x14ac:dyDescent="0.25">
      <c r="A392" s="861">
        <v>3441</v>
      </c>
      <c r="B392" s="872" t="s">
        <v>664</v>
      </c>
      <c r="C392" s="868">
        <v>0</v>
      </c>
      <c r="D392" s="869">
        <f>IF(C392=0,0,C392/(C392+C393+C394))</f>
        <v>0</v>
      </c>
      <c r="E392">
        <v>12</v>
      </c>
      <c r="F392" s="875">
        <v>0</v>
      </c>
      <c r="G392" s="875">
        <v>0</v>
      </c>
    </row>
    <row r="393" spans="1:7" x14ac:dyDescent="0.25">
      <c r="A393" s="861">
        <v>3441</v>
      </c>
      <c r="B393" s="872" t="s">
        <v>665</v>
      </c>
      <c r="C393" s="868">
        <v>0</v>
      </c>
      <c r="D393" s="869">
        <f>IF(C393=0,0,C393/(C392+C393+C394))</f>
        <v>0</v>
      </c>
      <c r="E393">
        <v>13</v>
      </c>
      <c r="F393" s="875">
        <v>0</v>
      </c>
      <c r="G393" s="875">
        <v>0</v>
      </c>
    </row>
    <row r="394" spans="1:7" x14ac:dyDescent="0.25">
      <c r="A394" s="861">
        <v>3441</v>
      </c>
      <c r="B394" s="872" t="s">
        <v>666</v>
      </c>
      <c r="C394" s="868">
        <v>0</v>
      </c>
      <c r="D394" s="869">
        <f>IF(C394=0,0,C394/(C392+C393+C394))</f>
        <v>0</v>
      </c>
      <c r="E394">
        <v>14</v>
      </c>
      <c r="F394" s="875">
        <v>0</v>
      </c>
      <c r="G394" s="875">
        <v>0</v>
      </c>
    </row>
    <row r="395" spans="1:7" x14ac:dyDescent="0.25">
      <c r="A395" s="861">
        <v>3441</v>
      </c>
      <c r="B395" s="856"/>
      <c r="C395" s="880">
        <f>SUM(C386:C394)</f>
        <v>35.5</v>
      </c>
      <c r="D395" s="881">
        <v>1</v>
      </c>
      <c r="E395">
        <v>15</v>
      </c>
    </row>
    <row r="396" spans="1:7" x14ac:dyDescent="0.25">
      <c r="A396" s="861">
        <v>3924</v>
      </c>
      <c r="B396" s="862">
        <v>3924</v>
      </c>
      <c r="C396" s="883" t="s">
        <v>318</v>
      </c>
      <c r="D396" s="884"/>
      <c r="E396">
        <v>1</v>
      </c>
    </row>
    <row r="397" spans="1:7" x14ac:dyDescent="0.25">
      <c r="A397" s="861">
        <v>3924</v>
      </c>
      <c r="B397" s="856">
        <v>111</v>
      </c>
      <c r="C397" s="864">
        <v>0</v>
      </c>
      <c r="D397" s="865">
        <f>C397/C400</f>
        <v>0</v>
      </c>
      <c r="E397">
        <v>2</v>
      </c>
    </row>
    <row r="398" spans="1:7" x14ac:dyDescent="0.25">
      <c r="A398" s="861">
        <v>3924</v>
      </c>
      <c r="B398" s="856">
        <v>112</v>
      </c>
      <c r="C398" s="866">
        <v>26.5</v>
      </c>
      <c r="D398" s="867">
        <f>C398/C400</f>
        <v>0.70666666666666667</v>
      </c>
      <c r="E398">
        <v>3</v>
      </c>
    </row>
    <row r="399" spans="1:7" x14ac:dyDescent="0.25">
      <c r="A399" s="861">
        <v>3924</v>
      </c>
      <c r="B399" s="856">
        <v>113</v>
      </c>
      <c r="C399" s="868">
        <v>11</v>
      </c>
      <c r="D399" s="869">
        <f>C399/C400</f>
        <v>0.29333333333333333</v>
      </c>
      <c r="E399">
        <v>4</v>
      </c>
    </row>
    <row r="400" spans="1:7" x14ac:dyDescent="0.25">
      <c r="A400" s="861">
        <v>3924</v>
      </c>
      <c r="B400" s="856"/>
      <c r="C400" s="870">
        <f>SUM(C397:C399)</f>
        <v>37.5</v>
      </c>
      <c r="D400" s="871"/>
      <c r="E400">
        <v>5</v>
      </c>
    </row>
    <row r="401" spans="1:7" x14ac:dyDescent="0.25">
      <c r="A401" s="861">
        <v>3924</v>
      </c>
      <c r="B401" s="872" t="s">
        <v>658</v>
      </c>
      <c r="C401" s="882">
        <v>0</v>
      </c>
      <c r="D401" s="874">
        <f>IF(C401=0,0,C401/(C401+C402+C403))</f>
        <v>0</v>
      </c>
      <c r="E401">
        <v>6</v>
      </c>
      <c r="F401" s="875">
        <v>0</v>
      </c>
      <c r="G401" s="875">
        <v>0</v>
      </c>
    </row>
    <row r="402" spans="1:7" x14ac:dyDescent="0.25">
      <c r="A402" s="861">
        <v>3924</v>
      </c>
      <c r="B402" s="872" t="s">
        <v>659</v>
      </c>
      <c r="C402" s="864">
        <v>0</v>
      </c>
      <c r="D402" s="865">
        <f>IF(C402=0,0,C402/(C401+C402+C403))</f>
        <v>0</v>
      </c>
      <c r="E402">
        <v>7</v>
      </c>
      <c r="F402" s="875">
        <v>0</v>
      </c>
      <c r="G402" s="875">
        <v>0</v>
      </c>
    </row>
    <row r="403" spans="1:7" x14ac:dyDescent="0.25">
      <c r="A403" s="861">
        <v>3924</v>
      </c>
      <c r="B403" s="872" t="s">
        <v>660</v>
      </c>
      <c r="C403" s="864">
        <v>0</v>
      </c>
      <c r="D403" s="865">
        <f>IF(C403=0,0,C403/(C401+C402+C403))</f>
        <v>0</v>
      </c>
      <c r="E403">
        <v>8</v>
      </c>
      <c r="F403" s="875">
        <v>0</v>
      </c>
      <c r="G403" s="875">
        <v>0</v>
      </c>
    </row>
    <row r="404" spans="1:7" x14ac:dyDescent="0.25">
      <c r="A404" s="861">
        <v>3924</v>
      </c>
      <c r="B404" s="872" t="s">
        <v>661</v>
      </c>
      <c r="C404" s="866">
        <v>24.5</v>
      </c>
      <c r="D404" s="867">
        <f>IF(C404=0,0,C404/(C404+C405+C406))</f>
        <v>0.92452830188679247</v>
      </c>
      <c r="E404">
        <v>9</v>
      </c>
      <c r="F404" s="875">
        <v>25.42</v>
      </c>
      <c r="G404" s="875">
        <v>24.04</v>
      </c>
    </row>
    <row r="405" spans="1:7" x14ac:dyDescent="0.25">
      <c r="A405" s="861">
        <v>3924</v>
      </c>
      <c r="B405" s="878" t="s">
        <v>662</v>
      </c>
      <c r="C405" s="866">
        <v>2</v>
      </c>
      <c r="D405" s="867">
        <f>IF(C405=0,0,C405/(C404+C405+C406))</f>
        <v>7.5471698113207544E-2</v>
      </c>
      <c r="E405">
        <v>10</v>
      </c>
      <c r="F405" s="875">
        <v>2.08</v>
      </c>
      <c r="G405" s="875">
        <v>1.96</v>
      </c>
    </row>
    <row r="406" spans="1:7" x14ac:dyDescent="0.25">
      <c r="A406" s="861">
        <v>3924</v>
      </c>
      <c r="B406" s="878" t="s">
        <v>663</v>
      </c>
      <c r="C406" s="866"/>
      <c r="D406" s="867">
        <f>IF(C406=0,0,C406/(C404+C405+C406))</f>
        <v>0</v>
      </c>
      <c r="E406">
        <v>11</v>
      </c>
      <c r="F406" s="875">
        <v>0</v>
      </c>
      <c r="G406" s="875">
        <v>0</v>
      </c>
    </row>
    <row r="407" spans="1:7" x14ac:dyDescent="0.25">
      <c r="A407" s="861">
        <v>3924</v>
      </c>
      <c r="B407" s="872" t="s">
        <v>664</v>
      </c>
      <c r="C407" s="868">
        <v>10.5</v>
      </c>
      <c r="D407" s="869">
        <f>IF(C407=0,0,C407/(C407+C408+C409))</f>
        <v>0.95454545454545459</v>
      </c>
      <c r="E407">
        <v>12</v>
      </c>
      <c r="F407" s="875">
        <v>10.98</v>
      </c>
      <c r="G407" s="875">
        <v>10.47</v>
      </c>
    </row>
    <row r="408" spans="1:7" x14ac:dyDescent="0.25">
      <c r="A408" s="861">
        <v>3924</v>
      </c>
      <c r="B408" s="878" t="s">
        <v>665</v>
      </c>
      <c r="C408" s="868">
        <v>0.5</v>
      </c>
      <c r="D408" s="869">
        <f>IF(C408=0,0,C408/(C407+C408+C409))</f>
        <v>4.5454545454545456E-2</v>
      </c>
      <c r="E408">
        <v>13</v>
      </c>
      <c r="F408" s="875">
        <v>0.52</v>
      </c>
      <c r="G408" s="875">
        <v>0.5</v>
      </c>
    </row>
    <row r="409" spans="1:7" x14ac:dyDescent="0.25">
      <c r="A409" s="861">
        <v>3924</v>
      </c>
      <c r="B409" s="878" t="s">
        <v>666</v>
      </c>
      <c r="C409" s="868"/>
      <c r="D409" s="869">
        <f>IF(C409=0,0,C409/(C407+C408+C409))</f>
        <v>0</v>
      </c>
      <c r="E409">
        <v>14</v>
      </c>
      <c r="F409" s="875">
        <v>0</v>
      </c>
      <c r="G409" s="875">
        <v>0</v>
      </c>
    </row>
    <row r="410" spans="1:7" x14ac:dyDescent="0.25">
      <c r="A410" s="861">
        <v>3924</v>
      </c>
      <c r="B410" s="856"/>
      <c r="C410" s="880">
        <f>SUM(C401:C409)</f>
        <v>37.5</v>
      </c>
      <c r="D410" s="881">
        <v>1</v>
      </c>
      <c r="E410">
        <v>15</v>
      </c>
    </row>
    <row r="411" spans="1:7" x14ac:dyDescent="0.25">
      <c r="A411" s="861">
        <v>3941</v>
      </c>
      <c r="B411" s="862">
        <v>3941</v>
      </c>
      <c r="C411" s="883" t="s">
        <v>684</v>
      </c>
      <c r="D411" s="857"/>
      <c r="E411">
        <v>1</v>
      </c>
    </row>
    <row r="412" spans="1:7" x14ac:dyDescent="0.25">
      <c r="A412" s="861">
        <v>3941</v>
      </c>
      <c r="B412" s="856">
        <v>111</v>
      </c>
      <c r="C412" s="864">
        <v>10.5</v>
      </c>
      <c r="D412" s="865">
        <f>C412/C415</f>
        <v>0.63636363636363635</v>
      </c>
      <c r="E412">
        <v>2</v>
      </c>
    </row>
    <row r="413" spans="1:7" x14ac:dyDescent="0.25">
      <c r="A413" s="861">
        <v>3941</v>
      </c>
      <c r="B413" s="856">
        <v>112</v>
      </c>
      <c r="C413" s="866">
        <v>6</v>
      </c>
      <c r="D413" s="867">
        <f>C413/C415</f>
        <v>0.36363636363636365</v>
      </c>
      <c r="E413">
        <v>3</v>
      </c>
    </row>
    <row r="414" spans="1:7" x14ac:dyDescent="0.25">
      <c r="A414" s="861">
        <v>3941</v>
      </c>
      <c r="B414" s="856">
        <v>113</v>
      </c>
      <c r="C414" s="868">
        <v>0</v>
      </c>
      <c r="D414" s="869">
        <f>C414/C415</f>
        <v>0</v>
      </c>
      <c r="E414">
        <v>4</v>
      </c>
    </row>
    <row r="415" spans="1:7" x14ac:dyDescent="0.25">
      <c r="A415" s="861">
        <v>3941</v>
      </c>
      <c r="B415" s="856"/>
      <c r="C415" s="870">
        <f>SUM(C412:C414)</f>
        <v>16.5</v>
      </c>
      <c r="D415" s="871"/>
      <c r="E415">
        <v>5</v>
      </c>
    </row>
    <row r="416" spans="1:7" x14ac:dyDescent="0.25">
      <c r="A416" s="861">
        <v>3941</v>
      </c>
      <c r="B416" s="872" t="s">
        <v>658</v>
      </c>
      <c r="C416" s="882">
        <v>8</v>
      </c>
      <c r="D416" s="874">
        <f>IF(C416=0,0,C416/(C416+C417+C418))</f>
        <v>0.76190476190476186</v>
      </c>
      <c r="E416">
        <v>6</v>
      </c>
      <c r="F416" s="875">
        <v>8</v>
      </c>
      <c r="G416" s="875">
        <v>8.39</v>
      </c>
    </row>
    <row r="417" spans="1:7" x14ac:dyDescent="0.25">
      <c r="A417" s="861">
        <v>3941</v>
      </c>
      <c r="B417" s="872" t="s">
        <v>659</v>
      </c>
      <c r="C417" s="864">
        <v>2.5</v>
      </c>
      <c r="D417" s="865">
        <f>IF(C417=0,0,C417/(C416+C417+C418))</f>
        <v>0.23809523809523808</v>
      </c>
      <c r="E417">
        <v>7</v>
      </c>
      <c r="F417" s="875">
        <v>2.5</v>
      </c>
      <c r="G417" s="875">
        <v>2.62</v>
      </c>
    </row>
    <row r="418" spans="1:7" x14ac:dyDescent="0.25">
      <c r="A418" s="861">
        <v>3941</v>
      </c>
      <c r="B418" s="872" t="s">
        <v>660</v>
      </c>
      <c r="C418" s="864">
        <v>0</v>
      </c>
      <c r="D418" s="865">
        <f>IF(C418=0,0,C418/(C416+C417+C418))</f>
        <v>0</v>
      </c>
      <c r="E418">
        <v>8</v>
      </c>
      <c r="F418" s="875">
        <v>0</v>
      </c>
      <c r="G418" s="875">
        <v>0</v>
      </c>
    </row>
    <row r="419" spans="1:7" x14ac:dyDescent="0.25">
      <c r="A419" s="861">
        <v>3941</v>
      </c>
      <c r="B419" s="872" t="s">
        <v>661</v>
      </c>
      <c r="C419" s="866">
        <v>4.5</v>
      </c>
      <c r="D419" s="867">
        <f>IF(C419=0,0,C419/(C419+C420+C421))</f>
        <v>0.75</v>
      </c>
      <c r="E419">
        <v>9</v>
      </c>
      <c r="F419" s="875">
        <v>4.5</v>
      </c>
      <c r="G419" s="875">
        <v>4.1399999999999997</v>
      </c>
    </row>
    <row r="420" spans="1:7" x14ac:dyDescent="0.25">
      <c r="A420" s="861">
        <v>3941</v>
      </c>
      <c r="B420" s="872" t="s">
        <v>662</v>
      </c>
      <c r="C420" s="866">
        <v>1.5</v>
      </c>
      <c r="D420" s="867">
        <f>IF(C420=0,0,C420/(C419+C420+C421))</f>
        <v>0.25</v>
      </c>
      <c r="E420">
        <v>10</v>
      </c>
      <c r="F420" s="875">
        <v>1.5</v>
      </c>
      <c r="G420" s="875">
        <v>1.38</v>
      </c>
    </row>
    <row r="421" spans="1:7" x14ac:dyDescent="0.25">
      <c r="A421" s="861">
        <v>3941</v>
      </c>
      <c r="B421" s="872" t="s">
        <v>663</v>
      </c>
      <c r="C421" s="866">
        <v>0</v>
      </c>
      <c r="D421" s="867">
        <f>IF(C421=0,0,C421/(C419+C420+C421))</f>
        <v>0</v>
      </c>
      <c r="E421">
        <v>11</v>
      </c>
      <c r="F421" s="875">
        <v>0</v>
      </c>
      <c r="G421" s="875">
        <v>0</v>
      </c>
    </row>
    <row r="422" spans="1:7" x14ac:dyDescent="0.25">
      <c r="A422" s="861">
        <v>3941</v>
      </c>
      <c r="B422" s="872" t="s">
        <v>664</v>
      </c>
      <c r="C422" s="868">
        <v>0</v>
      </c>
      <c r="D422" s="869">
        <f>IF(C422=0,0,C422/(C422+C423+C424))</f>
        <v>0</v>
      </c>
      <c r="E422">
        <v>12</v>
      </c>
      <c r="F422" s="875">
        <v>0</v>
      </c>
      <c r="G422" s="875">
        <v>0</v>
      </c>
    </row>
    <row r="423" spans="1:7" x14ac:dyDescent="0.25">
      <c r="A423" s="861">
        <v>3941</v>
      </c>
      <c r="B423" s="872" t="s">
        <v>665</v>
      </c>
      <c r="C423" s="868">
        <v>0</v>
      </c>
      <c r="D423" s="869">
        <f>IF(C423=0,0,C423/(C422+C423+C424))</f>
        <v>0</v>
      </c>
      <c r="E423">
        <v>13</v>
      </c>
      <c r="F423" s="875">
        <v>0</v>
      </c>
      <c r="G423" s="875">
        <v>0</v>
      </c>
    </row>
    <row r="424" spans="1:7" x14ac:dyDescent="0.25">
      <c r="A424" s="861">
        <v>3941</v>
      </c>
      <c r="B424" s="872" t="s">
        <v>666</v>
      </c>
      <c r="C424" s="868">
        <v>0</v>
      </c>
      <c r="D424" s="869">
        <f>IF(C424=0,0,C424/(C422+C423+C424))</f>
        <v>0</v>
      </c>
      <c r="E424">
        <v>14</v>
      </c>
      <c r="F424" s="875">
        <v>0</v>
      </c>
      <c r="G424" s="875">
        <v>0</v>
      </c>
    </row>
    <row r="425" spans="1:7" x14ac:dyDescent="0.25">
      <c r="A425" s="861">
        <v>3941</v>
      </c>
      <c r="B425" s="856"/>
      <c r="C425" s="880">
        <f>SUM(C416:C424)</f>
        <v>16.5</v>
      </c>
      <c r="D425" s="881">
        <v>1</v>
      </c>
      <c r="E425">
        <v>15</v>
      </c>
    </row>
    <row r="426" spans="1:7" x14ac:dyDescent="0.25">
      <c r="A426" s="861">
        <v>3971</v>
      </c>
      <c r="B426" s="862">
        <v>3971</v>
      </c>
      <c r="C426" s="883" t="s">
        <v>685</v>
      </c>
      <c r="D426" s="857"/>
      <c r="E426">
        <v>1</v>
      </c>
    </row>
    <row r="427" spans="1:7" x14ac:dyDescent="0.25">
      <c r="A427" s="861">
        <v>3971</v>
      </c>
      <c r="B427" s="856">
        <v>111</v>
      </c>
      <c r="C427" s="864">
        <v>0</v>
      </c>
      <c r="D427" s="865">
        <f>C427/C430</f>
        <v>0</v>
      </c>
      <c r="E427">
        <v>2</v>
      </c>
    </row>
    <row r="428" spans="1:7" x14ac:dyDescent="0.25">
      <c r="A428" s="861">
        <v>3971</v>
      </c>
      <c r="B428" s="856">
        <v>112</v>
      </c>
      <c r="C428" s="866">
        <v>3.5</v>
      </c>
      <c r="D428" s="867">
        <f>C428/C430</f>
        <v>5.7189542483660129E-2</v>
      </c>
      <c r="E428">
        <v>3</v>
      </c>
    </row>
    <row r="429" spans="1:7" x14ac:dyDescent="0.25">
      <c r="A429" s="861">
        <v>3971</v>
      </c>
      <c r="B429" s="856">
        <v>113</v>
      </c>
      <c r="C429" s="868">
        <v>57.7</v>
      </c>
      <c r="D429" s="869">
        <f>C429/C430</f>
        <v>0.94281045751633985</v>
      </c>
      <c r="E429">
        <v>4</v>
      </c>
    </row>
    <row r="430" spans="1:7" x14ac:dyDescent="0.25">
      <c r="A430" s="861">
        <v>3971</v>
      </c>
      <c r="B430" s="856"/>
      <c r="C430" s="870">
        <f>SUM(C427:C429)</f>
        <v>61.2</v>
      </c>
      <c r="D430" s="871"/>
      <c r="E430">
        <v>5</v>
      </c>
    </row>
    <row r="431" spans="1:7" x14ac:dyDescent="0.25">
      <c r="A431" s="861">
        <v>3971</v>
      </c>
      <c r="B431" s="872" t="s">
        <v>658</v>
      </c>
      <c r="C431" s="882">
        <v>0</v>
      </c>
      <c r="D431" s="874">
        <f>IF(C431=0,0,C431/(C431+C432+C433))</f>
        <v>0</v>
      </c>
      <c r="E431">
        <v>6</v>
      </c>
      <c r="F431" s="875">
        <v>0</v>
      </c>
      <c r="G431" s="875">
        <v>0</v>
      </c>
    </row>
    <row r="432" spans="1:7" x14ac:dyDescent="0.25">
      <c r="A432" s="861">
        <v>3971</v>
      </c>
      <c r="B432" s="872" t="s">
        <v>659</v>
      </c>
      <c r="C432" s="864">
        <v>0</v>
      </c>
      <c r="D432" s="865">
        <f>IF(C432=0,0,C432/(C431+C432+C433))</f>
        <v>0</v>
      </c>
      <c r="E432">
        <v>7</v>
      </c>
      <c r="F432" s="875">
        <v>0</v>
      </c>
      <c r="G432" s="875">
        <v>0</v>
      </c>
    </row>
    <row r="433" spans="1:7" x14ac:dyDescent="0.25">
      <c r="A433" s="861">
        <v>3971</v>
      </c>
      <c r="B433" s="872" t="s">
        <v>660</v>
      </c>
      <c r="C433" s="864">
        <v>0</v>
      </c>
      <c r="D433" s="865">
        <f>IF(C433=0,0,C433/(C431+C432+C433))</f>
        <v>0</v>
      </c>
      <c r="E433">
        <v>8</v>
      </c>
      <c r="F433" s="875">
        <v>0</v>
      </c>
      <c r="G433" s="875">
        <v>0</v>
      </c>
    </row>
    <row r="434" spans="1:7" x14ac:dyDescent="0.25">
      <c r="A434" s="861">
        <v>3971</v>
      </c>
      <c r="B434" s="872" t="s">
        <v>661</v>
      </c>
      <c r="C434" s="866">
        <v>3</v>
      </c>
      <c r="D434" s="867">
        <f>IF(C434=0,0,C434/(C434+C435+C436))</f>
        <v>0.8571428571428571</v>
      </c>
      <c r="E434">
        <v>9</v>
      </c>
      <c r="F434" s="875">
        <v>3</v>
      </c>
      <c r="G434" s="875">
        <v>3.4</v>
      </c>
    </row>
    <row r="435" spans="1:7" x14ac:dyDescent="0.25">
      <c r="A435" s="861">
        <v>3971</v>
      </c>
      <c r="B435" s="872" t="s">
        <v>662</v>
      </c>
      <c r="C435" s="866">
        <v>0.5</v>
      </c>
      <c r="D435" s="867">
        <f>IF(C435=0,0,C435/(C434+C435+C436))</f>
        <v>0.14285714285714285</v>
      </c>
      <c r="E435">
        <v>10</v>
      </c>
      <c r="F435" s="875">
        <v>0.5</v>
      </c>
      <c r="G435" s="875">
        <v>0.56999999999999995</v>
      </c>
    </row>
    <row r="436" spans="1:7" x14ac:dyDescent="0.25">
      <c r="A436" s="861">
        <v>3971</v>
      </c>
      <c r="B436" s="872" t="s">
        <v>663</v>
      </c>
      <c r="C436" s="866">
        <v>0</v>
      </c>
      <c r="D436" s="867">
        <f>IF(C436=0,0,C436/(C434+C435+C436))</f>
        <v>0</v>
      </c>
      <c r="E436">
        <v>11</v>
      </c>
      <c r="F436" s="875">
        <v>0</v>
      </c>
      <c r="G436" s="875">
        <v>0</v>
      </c>
    </row>
    <row r="437" spans="1:7" x14ac:dyDescent="0.25">
      <c r="A437" s="861">
        <v>3971</v>
      </c>
      <c r="B437" s="872" t="s">
        <v>664</v>
      </c>
      <c r="C437" s="868">
        <v>54.2</v>
      </c>
      <c r="D437" s="869">
        <f>IF(C437=0,0,C437/(C437+C438+C439))</f>
        <v>0.93934142114384744</v>
      </c>
      <c r="E437">
        <v>12</v>
      </c>
      <c r="F437" s="875">
        <v>54.22</v>
      </c>
      <c r="G437" s="875">
        <v>64.48</v>
      </c>
    </row>
    <row r="438" spans="1:7" x14ac:dyDescent="0.25">
      <c r="A438" s="861">
        <v>3971</v>
      </c>
      <c r="B438" s="872" t="s">
        <v>665</v>
      </c>
      <c r="C438" s="868">
        <v>3.5</v>
      </c>
      <c r="D438" s="869">
        <f>IF(C438=0,0,C438/(C437+C438+C439))</f>
        <v>6.0658578856152508E-2</v>
      </c>
      <c r="E438">
        <v>13</v>
      </c>
      <c r="F438" s="875">
        <v>3.5</v>
      </c>
      <c r="G438" s="875">
        <v>4.16</v>
      </c>
    </row>
    <row r="439" spans="1:7" x14ac:dyDescent="0.25">
      <c r="A439" s="861">
        <v>3971</v>
      </c>
      <c r="B439" s="872" t="s">
        <v>666</v>
      </c>
      <c r="C439" s="868">
        <v>0</v>
      </c>
      <c r="D439" s="869">
        <f>IF(C439=0,0,C439/(C437+C438+C439))</f>
        <v>0</v>
      </c>
      <c r="E439">
        <v>14</v>
      </c>
      <c r="F439" s="875">
        <v>0</v>
      </c>
      <c r="G439" s="875">
        <v>0</v>
      </c>
    </row>
    <row r="440" spans="1:7" x14ac:dyDescent="0.25">
      <c r="A440" s="861">
        <v>3971</v>
      </c>
      <c r="B440" s="856"/>
      <c r="C440" s="880">
        <f>SUM(C431:C439)</f>
        <v>61.2</v>
      </c>
      <c r="D440" s="881">
        <v>1</v>
      </c>
      <c r="E440">
        <v>15</v>
      </c>
    </row>
    <row r="441" spans="1:7" x14ac:dyDescent="0.25">
      <c r="A441" s="861">
        <v>4001</v>
      </c>
      <c r="B441" s="862">
        <v>4001</v>
      </c>
      <c r="C441" s="883" t="s">
        <v>686</v>
      </c>
      <c r="D441" s="857"/>
      <c r="E441">
        <v>1</v>
      </c>
    </row>
    <row r="442" spans="1:7" x14ac:dyDescent="0.25">
      <c r="A442" s="861">
        <v>4001</v>
      </c>
      <c r="B442" s="856">
        <v>111</v>
      </c>
      <c r="C442" s="864">
        <v>24</v>
      </c>
      <c r="D442" s="865">
        <f>C442/C445</f>
        <v>0.64864864864864868</v>
      </c>
      <c r="E442">
        <v>2</v>
      </c>
    </row>
    <row r="443" spans="1:7" x14ac:dyDescent="0.25">
      <c r="A443" s="861">
        <v>4001</v>
      </c>
      <c r="B443" s="856">
        <v>112</v>
      </c>
      <c r="C443" s="866">
        <v>13</v>
      </c>
      <c r="D443" s="867">
        <f>C443/C445</f>
        <v>0.35135135135135137</v>
      </c>
      <c r="E443">
        <v>3</v>
      </c>
    </row>
    <row r="444" spans="1:7" x14ac:dyDescent="0.25">
      <c r="A444" s="861">
        <v>4001</v>
      </c>
      <c r="B444" s="856">
        <v>113</v>
      </c>
      <c r="C444" s="868">
        <v>0</v>
      </c>
      <c r="D444" s="869">
        <f>C444/C445</f>
        <v>0</v>
      </c>
      <c r="E444">
        <v>4</v>
      </c>
    </row>
    <row r="445" spans="1:7" x14ac:dyDescent="0.25">
      <c r="A445" s="861">
        <v>4001</v>
      </c>
      <c r="B445" s="856"/>
      <c r="C445" s="870">
        <f>SUM(C442:C444)</f>
        <v>37</v>
      </c>
      <c r="D445" s="871"/>
      <c r="E445">
        <v>5</v>
      </c>
    </row>
    <row r="446" spans="1:7" x14ac:dyDescent="0.25">
      <c r="A446" s="861">
        <v>4001</v>
      </c>
      <c r="B446" s="872" t="s">
        <v>658</v>
      </c>
      <c r="C446" s="882">
        <v>21.5</v>
      </c>
      <c r="D446" s="874">
        <f>IF(C446=0,0,C446/(C446+C447+C448))</f>
        <v>0.89583333333333337</v>
      </c>
      <c r="E446">
        <v>6</v>
      </c>
      <c r="F446" s="875">
        <v>11.65</v>
      </c>
      <c r="G446" s="875">
        <v>13.49</v>
      </c>
    </row>
    <row r="447" spans="1:7" x14ac:dyDescent="0.25">
      <c r="A447" s="861">
        <v>4001</v>
      </c>
      <c r="B447" s="872" t="s">
        <v>659</v>
      </c>
      <c r="C447" s="864">
        <v>2</v>
      </c>
      <c r="D447" s="865">
        <f>IF(C447=0,0,C447/(C446+C447+C448))</f>
        <v>8.3333333333333329E-2</v>
      </c>
      <c r="E447">
        <v>7</v>
      </c>
      <c r="F447" s="875">
        <v>1.08</v>
      </c>
      <c r="G447" s="875">
        <v>1.26</v>
      </c>
    </row>
    <row r="448" spans="1:7" x14ac:dyDescent="0.25">
      <c r="A448" s="861">
        <v>4001</v>
      </c>
      <c r="B448" s="872" t="s">
        <v>660</v>
      </c>
      <c r="C448" s="864">
        <v>0.5</v>
      </c>
      <c r="D448" s="865">
        <f>IF(C448=0,0,C448/(C446+C447+C448))</f>
        <v>2.0833333333333332E-2</v>
      </c>
      <c r="E448">
        <v>8</v>
      </c>
      <c r="F448" s="875">
        <v>0.27</v>
      </c>
      <c r="G448" s="875">
        <v>0.31</v>
      </c>
    </row>
    <row r="449" spans="1:7" x14ac:dyDescent="0.25">
      <c r="A449" s="861">
        <v>4001</v>
      </c>
      <c r="B449" s="872" t="s">
        <v>661</v>
      </c>
      <c r="C449" s="866">
        <v>9</v>
      </c>
      <c r="D449" s="867">
        <f>IF(C449=0,0,C449/(C449+C450+C451))</f>
        <v>0.69230769230769229</v>
      </c>
      <c r="E449">
        <v>9</v>
      </c>
      <c r="F449" s="875">
        <v>16.62</v>
      </c>
      <c r="G449" s="875">
        <v>16.27</v>
      </c>
    </row>
    <row r="450" spans="1:7" x14ac:dyDescent="0.25">
      <c r="A450" s="861">
        <v>4001</v>
      </c>
      <c r="B450" s="878" t="s">
        <v>662</v>
      </c>
      <c r="C450" s="866">
        <v>4</v>
      </c>
      <c r="D450" s="867">
        <f>IF(C450=0,0,C450/(C449+C450+C451))</f>
        <v>0.30769230769230771</v>
      </c>
      <c r="E450">
        <v>10</v>
      </c>
      <c r="F450" s="875">
        <v>7.38</v>
      </c>
      <c r="G450" s="875">
        <v>7.23</v>
      </c>
    </row>
    <row r="451" spans="1:7" x14ac:dyDescent="0.25">
      <c r="A451" s="861">
        <v>4001</v>
      </c>
      <c r="B451" s="878" t="s">
        <v>663</v>
      </c>
      <c r="C451" s="866"/>
      <c r="D451" s="867">
        <f>IF(C451=0,0,C451/(C449+C450+C451))</f>
        <v>0</v>
      </c>
      <c r="E451">
        <v>11</v>
      </c>
      <c r="F451" s="875">
        <v>0</v>
      </c>
      <c r="G451" s="875">
        <v>0</v>
      </c>
    </row>
    <row r="452" spans="1:7" x14ac:dyDescent="0.25">
      <c r="A452" s="861">
        <v>4001</v>
      </c>
      <c r="B452" s="872" t="s">
        <v>664</v>
      </c>
      <c r="C452" s="868">
        <v>0</v>
      </c>
      <c r="D452" s="869">
        <f>IF(C452=0,0,C452/(C452+C453+C454))</f>
        <v>0</v>
      </c>
      <c r="E452">
        <v>12</v>
      </c>
      <c r="F452" s="875">
        <v>0</v>
      </c>
      <c r="G452" s="875">
        <v>0</v>
      </c>
    </row>
    <row r="453" spans="1:7" x14ac:dyDescent="0.25">
      <c r="A453" s="861">
        <v>4001</v>
      </c>
      <c r="B453" s="872" t="s">
        <v>665</v>
      </c>
      <c r="C453" s="868">
        <v>0</v>
      </c>
      <c r="D453" s="869">
        <f>IF(C453=0,0,C453/(C452+C453+C454))</f>
        <v>0</v>
      </c>
      <c r="E453">
        <v>13</v>
      </c>
      <c r="F453" s="875">
        <v>0</v>
      </c>
      <c r="G453" s="875">
        <v>0</v>
      </c>
    </row>
    <row r="454" spans="1:7" x14ac:dyDescent="0.25">
      <c r="A454" s="861">
        <v>4001</v>
      </c>
      <c r="B454" s="872" t="s">
        <v>666</v>
      </c>
      <c r="C454" s="868">
        <v>0</v>
      </c>
      <c r="D454" s="869">
        <f>IF(C454=0,0,C454/(C452+C453+C454))</f>
        <v>0</v>
      </c>
      <c r="E454">
        <v>14</v>
      </c>
      <c r="F454" s="875">
        <v>0</v>
      </c>
      <c r="G454" s="875">
        <v>0</v>
      </c>
    </row>
    <row r="455" spans="1:7" x14ac:dyDescent="0.25">
      <c r="A455" s="861">
        <v>4001</v>
      </c>
      <c r="B455" s="856"/>
      <c r="C455" s="880">
        <f>SUM(C446:C454)</f>
        <v>37</v>
      </c>
      <c r="D455" s="881">
        <v>1</v>
      </c>
      <c r="E455">
        <v>15</v>
      </c>
    </row>
    <row r="456" spans="1:7" x14ac:dyDescent="0.25">
      <c r="A456" s="861">
        <v>4002</v>
      </c>
      <c r="B456" s="862">
        <v>4002</v>
      </c>
      <c r="C456" s="883" t="s">
        <v>687</v>
      </c>
      <c r="D456" s="857"/>
      <c r="E456">
        <v>1</v>
      </c>
    </row>
    <row r="457" spans="1:7" x14ac:dyDescent="0.25">
      <c r="A457" s="861">
        <v>4002</v>
      </c>
      <c r="B457" s="856">
        <v>111</v>
      </c>
      <c r="C457" s="864">
        <v>14</v>
      </c>
      <c r="D457" s="865">
        <f>C457/C460</f>
        <v>0.35443037974683544</v>
      </c>
      <c r="E457">
        <v>2</v>
      </c>
    </row>
    <row r="458" spans="1:7" x14ac:dyDescent="0.25">
      <c r="A458" s="861">
        <v>4002</v>
      </c>
      <c r="B458" s="856">
        <v>112</v>
      </c>
      <c r="C458" s="866">
        <v>25.5</v>
      </c>
      <c r="D458" s="867">
        <f>C458/C460</f>
        <v>0.64556962025316456</v>
      </c>
      <c r="E458">
        <v>3</v>
      </c>
    </row>
    <row r="459" spans="1:7" x14ac:dyDescent="0.25">
      <c r="A459" s="861">
        <v>4002</v>
      </c>
      <c r="B459" s="856">
        <v>113</v>
      </c>
      <c r="C459" s="868">
        <v>0</v>
      </c>
      <c r="D459" s="869">
        <f>C459/C460</f>
        <v>0</v>
      </c>
      <c r="E459">
        <v>4</v>
      </c>
    </row>
    <row r="460" spans="1:7" x14ac:dyDescent="0.25">
      <c r="A460" s="861">
        <v>4002</v>
      </c>
      <c r="B460" s="856"/>
      <c r="C460" s="870">
        <f>SUM(C457:C459)</f>
        <v>39.5</v>
      </c>
      <c r="D460" s="871"/>
      <c r="E460">
        <v>5</v>
      </c>
    </row>
    <row r="461" spans="1:7" x14ac:dyDescent="0.25">
      <c r="A461" s="861">
        <v>4002</v>
      </c>
      <c r="B461" s="872" t="s">
        <v>658</v>
      </c>
      <c r="C461" s="882">
        <v>8.5</v>
      </c>
      <c r="D461" s="874">
        <f>IF(C461=0,0,C461/(C461+C462+C463))</f>
        <v>0.6071428571428571</v>
      </c>
      <c r="E461">
        <v>6</v>
      </c>
      <c r="F461" s="875">
        <v>8.5</v>
      </c>
      <c r="G461" s="875">
        <v>7.89</v>
      </c>
    </row>
    <row r="462" spans="1:7" x14ac:dyDescent="0.25">
      <c r="A462" s="861">
        <v>4002</v>
      </c>
      <c r="B462" s="872" t="s">
        <v>659</v>
      </c>
      <c r="C462" s="864">
        <v>4.5</v>
      </c>
      <c r="D462" s="865">
        <f>IF(C462=0,0,C462/(C461+C462+C463))</f>
        <v>0.32142857142857145</v>
      </c>
      <c r="E462">
        <v>7</v>
      </c>
      <c r="F462" s="875">
        <v>4.5</v>
      </c>
      <c r="G462" s="875">
        <v>4.18</v>
      </c>
    </row>
    <row r="463" spans="1:7" x14ac:dyDescent="0.25">
      <c r="A463" s="861">
        <v>4002</v>
      </c>
      <c r="B463" s="872" t="s">
        <v>660</v>
      </c>
      <c r="C463" s="864">
        <v>1</v>
      </c>
      <c r="D463" s="865">
        <f>IF(C463=0,0,C463/(C461+C462+C463))</f>
        <v>7.1428571428571425E-2</v>
      </c>
      <c r="E463">
        <v>8</v>
      </c>
      <c r="F463" s="875">
        <v>1</v>
      </c>
      <c r="G463" s="875">
        <v>0.93</v>
      </c>
    </row>
    <row r="464" spans="1:7" x14ac:dyDescent="0.25">
      <c r="A464" s="861">
        <v>4002</v>
      </c>
      <c r="B464" s="872" t="s">
        <v>661</v>
      </c>
      <c r="C464" s="866">
        <v>21.5</v>
      </c>
      <c r="D464" s="867">
        <f>IF(C464=0,0,C464/(C464+C465+C466))</f>
        <v>0.84313725490196079</v>
      </c>
      <c r="E464">
        <v>9</v>
      </c>
      <c r="F464" s="875">
        <v>21.5</v>
      </c>
      <c r="G464" s="875">
        <v>20.18</v>
      </c>
    </row>
    <row r="465" spans="1:7" x14ac:dyDescent="0.25">
      <c r="A465" s="861">
        <v>4002</v>
      </c>
      <c r="B465" s="872" t="s">
        <v>662</v>
      </c>
      <c r="C465" s="866">
        <v>4</v>
      </c>
      <c r="D465" s="867">
        <f>IF(C465=0,0,C465/(C464+C465+C466))</f>
        <v>0.15686274509803921</v>
      </c>
      <c r="E465">
        <v>10</v>
      </c>
      <c r="F465" s="875">
        <v>4</v>
      </c>
      <c r="G465" s="875">
        <v>3.76</v>
      </c>
    </row>
    <row r="466" spans="1:7" x14ac:dyDescent="0.25">
      <c r="A466" s="861">
        <v>4002</v>
      </c>
      <c r="B466" s="872" t="s">
        <v>663</v>
      </c>
      <c r="C466" s="866">
        <v>0</v>
      </c>
      <c r="D466" s="867">
        <f>IF(C466=0,0,C466/(C464+C465+C466))</f>
        <v>0</v>
      </c>
      <c r="E466">
        <v>11</v>
      </c>
      <c r="F466" s="875">
        <v>0</v>
      </c>
      <c r="G466" s="875">
        <v>0</v>
      </c>
    </row>
    <row r="467" spans="1:7" x14ac:dyDescent="0.25">
      <c r="A467" s="861">
        <v>4002</v>
      </c>
      <c r="B467" s="872" t="s">
        <v>664</v>
      </c>
      <c r="C467" s="868">
        <v>0</v>
      </c>
      <c r="D467" s="869">
        <f>IF(C467=0,0,C467/(C467+C468+C469))</f>
        <v>0</v>
      </c>
      <c r="E467">
        <v>12</v>
      </c>
      <c r="F467" s="875">
        <v>0</v>
      </c>
      <c r="G467" s="875">
        <v>0</v>
      </c>
    </row>
    <row r="468" spans="1:7" x14ac:dyDescent="0.25">
      <c r="A468" s="861">
        <v>4002</v>
      </c>
      <c r="B468" s="872" t="s">
        <v>665</v>
      </c>
      <c r="C468" s="868">
        <v>0</v>
      </c>
      <c r="D468" s="869">
        <f>IF(C468=0,0,C468/(C467+C468+C469))</f>
        <v>0</v>
      </c>
      <c r="E468">
        <v>13</v>
      </c>
      <c r="F468" s="875">
        <v>0</v>
      </c>
      <c r="G468" s="875">
        <v>0</v>
      </c>
    </row>
    <row r="469" spans="1:7" x14ac:dyDescent="0.25">
      <c r="A469" s="861">
        <v>4002</v>
      </c>
      <c r="B469" s="872" t="s">
        <v>666</v>
      </c>
      <c r="C469" s="868">
        <v>0</v>
      </c>
      <c r="D469" s="869">
        <f>IF(C469=0,0,C469/(C467+C468+C469))</f>
        <v>0</v>
      </c>
      <c r="E469">
        <v>14</v>
      </c>
      <c r="F469" s="875">
        <v>0</v>
      </c>
      <c r="G469" s="875">
        <v>0</v>
      </c>
    </row>
    <row r="470" spans="1:7" x14ac:dyDescent="0.25">
      <c r="A470" s="861">
        <v>4002</v>
      </c>
      <c r="B470" s="856"/>
      <c r="C470" s="880">
        <f>SUM(C461:C469)</f>
        <v>39.5</v>
      </c>
      <c r="D470" s="881">
        <v>1</v>
      </c>
      <c r="E470">
        <v>15</v>
      </c>
    </row>
    <row r="471" spans="1:7" x14ac:dyDescent="0.25">
      <c r="A471" s="861">
        <v>4012</v>
      </c>
      <c r="B471" s="862">
        <v>4012</v>
      </c>
      <c r="C471" s="883" t="s">
        <v>688</v>
      </c>
      <c r="D471" s="884"/>
      <c r="E471">
        <v>1</v>
      </c>
    </row>
    <row r="472" spans="1:7" x14ac:dyDescent="0.25">
      <c r="A472" s="861">
        <v>4012</v>
      </c>
      <c r="B472" s="856">
        <v>111</v>
      </c>
      <c r="C472" s="864">
        <v>0</v>
      </c>
      <c r="D472" s="865" t="e">
        <f>C472/C475</f>
        <v>#DIV/0!</v>
      </c>
      <c r="E472">
        <v>2</v>
      </c>
    </row>
    <row r="473" spans="1:7" x14ac:dyDescent="0.25">
      <c r="A473" s="861">
        <v>4012</v>
      </c>
      <c r="B473" s="856">
        <v>112</v>
      </c>
      <c r="C473" s="866">
        <v>0</v>
      </c>
      <c r="D473" s="867" t="e">
        <f>C473/C475</f>
        <v>#DIV/0!</v>
      </c>
      <c r="E473">
        <v>3</v>
      </c>
    </row>
    <row r="474" spans="1:7" x14ac:dyDescent="0.25">
      <c r="A474" s="861">
        <v>4012</v>
      </c>
      <c r="B474" s="856">
        <v>113</v>
      </c>
      <c r="C474" s="868">
        <v>0</v>
      </c>
      <c r="D474" s="869" t="e">
        <f>C474/C475</f>
        <v>#DIV/0!</v>
      </c>
      <c r="E474">
        <v>4</v>
      </c>
    </row>
    <row r="475" spans="1:7" x14ac:dyDescent="0.25">
      <c r="A475" s="861">
        <v>4012</v>
      </c>
      <c r="B475" s="856"/>
      <c r="C475" s="870">
        <f>SUM(C472:C474)</f>
        <v>0</v>
      </c>
      <c r="D475" s="871"/>
      <c r="E475">
        <v>5</v>
      </c>
    </row>
    <row r="476" spans="1:7" x14ac:dyDescent="0.25">
      <c r="A476" s="861">
        <v>4012</v>
      </c>
      <c r="B476" s="872" t="s">
        <v>658</v>
      </c>
      <c r="C476" s="882">
        <v>0</v>
      </c>
      <c r="D476" s="874">
        <f>IF(C476=0,0,C476/(C476+C477+C478))</f>
        <v>0</v>
      </c>
      <c r="E476">
        <v>6</v>
      </c>
      <c r="F476" s="875">
        <v>0</v>
      </c>
      <c r="G476" s="875">
        <v>0</v>
      </c>
    </row>
    <row r="477" spans="1:7" x14ac:dyDescent="0.25">
      <c r="A477" s="861">
        <v>4012</v>
      </c>
      <c r="B477" s="872" t="s">
        <v>659</v>
      </c>
      <c r="C477" s="864">
        <v>0</v>
      </c>
      <c r="D477" s="865">
        <f>IF(C477=0,0,C477/(C476+C477+C478))</f>
        <v>0</v>
      </c>
      <c r="E477">
        <v>7</v>
      </c>
      <c r="F477" s="875">
        <v>0</v>
      </c>
      <c r="G477" s="875">
        <v>0</v>
      </c>
    </row>
    <row r="478" spans="1:7" x14ac:dyDescent="0.25">
      <c r="A478" s="861">
        <v>4012</v>
      </c>
      <c r="B478" s="872" t="s">
        <v>660</v>
      </c>
      <c r="C478" s="864">
        <v>0</v>
      </c>
      <c r="D478" s="865">
        <f>IF(C478=0,0,C478/(C476+C477+C478))</f>
        <v>0</v>
      </c>
      <c r="E478">
        <v>8</v>
      </c>
      <c r="F478" s="875">
        <v>0</v>
      </c>
      <c r="G478" s="875">
        <v>0</v>
      </c>
    </row>
    <row r="479" spans="1:7" x14ac:dyDescent="0.25">
      <c r="A479" s="861">
        <v>4012</v>
      </c>
      <c r="B479" s="872" t="s">
        <v>661</v>
      </c>
      <c r="C479" s="866">
        <v>0</v>
      </c>
      <c r="D479" s="867">
        <f>IF(C479=0,0,C479/(C479+C480+C481))</f>
        <v>0</v>
      </c>
      <c r="E479">
        <v>9</v>
      </c>
      <c r="F479" s="875">
        <v>0</v>
      </c>
      <c r="G479" s="875">
        <v>0</v>
      </c>
    </row>
    <row r="480" spans="1:7" x14ac:dyDescent="0.25">
      <c r="A480" s="861">
        <v>4012</v>
      </c>
      <c r="B480" s="878" t="s">
        <v>662</v>
      </c>
      <c r="C480" s="866">
        <v>0</v>
      </c>
      <c r="D480" s="867">
        <f>IF(C480=0,0,C480/(C479+C480+C481))</f>
        <v>0</v>
      </c>
      <c r="E480">
        <v>10</v>
      </c>
      <c r="F480" s="875">
        <v>0</v>
      </c>
      <c r="G480" s="875">
        <v>0</v>
      </c>
    </row>
    <row r="481" spans="1:7" x14ac:dyDescent="0.25">
      <c r="A481" s="861">
        <v>4012</v>
      </c>
      <c r="B481" s="878" t="s">
        <v>663</v>
      </c>
      <c r="C481" s="866">
        <v>0</v>
      </c>
      <c r="D481" s="867">
        <f>IF(C481=0,0,C481/(C479+C480+C481))</f>
        <v>0</v>
      </c>
      <c r="E481">
        <v>11</v>
      </c>
      <c r="F481" s="875">
        <v>0</v>
      </c>
      <c r="G481" s="875">
        <v>0</v>
      </c>
    </row>
    <row r="482" spans="1:7" x14ac:dyDescent="0.25">
      <c r="A482" s="861">
        <v>4012</v>
      </c>
      <c r="B482" s="872" t="s">
        <v>664</v>
      </c>
      <c r="C482" s="868">
        <v>0</v>
      </c>
      <c r="D482" s="869">
        <f>IF(C482=0,0,C482/(C482+C483+C484))</f>
        <v>0</v>
      </c>
      <c r="E482">
        <v>12</v>
      </c>
      <c r="F482" s="875">
        <v>0</v>
      </c>
      <c r="G482" s="875">
        <v>0</v>
      </c>
    </row>
    <row r="483" spans="1:7" x14ac:dyDescent="0.25">
      <c r="A483" s="861">
        <v>4012</v>
      </c>
      <c r="B483" s="872" t="s">
        <v>665</v>
      </c>
      <c r="C483" s="868">
        <v>0</v>
      </c>
      <c r="D483" s="869">
        <f>IF(C483=0,0,C483/(C482+C483+C484))</f>
        <v>0</v>
      </c>
      <c r="E483">
        <v>13</v>
      </c>
      <c r="F483" s="875">
        <v>0</v>
      </c>
      <c r="G483" s="875">
        <v>0</v>
      </c>
    </row>
    <row r="484" spans="1:7" x14ac:dyDescent="0.25">
      <c r="A484" s="861">
        <v>4012</v>
      </c>
      <c r="B484" s="872" t="s">
        <v>666</v>
      </c>
      <c r="C484" s="868">
        <v>0</v>
      </c>
      <c r="D484" s="869">
        <f>IF(C484=0,0,C484/(C482+C483+C484))</f>
        <v>0</v>
      </c>
      <c r="E484">
        <v>14</v>
      </c>
      <c r="F484" s="875">
        <v>0</v>
      </c>
      <c r="G484" s="875">
        <v>0</v>
      </c>
    </row>
    <row r="485" spans="1:7" x14ac:dyDescent="0.25">
      <c r="A485" s="861">
        <v>4012</v>
      </c>
      <c r="B485" s="856"/>
      <c r="C485" s="880">
        <f>SUM(C476:C484)</f>
        <v>0</v>
      </c>
      <c r="D485" s="881">
        <v>1</v>
      </c>
      <c r="E485">
        <v>15</v>
      </c>
    </row>
    <row r="486" spans="1:7" x14ac:dyDescent="0.25">
      <c r="A486" s="861">
        <v>4013</v>
      </c>
      <c r="B486" s="862">
        <v>4013</v>
      </c>
      <c r="C486" s="883" t="s">
        <v>689</v>
      </c>
      <c r="D486" s="884"/>
      <c r="E486">
        <v>1</v>
      </c>
    </row>
    <row r="487" spans="1:7" x14ac:dyDescent="0.25">
      <c r="A487" s="861">
        <v>4013</v>
      </c>
      <c r="B487" s="856">
        <v>111</v>
      </c>
      <c r="C487" s="864">
        <v>0</v>
      </c>
      <c r="D487" s="865">
        <f>C487/C490</f>
        <v>0</v>
      </c>
      <c r="E487">
        <v>2</v>
      </c>
    </row>
    <row r="488" spans="1:7" x14ac:dyDescent="0.25">
      <c r="A488" s="861">
        <v>4013</v>
      </c>
      <c r="B488" s="856">
        <v>112</v>
      </c>
      <c r="C488" s="866">
        <v>41.9</v>
      </c>
      <c r="D488" s="867">
        <f>C488/C490</f>
        <v>0.48216340621403908</v>
      </c>
      <c r="E488">
        <v>3</v>
      </c>
    </row>
    <row r="489" spans="1:7" x14ac:dyDescent="0.25">
      <c r="A489" s="861">
        <v>4013</v>
      </c>
      <c r="B489" s="856">
        <v>113</v>
      </c>
      <c r="C489" s="868">
        <v>45</v>
      </c>
      <c r="D489" s="869">
        <f>C489/C490</f>
        <v>0.51783659378596081</v>
      </c>
      <c r="E489">
        <v>4</v>
      </c>
    </row>
    <row r="490" spans="1:7" x14ac:dyDescent="0.25">
      <c r="A490" s="861">
        <v>4013</v>
      </c>
      <c r="B490" s="856"/>
      <c r="C490" s="870">
        <f>SUM(C487:C489)</f>
        <v>86.9</v>
      </c>
      <c r="D490" s="871"/>
      <c r="E490">
        <v>5</v>
      </c>
    </row>
    <row r="491" spans="1:7" x14ac:dyDescent="0.25">
      <c r="A491" s="861">
        <v>4013</v>
      </c>
      <c r="B491" s="872" t="s">
        <v>658</v>
      </c>
      <c r="C491" s="882">
        <v>0</v>
      </c>
      <c r="D491" s="874">
        <f>IF(C491=0,0,C491/(C491+C492+C493))</f>
        <v>0</v>
      </c>
      <c r="E491">
        <v>6</v>
      </c>
      <c r="F491" s="875">
        <v>0</v>
      </c>
      <c r="G491" s="875">
        <v>0</v>
      </c>
    </row>
    <row r="492" spans="1:7" x14ac:dyDescent="0.25">
      <c r="A492" s="861">
        <v>4013</v>
      </c>
      <c r="B492" s="872" t="s">
        <v>659</v>
      </c>
      <c r="C492" s="864">
        <v>0</v>
      </c>
      <c r="D492" s="865">
        <f>IF(C492=0,0,C492/(C491+C492+C493))</f>
        <v>0</v>
      </c>
      <c r="E492">
        <v>7</v>
      </c>
      <c r="F492" s="875">
        <v>0</v>
      </c>
      <c r="G492" s="875">
        <v>0</v>
      </c>
    </row>
    <row r="493" spans="1:7" x14ac:dyDescent="0.25">
      <c r="A493" s="861">
        <v>4013</v>
      </c>
      <c r="B493" s="872" t="s">
        <v>660</v>
      </c>
      <c r="C493" s="864">
        <v>0</v>
      </c>
      <c r="D493" s="865">
        <f>IF(C493=0,0,C493/(C491+C492+C493))</f>
        <v>0</v>
      </c>
      <c r="E493">
        <v>8</v>
      </c>
      <c r="F493" s="875">
        <v>0</v>
      </c>
      <c r="G493" s="875">
        <v>0</v>
      </c>
    </row>
    <row r="494" spans="1:7" x14ac:dyDescent="0.25">
      <c r="A494" s="861">
        <v>4013</v>
      </c>
      <c r="B494" s="872" t="s">
        <v>661</v>
      </c>
      <c r="C494" s="866">
        <v>38.9</v>
      </c>
      <c r="D494" s="867">
        <f>IF(C494=0,0,C494/(C494+C495+C496))</f>
        <v>0.9284009546539379</v>
      </c>
      <c r="E494">
        <v>9</v>
      </c>
      <c r="F494" s="875">
        <v>38.94</v>
      </c>
      <c r="G494" s="875">
        <v>35.69</v>
      </c>
    </row>
    <row r="495" spans="1:7" x14ac:dyDescent="0.25">
      <c r="A495" s="861">
        <v>4013</v>
      </c>
      <c r="B495" s="872" t="s">
        <v>662</v>
      </c>
      <c r="C495" s="866">
        <v>3</v>
      </c>
      <c r="D495" s="867">
        <f>IF(C495=0,0,C495/(C494+C495+C496))</f>
        <v>7.1599045346062054E-2</v>
      </c>
      <c r="E495">
        <v>10</v>
      </c>
      <c r="F495" s="875">
        <v>3</v>
      </c>
      <c r="G495" s="875">
        <v>2.75</v>
      </c>
    </row>
    <row r="496" spans="1:7" x14ac:dyDescent="0.25">
      <c r="A496" s="861">
        <v>4013</v>
      </c>
      <c r="B496" s="872" t="s">
        <v>663</v>
      </c>
      <c r="C496" s="866">
        <v>0</v>
      </c>
      <c r="D496" s="867">
        <f>IF(C496=0,0,C496/(C494+C495+C496))</f>
        <v>0</v>
      </c>
      <c r="E496">
        <v>11</v>
      </c>
      <c r="F496" s="875">
        <v>0</v>
      </c>
      <c r="G496" s="875">
        <v>0</v>
      </c>
    </row>
    <row r="497" spans="1:7" x14ac:dyDescent="0.25">
      <c r="A497" s="861">
        <v>4013</v>
      </c>
      <c r="B497" s="872" t="s">
        <v>664</v>
      </c>
      <c r="C497" s="868">
        <v>41.5</v>
      </c>
      <c r="D497" s="869">
        <f>IF(C497=0,0,C497/(C497+C498+C499))</f>
        <v>0.92222222222222228</v>
      </c>
      <c r="E497">
        <v>12</v>
      </c>
      <c r="F497" s="875">
        <v>43.34</v>
      </c>
      <c r="G497" s="875">
        <v>38.869999999999997</v>
      </c>
    </row>
    <row r="498" spans="1:7" x14ac:dyDescent="0.25">
      <c r="A498" s="861">
        <v>4013</v>
      </c>
      <c r="B498" s="872" t="s">
        <v>665</v>
      </c>
      <c r="C498" s="868">
        <v>3.5</v>
      </c>
      <c r="D498" s="869">
        <f>IF(C498=0,0,C498/(C497+C498+C499))</f>
        <v>7.7777777777777779E-2</v>
      </c>
      <c r="E498">
        <v>13</v>
      </c>
      <c r="F498" s="875">
        <v>3.66</v>
      </c>
      <c r="G498" s="875">
        <v>3.28</v>
      </c>
    </row>
    <row r="499" spans="1:7" x14ac:dyDescent="0.25">
      <c r="A499" s="861">
        <v>4013</v>
      </c>
      <c r="B499" s="872" t="s">
        <v>666</v>
      </c>
      <c r="C499" s="868">
        <v>0</v>
      </c>
      <c r="D499" s="869">
        <f>IF(C499=0,0,C499/(C497+C498+C499))</f>
        <v>0</v>
      </c>
      <c r="E499">
        <v>14</v>
      </c>
      <c r="F499" s="875">
        <v>0</v>
      </c>
      <c r="G499" s="875">
        <v>0</v>
      </c>
    </row>
    <row r="500" spans="1:7" x14ac:dyDescent="0.25">
      <c r="A500" s="861">
        <v>4013</v>
      </c>
      <c r="B500" s="856"/>
      <c r="C500" s="880">
        <f>SUM(C491:C499)</f>
        <v>86.9</v>
      </c>
      <c r="D500" s="881">
        <v>1</v>
      </c>
      <c r="E500">
        <v>15</v>
      </c>
    </row>
    <row r="501" spans="1:7" x14ac:dyDescent="0.25">
      <c r="A501" s="861">
        <v>4020</v>
      </c>
      <c r="B501" s="862">
        <v>4020</v>
      </c>
      <c r="C501" s="883" t="s">
        <v>690</v>
      </c>
      <c r="D501" s="884"/>
      <c r="E501">
        <v>1</v>
      </c>
    </row>
    <row r="502" spans="1:7" x14ac:dyDescent="0.25">
      <c r="A502" s="861">
        <v>4020</v>
      </c>
      <c r="B502" s="856">
        <v>111</v>
      </c>
      <c r="C502" s="864">
        <v>30</v>
      </c>
      <c r="D502" s="865">
        <f>C502/C505</f>
        <v>0.38759689922480617</v>
      </c>
      <c r="E502">
        <v>2</v>
      </c>
    </row>
    <row r="503" spans="1:7" x14ac:dyDescent="0.25">
      <c r="A503" s="861">
        <v>4020</v>
      </c>
      <c r="B503" s="856">
        <v>112</v>
      </c>
      <c r="C503" s="866">
        <v>47.4</v>
      </c>
      <c r="D503" s="867">
        <f>C503/C505</f>
        <v>0.61240310077519378</v>
      </c>
      <c r="E503">
        <v>3</v>
      </c>
    </row>
    <row r="504" spans="1:7" x14ac:dyDescent="0.25">
      <c r="A504" s="861">
        <v>4020</v>
      </c>
      <c r="B504" s="856">
        <v>113</v>
      </c>
      <c r="C504" s="868">
        <v>0</v>
      </c>
      <c r="D504" s="869">
        <f>C504/C505</f>
        <v>0</v>
      </c>
      <c r="E504">
        <v>4</v>
      </c>
    </row>
    <row r="505" spans="1:7" x14ac:dyDescent="0.25">
      <c r="A505" s="861">
        <v>4020</v>
      </c>
      <c r="B505" s="856"/>
      <c r="C505" s="870">
        <f>SUM(C502:C504)</f>
        <v>77.400000000000006</v>
      </c>
      <c r="D505" s="871"/>
      <c r="E505">
        <v>5</v>
      </c>
    </row>
    <row r="506" spans="1:7" x14ac:dyDescent="0.25">
      <c r="A506" s="861">
        <v>4020</v>
      </c>
      <c r="B506" s="872" t="s">
        <v>658</v>
      </c>
      <c r="C506" s="882">
        <v>27.5</v>
      </c>
      <c r="D506" s="874">
        <f>IF(C506=0,0,C506/(C506+C507+C508))</f>
        <v>0.91666666666666663</v>
      </c>
      <c r="E506">
        <v>6</v>
      </c>
      <c r="F506" s="875">
        <v>27.5</v>
      </c>
      <c r="G506" s="875">
        <v>30.25</v>
      </c>
    </row>
    <row r="507" spans="1:7" x14ac:dyDescent="0.25">
      <c r="A507" s="861">
        <v>4020</v>
      </c>
      <c r="B507" s="872" t="s">
        <v>659</v>
      </c>
      <c r="C507" s="864">
        <v>2</v>
      </c>
      <c r="D507" s="865">
        <f>IF(C507=0,0,C507/(C506+C507+C508))</f>
        <v>6.6666666666666666E-2</v>
      </c>
      <c r="E507">
        <v>7</v>
      </c>
      <c r="F507" s="875">
        <v>2</v>
      </c>
      <c r="G507" s="875">
        <v>2.2000000000000002</v>
      </c>
    </row>
    <row r="508" spans="1:7" x14ac:dyDescent="0.25">
      <c r="A508" s="861">
        <v>4020</v>
      </c>
      <c r="B508" s="872" t="s">
        <v>660</v>
      </c>
      <c r="C508" s="864">
        <v>0.5</v>
      </c>
      <c r="D508" s="865">
        <f>IF(C508=0,0,C508/(C506+C507+C508))</f>
        <v>1.6666666666666666E-2</v>
      </c>
      <c r="E508">
        <v>8</v>
      </c>
      <c r="F508" s="875">
        <v>0.5</v>
      </c>
      <c r="G508" s="875">
        <v>0.55000000000000004</v>
      </c>
    </row>
    <row r="509" spans="1:7" x14ac:dyDescent="0.25">
      <c r="A509" s="861">
        <v>4020</v>
      </c>
      <c r="B509" s="872" t="s">
        <v>661</v>
      </c>
      <c r="C509" s="866">
        <v>43.4</v>
      </c>
      <c r="D509" s="867">
        <f>IF(C509=0,0,C509/(C509+C510+C511))</f>
        <v>0.91561181434599159</v>
      </c>
      <c r="E509">
        <v>9</v>
      </c>
      <c r="F509" s="875">
        <v>43.41</v>
      </c>
      <c r="G509" s="875">
        <v>43.69</v>
      </c>
    </row>
    <row r="510" spans="1:7" x14ac:dyDescent="0.25">
      <c r="A510" s="861">
        <v>4020</v>
      </c>
      <c r="B510" s="878" t="s">
        <v>662</v>
      </c>
      <c r="C510" s="866">
        <v>4</v>
      </c>
      <c r="D510" s="867">
        <f>IF(C510=0,0,C510/(C509+C510+C511))</f>
        <v>8.4388185654008435E-2</v>
      </c>
      <c r="E510">
        <v>10</v>
      </c>
      <c r="F510" s="875">
        <v>4</v>
      </c>
      <c r="G510" s="875">
        <v>4.03</v>
      </c>
    </row>
    <row r="511" spans="1:7" x14ac:dyDescent="0.25">
      <c r="A511" s="861">
        <v>4020</v>
      </c>
      <c r="B511" s="878" t="s">
        <v>663</v>
      </c>
      <c r="C511" s="866">
        <v>0</v>
      </c>
      <c r="D511" s="867">
        <f>IF(C511=0,0,C511/(C509+C510+C511))</f>
        <v>0</v>
      </c>
      <c r="E511">
        <v>11</v>
      </c>
      <c r="F511" s="875">
        <v>0</v>
      </c>
      <c r="G511" s="875">
        <v>0</v>
      </c>
    </row>
    <row r="512" spans="1:7" x14ac:dyDescent="0.25">
      <c r="A512" s="861">
        <v>4020</v>
      </c>
      <c r="B512" s="872" t="s">
        <v>664</v>
      </c>
      <c r="C512" s="868">
        <v>0</v>
      </c>
      <c r="D512" s="869">
        <f>IF(C512=0,0,C512/(C512+C513+C514))</f>
        <v>0</v>
      </c>
      <c r="E512">
        <v>12</v>
      </c>
      <c r="F512" s="875">
        <v>0</v>
      </c>
      <c r="G512" s="875">
        <v>0</v>
      </c>
    </row>
    <row r="513" spans="1:7" x14ac:dyDescent="0.25">
      <c r="A513" s="861">
        <v>4020</v>
      </c>
      <c r="B513" s="872" t="s">
        <v>665</v>
      </c>
      <c r="C513" s="868">
        <v>0</v>
      </c>
      <c r="D513" s="869">
        <f>IF(C513=0,0,C513/(C512+C513+C514))</f>
        <v>0</v>
      </c>
      <c r="E513">
        <v>13</v>
      </c>
      <c r="F513" s="875">
        <v>0</v>
      </c>
      <c r="G513" s="875">
        <v>0</v>
      </c>
    </row>
    <row r="514" spans="1:7" x14ac:dyDescent="0.25">
      <c r="A514" s="861">
        <v>4020</v>
      </c>
      <c r="B514" s="872" t="s">
        <v>666</v>
      </c>
      <c r="C514" s="868">
        <v>0</v>
      </c>
      <c r="D514" s="869">
        <f>IF(C514=0,0,C514/(C512+C513+C514))</f>
        <v>0</v>
      </c>
      <c r="E514">
        <v>14</v>
      </c>
      <c r="F514" s="875">
        <v>0</v>
      </c>
      <c r="G514" s="875">
        <v>0</v>
      </c>
    </row>
    <row r="515" spans="1:7" x14ac:dyDescent="0.25">
      <c r="A515" s="861">
        <v>4020</v>
      </c>
      <c r="B515" s="856"/>
      <c r="C515" s="880">
        <f>SUM(C506:C514)</f>
        <v>77.400000000000006</v>
      </c>
      <c r="D515" s="881">
        <v>1</v>
      </c>
      <c r="E515">
        <v>15</v>
      </c>
    </row>
    <row r="516" spans="1:7" x14ac:dyDescent="0.25">
      <c r="A516" s="886">
        <v>4030</v>
      </c>
      <c r="B516" s="887">
        <v>4030</v>
      </c>
      <c r="C516" s="888" t="s">
        <v>331</v>
      </c>
      <c r="D516" s="889"/>
      <c r="E516" s="890">
        <v>1</v>
      </c>
    </row>
    <row r="517" spans="1:7" x14ac:dyDescent="0.25">
      <c r="A517" s="886">
        <v>4030</v>
      </c>
      <c r="B517" s="891">
        <v>111</v>
      </c>
      <c r="C517" s="864">
        <v>0</v>
      </c>
      <c r="D517" s="865" t="e">
        <f>C517/C520</f>
        <v>#DIV/0!</v>
      </c>
      <c r="E517" s="890">
        <v>2</v>
      </c>
    </row>
    <row r="518" spans="1:7" x14ac:dyDescent="0.25">
      <c r="A518" s="886">
        <v>4030</v>
      </c>
      <c r="B518" s="891">
        <v>112</v>
      </c>
      <c r="C518" s="866">
        <v>0</v>
      </c>
      <c r="D518" s="867" t="e">
        <f>C518/C520</f>
        <v>#DIV/0!</v>
      </c>
      <c r="E518" s="890">
        <v>3</v>
      </c>
    </row>
    <row r="519" spans="1:7" x14ac:dyDescent="0.25">
      <c r="A519" s="886">
        <v>4030</v>
      </c>
      <c r="B519" s="891">
        <v>113</v>
      </c>
      <c r="C519" s="868">
        <v>0</v>
      </c>
      <c r="D519" s="869" t="e">
        <f>C519/C520</f>
        <v>#DIV/0!</v>
      </c>
      <c r="E519" s="890">
        <v>4</v>
      </c>
    </row>
    <row r="520" spans="1:7" x14ac:dyDescent="0.25">
      <c r="A520" s="886">
        <v>4030</v>
      </c>
      <c r="B520" s="891"/>
      <c r="C520" s="870">
        <f>SUM(C517:C519)</f>
        <v>0</v>
      </c>
      <c r="D520" s="871"/>
      <c r="E520" s="890">
        <v>5</v>
      </c>
    </row>
    <row r="521" spans="1:7" x14ac:dyDescent="0.25">
      <c r="A521" s="886">
        <v>4030</v>
      </c>
      <c r="B521" s="892" t="s">
        <v>658</v>
      </c>
      <c r="C521" s="882">
        <v>0</v>
      </c>
      <c r="D521" s="874">
        <f>IF(C521=0,0,C521/(C521+C522+C523))</f>
        <v>0</v>
      </c>
      <c r="E521" s="890">
        <v>6</v>
      </c>
      <c r="F521" s="875">
        <v>0</v>
      </c>
      <c r="G521" s="875">
        <v>0</v>
      </c>
    </row>
    <row r="522" spans="1:7" x14ac:dyDescent="0.25">
      <c r="A522" s="886">
        <v>4030</v>
      </c>
      <c r="B522" s="892" t="s">
        <v>659</v>
      </c>
      <c r="C522" s="864">
        <v>0</v>
      </c>
      <c r="D522" s="865">
        <f>IF(C522=0,0,C522/(C521+C522+C523))</f>
        <v>0</v>
      </c>
      <c r="E522" s="890">
        <v>7</v>
      </c>
      <c r="F522" s="875">
        <v>0</v>
      </c>
      <c r="G522" s="875">
        <v>0</v>
      </c>
    </row>
    <row r="523" spans="1:7" x14ac:dyDescent="0.25">
      <c r="A523" s="886">
        <v>4030</v>
      </c>
      <c r="B523" s="892" t="s">
        <v>660</v>
      </c>
      <c r="C523" s="864">
        <v>0</v>
      </c>
      <c r="D523" s="865">
        <f>IF(C523=0,0,C523/(C521+C522+C523))</f>
        <v>0</v>
      </c>
      <c r="E523" s="890">
        <v>8</v>
      </c>
      <c r="F523" s="875">
        <v>0</v>
      </c>
      <c r="G523" s="875">
        <v>0</v>
      </c>
    </row>
    <row r="524" spans="1:7" x14ac:dyDescent="0.25">
      <c r="A524" s="886">
        <v>4030</v>
      </c>
      <c r="B524" s="892" t="s">
        <v>661</v>
      </c>
      <c r="C524" s="866">
        <v>0</v>
      </c>
      <c r="D524" s="867">
        <f>IF(C524=0,0,C524/(C524+C525+C526))</f>
        <v>0</v>
      </c>
      <c r="E524" s="890">
        <v>9</v>
      </c>
      <c r="F524" s="875">
        <v>0</v>
      </c>
      <c r="G524" s="875">
        <v>0</v>
      </c>
    </row>
    <row r="525" spans="1:7" x14ac:dyDescent="0.25">
      <c r="A525" s="886">
        <v>4030</v>
      </c>
      <c r="B525" s="892" t="s">
        <v>662</v>
      </c>
      <c r="C525" s="866">
        <v>0</v>
      </c>
      <c r="D525" s="867">
        <f>IF(C525=0,0,C525/(C524+C525+C526))</f>
        <v>0</v>
      </c>
      <c r="E525" s="890">
        <v>10</v>
      </c>
      <c r="F525" s="875">
        <v>0</v>
      </c>
      <c r="G525" s="875">
        <v>0</v>
      </c>
    </row>
    <row r="526" spans="1:7" x14ac:dyDescent="0.25">
      <c r="A526" s="886">
        <v>4030</v>
      </c>
      <c r="B526" s="892" t="s">
        <v>663</v>
      </c>
      <c r="C526" s="866">
        <v>0</v>
      </c>
      <c r="D526" s="867">
        <f>IF(C526=0,0,C526/(C524+C525+C526))</f>
        <v>0</v>
      </c>
      <c r="E526" s="890">
        <v>11</v>
      </c>
      <c r="F526" s="875">
        <v>0</v>
      </c>
      <c r="G526" s="875">
        <v>0</v>
      </c>
    </row>
    <row r="527" spans="1:7" x14ac:dyDescent="0.25">
      <c r="A527" s="886">
        <v>4030</v>
      </c>
      <c r="B527" s="892" t="s">
        <v>664</v>
      </c>
      <c r="C527" s="868">
        <v>0</v>
      </c>
      <c r="D527" s="869">
        <f>IF(C527=0,0,C527/(C527+C528+C529))</f>
        <v>0</v>
      </c>
      <c r="E527" s="890">
        <v>12</v>
      </c>
      <c r="F527" s="875">
        <v>0</v>
      </c>
      <c r="G527" s="875">
        <v>0</v>
      </c>
    </row>
    <row r="528" spans="1:7" x14ac:dyDescent="0.25">
      <c r="A528" s="886">
        <v>4030</v>
      </c>
      <c r="B528" s="892" t="s">
        <v>665</v>
      </c>
      <c r="C528" s="868">
        <v>0</v>
      </c>
      <c r="D528" s="869">
        <f>IF(C528=0,0,C528/(C527+C528+C529))</f>
        <v>0</v>
      </c>
      <c r="E528" s="890">
        <v>13</v>
      </c>
      <c r="F528" s="875">
        <v>0</v>
      </c>
      <c r="G528" s="875">
        <v>0</v>
      </c>
    </row>
    <row r="529" spans="1:7" x14ac:dyDescent="0.25">
      <c r="A529" s="886">
        <v>4030</v>
      </c>
      <c r="B529" s="892" t="s">
        <v>666</v>
      </c>
      <c r="C529" s="868">
        <v>0</v>
      </c>
      <c r="D529" s="869">
        <f>IF(C529=0,0,C529/(C527+C528+C529))</f>
        <v>0</v>
      </c>
      <c r="E529" s="890">
        <v>14</v>
      </c>
      <c r="F529" s="875">
        <v>0</v>
      </c>
      <c r="G529" s="875">
        <v>0</v>
      </c>
    </row>
    <row r="530" spans="1:7" x14ac:dyDescent="0.25">
      <c r="A530" s="886">
        <v>4030</v>
      </c>
      <c r="B530" s="891"/>
      <c r="C530" s="880">
        <f>SUM(C521:C529)</f>
        <v>0</v>
      </c>
      <c r="D530" s="881">
        <v>1</v>
      </c>
      <c r="E530" s="890">
        <v>15</v>
      </c>
    </row>
    <row r="531" spans="1:7" x14ac:dyDescent="0.25">
      <c r="A531" s="861">
        <v>4031</v>
      </c>
      <c r="B531" s="862">
        <v>4031</v>
      </c>
      <c r="C531" s="883" t="s">
        <v>332</v>
      </c>
      <c r="D531" s="857"/>
      <c r="E531">
        <v>1</v>
      </c>
    </row>
    <row r="532" spans="1:7" x14ac:dyDescent="0.25">
      <c r="A532" s="861">
        <v>4031</v>
      </c>
      <c r="B532" s="856">
        <v>111</v>
      </c>
      <c r="C532" s="864">
        <v>6</v>
      </c>
      <c r="D532" s="865">
        <f>C532/C535</f>
        <v>0.24489795918367346</v>
      </c>
      <c r="E532">
        <v>2</v>
      </c>
    </row>
    <row r="533" spans="1:7" x14ac:dyDescent="0.25">
      <c r="A533" s="861">
        <v>4031</v>
      </c>
      <c r="B533" s="856">
        <v>112</v>
      </c>
      <c r="C533" s="866">
        <v>18.5</v>
      </c>
      <c r="D533" s="867">
        <f>C533/C535</f>
        <v>0.75510204081632648</v>
      </c>
      <c r="E533">
        <v>3</v>
      </c>
    </row>
    <row r="534" spans="1:7" x14ac:dyDescent="0.25">
      <c r="A534" s="861">
        <v>4031</v>
      </c>
      <c r="B534" s="856">
        <v>113</v>
      </c>
      <c r="C534" s="868">
        <v>0</v>
      </c>
      <c r="D534" s="869">
        <f>C534/C535</f>
        <v>0</v>
      </c>
      <c r="E534">
        <v>4</v>
      </c>
    </row>
    <row r="535" spans="1:7" x14ac:dyDescent="0.25">
      <c r="A535" s="861">
        <v>4031</v>
      </c>
      <c r="B535" s="856"/>
      <c r="C535" s="870">
        <f>SUM(C532:C534)</f>
        <v>24.5</v>
      </c>
      <c r="D535" s="871"/>
      <c r="E535">
        <v>5</v>
      </c>
    </row>
    <row r="536" spans="1:7" x14ac:dyDescent="0.25">
      <c r="A536" s="861">
        <v>4031</v>
      </c>
      <c r="B536" s="872" t="s">
        <v>658</v>
      </c>
      <c r="C536" s="882">
        <v>4</v>
      </c>
      <c r="D536" s="874">
        <f>IF(C536=0,0,C536/(C536+C537+C538))</f>
        <v>0.66666666666666663</v>
      </c>
      <c r="E536">
        <v>6</v>
      </c>
      <c r="F536" s="875">
        <v>4</v>
      </c>
      <c r="G536" s="875">
        <v>5.36</v>
      </c>
    </row>
    <row r="537" spans="1:7" x14ac:dyDescent="0.25">
      <c r="A537" s="861">
        <v>4031</v>
      </c>
      <c r="B537" s="872" t="s">
        <v>659</v>
      </c>
      <c r="C537" s="864">
        <v>2</v>
      </c>
      <c r="D537" s="865">
        <f>IF(C537=0,0,C537/(C536+C537+C538))</f>
        <v>0.33333333333333331</v>
      </c>
      <c r="E537">
        <v>7</v>
      </c>
      <c r="F537" s="875">
        <v>2</v>
      </c>
      <c r="G537" s="875">
        <v>2.68</v>
      </c>
    </row>
    <row r="538" spans="1:7" x14ac:dyDescent="0.25">
      <c r="A538" s="861">
        <v>4031</v>
      </c>
      <c r="B538" s="872" t="s">
        <v>660</v>
      </c>
      <c r="C538" s="864">
        <v>0</v>
      </c>
      <c r="D538" s="865">
        <f>IF(C538=0,0,C538/(C536+C537+C538))</f>
        <v>0</v>
      </c>
      <c r="E538">
        <v>8</v>
      </c>
      <c r="F538" s="875">
        <v>0</v>
      </c>
      <c r="G538" s="875">
        <v>0</v>
      </c>
    </row>
    <row r="539" spans="1:7" x14ac:dyDescent="0.25">
      <c r="A539" s="861">
        <v>4031</v>
      </c>
      <c r="B539" s="872" t="s">
        <v>661</v>
      </c>
      <c r="C539" s="866">
        <v>15</v>
      </c>
      <c r="D539" s="867">
        <f>IF(C539=0,0,C539/(C539+C540+C541))</f>
        <v>0.81081081081081086</v>
      </c>
      <c r="E539">
        <v>9</v>
      </c>
      <c r="F539" s="875">
        <v>15</v>
      </c>
      <c r="G539" s="875">
        <v>14.65</v>
      </c>
    </row>
    <row r="540" spans="1:7" x14ac:dyDescent="0.25">
      <c r="A540" s="861">
        <v>4031</v>
      </c>
      <c r="B540" s="878" t="s">
        <v>662</v>
      </c>
      <c r="C540" s="866">
        <v>3.5</v>
      </c>
      <c r="D540" s="867">
        <f>IF(C540=0,0,C540/(C539+C540+C541))</f>
        <v>0.1891891891891892</v>
      </c>
      <c r="E540">
        <v>10</v>
      </c>
      <c r="F540" s="875">
        <v>3.5</v>
      </c>
      <c r="G540" s="875">
        <v>3.42</v>
      </c>
    </row>
    <row r="541" spans="1:7" x14ac:dyDescent="0.25">
      <c r="A541" s="861">
        <v>4031</v>
      </c>
      <c r="B541" s="878" t="s">
        <v>663</v>
      </c>
      <c r="C541" s="866">
        <v>0</v>
      </c>
      <c r="D541" s="867">
        <f>IF(C541=0,0,C541/(C539+C540+C541))</f>
        <v>0</v>
      </c>
      <c r="E541">
        <v>11</v>
      </c>
      <c r="F541" s="875">
        <v>0</v>
      </c>
      <c r="G541" s="875">
        <v>0</v>
      </c>
    </row>
    <row r="542" spans="1:7" x14ac:dyDescent="0.25">
      <c r="A542" s="861">
        <v>4031</v>
      </c>
      <c r="B542" s="872" t="s">
        <v>664</v>
      </c>
      <c r="C542" s="868">
        <v>0</v>
      </c>
      <c r="D542" s="869">
        <f>IF(C542=0,0,C542/(C542+C543+C544))</f>
        <v>0</v>
      </c>
      <c r="E542">
        <v>12</v>
      </c>
      <c r="F542" s="875">
        <v>0</v>
      </c>
      <c r="G542" s="875">
        <v>0</v>
      </c>
    </row>
    <row r="543" spans="1:7" x14ac:dyDescent="0.25">
      <c r="A543" s="861">
        <v>4031</v>
      </c>
      <c r="B543" s="872" t="s">
        <v>665</v>
      </c>
      <c r="C543" s="868">
        <v>0</v>
      </c>
      <c r="D543" s="869">
        <f>IF(C543=0,0,C543/(C542+C543+C544))</f>
        <v>0</v>
      </c>
      <c r="E543">
        <v>13</v>
      </c>
      <c r="F543" s="875">
        <v>0</v>
      </c>
      <c r="G543" s="875">
        <v>0</v>
      </c>
    </row>
    <row r="544" spans="1:7" x14ac:dyDescent="0.25">
      <c r="A544" s="861">
        <v>4031</v>
      </c>
      <c r="B544" s="872" t="s">
        <v>666</v>
      </c>
      <c r="C544" s="868">
        <v>0</v>
      </c>
      <c r="D544" s="869">
        <f>IF(C544=0,0,C544/(C542+C543+C544))</f>
        <v>0</v>
      </c>
      <c r="E544">
        <v>14</v>
      </c>
      <c r="F544" s="875">
        <v>0</v>
      </c>
      <c r="G544" s="875">
        <v>0</v>
      </c>
    </row>
    <row r="545" spans="1:7" x14ac:dyDescent="0.25">
      <c r="A545" s="861">
        <v>4031</v>
      </c>
      <c r="B545" s="856"/>
      <c r="C545" s="880">
        <f>SUM(C536:C544)</f>
        <v>24.5</v>
      </c>
      <c r="D545" s="881">
        <v>1</v>
      </c>
      <c r="E545">
        <v>15</v>
      </c>
    </row>
    <row r="546" spans="1:7" x14ac:dyDescent="0.25">
      <c r="A546" s="861">
        <v>4041</v>
      </c>
      <c r="B546" s="862">
        <v>4041</v>
      </c>
      <c r="C546" s="883" t="s">
        <v>691</v>
      </c>
      <c r="D546" s="857"/>
      <c r="E546">
        <v>1</v>
      </c>
    </row>
    <row r="547" spans="1:7" x14ac:dyDescent="0.25">
      <c r="A547" s="861">
        <v>4041</v>
      </c>
      <c r="B547" s="856">
        <v>111</v>
      </c>
      <c r="C547" s="864">
        <v>0</v>
      </c>
      <c r="D547" s="865">
        <f>C547/C550</f>
        <v>0</v>
      </c>
      <c r="E547">
        <v>2</v>
      </c>
    </row>
    <row r="548" spans="1:7" x14ac:dyDescent="0.25">
      <c r="A548" s="861">
        <v>4041</v>
      </c>
      <c r="B548" s="856">
        <v>112</v>
      </c>
      <c r="C548" s="866">
        <v>9.3000000000000007</v>
      </c>
      <c r="D548" s="867">
        <f>C548/C550</f>
        <v>1</v>
      </c>
      <c r="E548">
        <v>3</v>
      </c>
    </row>
    <row r="549" spans="1:7" x14ac:dyDescent="0.25">
      <c r="A549" s="861">
        <v>4041</v>
      </c>
      <c r="B549" s="856">
        <v>113</v>
      </c>
      <c r="C549" s="868">
        <v>0</v>
      </c>
      <c r="D549" s="869">
        <f>C549/C550</f>
        <v>0</v>
      </c>
      <c r="E549">
        <v>4</v>
      </c>
    </row>
    <row r="550" spans="1:7" x14ac:dyDescent="0.25">
      <c r="A550" s="861">
        <v>4041</v>
      </c>
      <c r="B550" s="856"/>
      <c r="C550" s="870">
        <f>SUM(C547:C549)</f>
        <v>9.3000000000000007</v>
      </c>
      <c r="D550" s="871"/>
      <c r="E550">
        <v>5</v>
      </c>
    </row>
    <row r="551" spans="1:7" x14ac:dyDescent="0.25">
      <c r="A551" s="861">
        <v>4041</v>
      </c>
      <c r="B551" s="872" t="s">
        <v>658</v>
      </c>
      <c r="C551" s="882">
        <v>0</v>
      </c>
      <c r="D551" s="874">
        <f>IF(C551=0,0,C551/(C551+C552+C553))</f>
        <v>0</v>
      </c>
      <c r="E551">
        <v>6</v>
      </c>
      <c r="F551" s="875">
        <v>0</v>
      </c>
      <c r="G551" s="875">
        <v>0</v>
      </c>
    </row>
    <row r="552" spans="1:7" x14ac:dyDescent="0.25">
      <c r="A552" s="861">
        <v>4041</v>
      </c>
      <c r="B552" s="872" t="s">
        <v>659</v>
      </c>
      <c r="C552" s="864">
        <v>0</v>
      </c>
      <c r="D552" s="865">
        <f>IF(C552=0,0,C552/(C551+C552+C553))</f>
        <v>0</v>
      </c>
      <c r="E552">
        <v>7</v>
      </c>
      <c r="F552" s="875">
        <v>0</v>
      </c>
      <c r="G552" s="875">
        <v>0</v>
      </c>
    </row>
    <row r="553" spans="1:7" x14ac:dyDescent="0.25">
      <c r="A553" s="861">
        <v>4041</v>
      </c>
      <c r="B553" s="872" t="s">
        <v>660</v>
      </c>
      <c r="C553" s="864">
        <v>0</v>
      </c>
      <c r="D553" s="865">
        <f>IF(C553=0,0,C553/(C551+C552+C553))</f>
        <v>0</v>
      </c>
      <c r="E553">
        <v>8</v>
      </c>
      <c r="F553" s="875">
        <v>0</v>
      </c>
      <c r="G553" s="875">
        <v>0</v>
      </c>
    </row>
    <row r="554" spans="1:7" x14ac:dyDescent="0.25">
      <c r="A554" s="861">
        <v>4041</v>
      </c>
      <c r="B554" s="872" t="s">
        <v>661</v>
      </c>
      <c r="C554" s="866">
        <v>8.8000000000000007</v>
      </c>
      <c r="D554" s="867">
        <f>IF(C554=0,0,C554/(C554+C555+C556))</f>
        <v>0.94623655913978499</v>
      </c>
      <c r="E554">
        <v>9</v>
      </c>
      <c r="F554" s="875">
        <v>8.84</v>
      </c>
      <c r="G554" s="875">
        <v>9.06</v>
      </c>
    </row>
    <row r="555" spans="1:7" x14ac:dyDescent="0.25">
      <c r="A555" s="861">
        <v>4041</v>
      </c>
      <c r="B555" s="872" t="s">
        <v>662</v>
      </c>
      <c r="C555" s="866">
        <v>0.5</v>
      </c>
      <c r="D555" s="867">
        <f>IF(C555=0,0,C555/(C554+C555+C556))</f>
        <v>5.3763440860215048E-2</v>
      </c>
      <c r="E555">
        <v>10</v>
      </c>
      <c r="F555" s="875">
        <v>0.5</v>
      </c>
      <c r="G555" s="875">
        <v>0.51</v>
      </c>
    </row>
    <row r="556" spans="1:7" x14ac:dyDescent="0.25">
      <c r="A556" s="861">
        <v>4041</v>
      </c>
      <c r="B556" s="872" t="s">
        <v>663</v>
      </c>
      <c r="C556" s="866">
        <v>0</v>
      </c>
      <c r="D556" s="867">
        <f>IF(C556=0,0,C556/(C554+C555+C556))</f>
        <v>0</v>
      </c>
      <c r="E556">
        <v>11</v>
      </c>
      <c r="F556" s="875">
        <v>0</v>
      </c>
      <c r="G556" s="875">
        <v>0</v>
      </c>
    </row>
    <row r="557" spans="1:7" x14ac:dyDescent="0.25">
      <c r="A557" s="861">
        <v>4041</v>
      </c>
      <c r="B557" s="872" t="s">
        <v>664</v>
      </c>
      <c r="C557" s="868">
        <v>0</v>
      </c>
      <c r="D557" s="869">
        <f>IF(C557=0,0,C557/(C557+C558+C559))</f>
        <v>0</v>
      </c>
      <c r="E557">
        <v>12</v>
      </c>
      <c r="F557" s="875">
        <v>0</v>
      </c>
      <c r="G557" s="875">
        <v>0</v>
      </c>
    </row>
    <row r="558" spans="1:7" x14ac:dyDescent="0.25">
      <c r="A558" s="861">
        <v>4041</v>
      </c>
      <c r="B558" s="872" t="s">
        <v>665</v>
      </c>
      <c r="C558" s="868">
        <v>0</v>
      </c>
      <c r="D558" s="869">
        <f>IF(C558=0,0,C558/(C557+C558+C559))</f>
        <v>0</v>
      </c>
      <c r="E558">
        <v>13</v>
      </c>
      <c r="F558" s="875">
        <v>0</v>
      </c>
      <c r="G558" s="875">
        <v>0</v>
      </c>
    </row>
    <row r="559" spans="1:7" x14ac:dyDescent="0.25">
      <c r="A559" s="861">
        <v>4041</v>
      </c>
      <c r="B559" s="872" t="s">
        <v>666</v>
      </c>
      <c r="C559" s="868">
        <v>0</v>
      </c>
      <c r="D559" s="869">
        <f>IF(C559=0,0,C559/(C557+C558+C559))</f>
        <v>0</v>
      </c>
      <c r="E559">
        <v>14</v>
      </c>
      <c r="F559" s="875">
        <v>0</v>
      </c>
      <c r="G559" s="875">
        <v>0</v>
      </c>
    </row>
    <row r="560" spans="1:7" x14ac:dyDescent="0.25">
      <c r="A560" s="861">
        <v>4041</v>
      </c>
      <c r="B560" s="856"/>
      <c r="C560" s="880">
        <f>SUM(C551:C559)</f>
        <v>9.3000000000000007</v>
      </c>
      <c r="D560" s="881">
        <v>1</v>
      </c>
      <c r="E560">
        <v>15</v>
      </c>
    </row>
    <row r="561" spans="1:7" x14ac:dyDescent="0.25">
      <c r="A561" s="861">
        <v>4050</v>
      </c>
      <c r="B561" s="862">
        <v>4050</v>
      </c>
      <c r="C561" s="883" t="s">
        <v>692</v>
      </c>
      <c r="D561" s="857"/>
      <c r="E561">
        <v>1</v>
      </c>
    </row>
    <row r="562" spans="1:7" x14ac:dyDescent="0.25">
      <c r="A562" s="861">
        <v>4050</v>
      </c>
      <c r="B562" s="856">
        <v>111</v>
      </c>
      <c r="C562" s="864">
        <v>11.5</v>
      </c>
      <c r="D562" s="865">
        <f>C562/C565</f>
        <v>0.34848484848484851</v>
      </c>
      <c r="E562">
        <v>2</v>
      </c>
    </row>
    <row r="563" spans="1:7" x14ac:dyDescent="0.25">
      <c r="A563" s="861">
        <v>4050</v>
      </c>
      <c r="B563" s="856">
        <v>112</v>
      </c>
      <c r="C563" s="866">
        <v>21.5</v>
      </c>
      <c r="D563" s="867">
        <f>C563/C565</f>
        <v>0.65151515151515149</v>
      </c>
      <c r="E563">
        <v>3</v>
      </c>
    </row>
    <row r="564" spans="1:7" x14ac:dyDescent="0.25">
      <c r="A564" s="861">
        <v>4050</v>
      </c>
      <c r="B564" s="856">
        <v>113</v>
      </c>
      <c r="C564" s="868">
        <v>0</v>
      </c>
      <c r="D564" s="869">
        <f>C564/C565</f>
        <v>0</v>
      </c>
      <c r="E564">
        <v>4</v>
      </c>
    </row>
    <row r="565" spans="1:7" x14ac:dyDescent="0.25">
      <c r="A565" s="861">
        <v>4050</v>
      </c>
      <c r="B565" s="856"/>
      <c r="C565" s="870">
        <f>SUM(C562:C564)</f>
        <v>33</v>
      </c>
      <c r="D565" s="871"/>
      <c r="E565">
        <v>5</v>
      </c>
    </row>
    <row r="566" spans="1:7" x14ac:dyDescent="0.25">
      <c r="A566" s="861">
        <v>4050</v>
      </c>
      <c r="B566" s="872" t="s">
        <v>658</v>
      </c>
      <c r="C566" s="882">
        <v>8</v>
      </c>
      <c r="D566" s="874">
        <f>IF(C566=0,0,C566/(C566+C567+C568))</f>
        <v>0.69565217391304346</v>
      </c>
      <c r="E566">
        <v>6</v>
      </c>
      <c r="F566" s="875">
        <v>8</v>
      </c>
      <c r="G566" s="875">
        <v>8</v>
      </c>
    </row>
    <row r="567" spans="1:7" x14ac:dyDescent="0.25">
      <c r="A567" s="861">
        <v>4050</v>
      </c>
      <c r="B567" s="872" t="s">
        <v>659</v>
      </c>
      <c r="C567" s="864">
        <v>3</v>
      </c>
      <c r="D567" s="865">
        <f>IF(C567=0,0,C567/(C566+C567+C568))</f>
        <v>0.2608695652173913</v>
      </c>
      <c r="E567">
        <v>7</v>
      </c>
      <c r="F567" s="875">
        <v>3</v>
      </c>
      <c r="G567" s="875">
        <v>3</v>
      </c>
    </row>
    <row r="568" spans="1:7" x14ac:dyDescent="0.25">
      <c r="A568" s="861">
        <v>4050</v>
      </c>
      <c r="B568" s="872" t="s">
        <v>660</v>
      </c>
      <c r="C568" s="864">
        <v>0.5</v>
      </c>
      <c r="D568" s="865">
        <f>IF(C568=0,0,C568/(C566+C567+C568))</f>
        <v>4.3478260869565216E-2</v>
      </c>
      <c r="E568">
        <v>8</v>
      </c>
      <c r="F568" s="875">
        <v>0.5</v>
      </c>
      <c r="G568" s="875">
        <v>0.5</v>
      </c>
    </row>
    <row r="569" spans="1:7" x14ac:dyDescent="0.25">
      <c r="A569" s="861">
        <v>4050</v>
      </c>
      <c r="B569" s="872" t="s">
        <v>661</v>
      </c>
      <c r="C569" s="866">
        <v>18.5</v>
      </c>
      <c r="D569" s="867">
        <f>IF(C569=0,0,C569/(C569+C570+C571))</f>
        <v>0.86046511627906974</v>
      </c>
      <c r="E569">
        <v>9</v>
      </c>
      <c r="F569" s="875">
        <v>18.5</v>
      </c>
      <c r="G569" s="875">
        <v>18.07</v>
      </c>
    </row>
    <row r="570" spans="1:7" x14ac:dyDescent="0.25">
      <c r="A570" s="861">
        <v>4050</v>
      </c>
      <c r="B570" s="878" t="s">
        <v>662</v>
      </c>
      <c r="C570" s="866">
        <v>3</v>
      </c>
      <c r="D570" s="867">
        <f>IF(C570=0,0,C570/(C569+C570+C571))</f>
        <v>0.13953488372093023</v>
      </c>
      <c r="E570">
        <v>10</v>
      </c>
      <c r="F570" s="875">
        <v>3</v>
      </c>
      <c r="G570" s="875">
        <v>2.93</v>
      </c>
    </row>
    <row r="571" spans="1:7" x14ac:dyDescent="0.25">
      <c r="A571" s="861">
        <v>4050</v>
      </c>
      <c r="B571" s="878" t="s">
        <v>663</v>
      </c>
      <c r="C571" s="866">
        <v>0</v>
      </c>
      <c r="D571" s="867">
        <f>IF(C571=0,0,C571/(C569+C570+C571))</f>
        <v>0</v>
      </c>
      <c r="E571">
        <v>11</v>
      </c>
      <c r="F571" s="875">
        <v>0</v>
      </c>
      <c r="G571" s="875">
        <v>0</v>
      </c>
    </row>
    <row r="572" spans="1:7" x14ac:dyDescent="0.25">
      <c r="A572" s="861">
        <v>4050</v>
      </c>
      <c r="B572" s="872" t="s">
        <v>664</v>
      </c>
      <c r="C572" s="868">
        <v>0</v>
      </c>
      <c r="D572" s="869">
        <f>IF(C572=0,0,C572/(C572+C573+C574))</f>
        <v>0</v>
      </c>
      <c r="E572">
        <v>12</v>
      </c>
      <c r="F572" s="875">
        <v>0</v>
      </c>
      <c r="G572" s="875">
        <v>0</v>
      </c>
    </row>
    <row r="573" spans="1:7" x14ac:dyDescent="0.25">
      <c r="A573" s="861">
        <v>4050</v>
      </c>
      <c r="B573" s="872" t="s">
        <v>665</v>
      </c>
      <c r="C573" s="868">
        <v>0</v>
      </c>
      <c r="D573" s="869">
        <f>IF(C573=0,0,C573/(C572+C573+C574))</f>
        <v>0</v>
      </c>
      <c r="E573">
        <v>13</v>
      </c>
      <c r="F573" s="875">
        <v>0</v>
      </c>
      <c r="G573" s="875">
        <v>0</v>
      </c>
    </row>
    <row r="574" spans="1:7" x14ac:dyDescent="0.25">
      <c r="A574" s="861">
        <v>4050</v>
      </c>
      <c r="B574" s="872" t="s">
        <v>666</v>
      </c>
      <c r="C574" s="868">
        <v>0</v>
      </c>
      <c r="D574" s="869">
        <f>IF(C574=0,0,C574/(C572+C573+C574))</f>
        <v>0</v>
      </c>
      <c r="E574">
        <v>14</v>
      </c>
      <c r="F574" s="875">
        <v>0</v>
      </c>
      <c r="G574" s="875">
        <v>0</v>
      </c>
    </row>
    <row r="575" spans="1:7" x14ac:dyDescent="0.25">
      <c r="A575" s="861">
        <v>4050</v>
      </c>
      <c r="B575" s="856"/>
      <c r="C575" s="880">
        <f>SUM(C566:C574)</f>
        <v>33</v>
      </c>
      <c r="D575" s="881">
        <v>1</v>
      </c>
      <c r="E575">
        <v>15</v>
      </c>
    </row>
    <row r="576" spans="1:7" x14ac:dyDescent="0.25">
      <c r="A576" s="861">
        <v>4051</v>
      </c>
      <c r="B576" s="862">
        <v>4051</v>
      </c>
      <c r="C576" s="883" t="s">
        <v>693</v>
      </c>
      <c r="D576" s="857"/>
      <c r="E576">
        <v>1</v>
      </c>
    </row>
    <row r="577" spans="1:7" x14ac:dyDescent="0.25">
      <c r="A577" s="861">
        <v>4051</v>
      </c>
      <c r="B577" s="856">
        <v>111</v>
      </c>
      <c r="C577" s="864">
        <v>13.5</v>
      </c>
      <c r="D577" s="865">
        <f>C577/C580</f>
        <v>0.421875</v>
      </c>
      <c r="E577">
        <v>2</v>
      </c>
    </row>
    <row r="578" spans="1:7" x14ac:dyDescent="0.25">
      <c r="A578" s="861">
        <v>4051</v>
      </c>
      <c r="B578" s="856">
        <v>112</v>
      </c>
      <c r="C578" s="866">
        <v>18.5</v>
      </c>
      <c r="D578" s="867">
        <f>C578/C580</f>
        <v>0.578125</v>
      </c>
      <c r="E578">
        <v>3</v>
      </c>
    </row>
    <row r="579" spans="1:7" x14ac:dyDescent="0.25">
      <c r="A579" s="861">
        <v>4051</v>
      </c>
      <c r="B579" s="856">
        <v>113</v>
      </c>
      <c r="C579" s="868">
        <v>0</v>
      </c>
      <c r="D579" s="869">
        <f>C579/C580</f>
        <v>0</v>
      </c>
      <c r="E579">
        <v>4</v>
      </c>
    </row>
    <row r="580" spans="1:7" x14ac:dyDescent="0.25">
      <c r="A580" s="861">
        <v>4051</v>
      </c>
      <c r="B580" s="856"/>
      <c r="C580" s="870">
        <f>SUM(C577:C579)</f>
        <v>32</v>
      </c>
      <c r="D580" s="871"/>
      <c r="E580">
        <v>5</v>
      </c>
    </row>
    <row r="581" spans="1:7" x14ac:dyDescent="0.25">
      <c r="A581" s="861">
        <v>4051</v>
      </c>
      <c r="B581" s="872" t="s">
        <v>658</v>
      </c>
      <c r="C581" s="882">
        <v>12</v>
      </c>
      <c r="D581" s="874">
        <f>IF(C581=0,0,C581/(C581+C582+C583))</f>
        <v>0.88888888888888884</v>
      </c>
      <c r="E581">
        <v>6</v>
      </c>
      <c r="F581" s="875">
        <v>12</v>
      </c>
      <c r="G581" s="875">
        <v>12.89</v>
      </c>
    </row>
    <row r="582" spans="1:7" x14ac:dyDescent="0.25">
      <c r="A582" s="861">
        <v>4051</v>
      </c>
      <c r="B582" s="872" t="s">
        <v>659</v>
      </c>
      <c r="C582" s="864">
        <v>1.5</v>
      </c>
      <c r="D582" s="865">
        <f>IF(C582=0,0,C582/(C581+C582+C583))</f>
        <v>0.1111111111111111</v>
      </c>
      <c r="E582">
        <v>7</v>
      </c>
      <c r="F582" s="875">
        <v>1.5</v>
      </c>
      <c r="G582" s="875">
        <v>1.61</v>
      </c>
    </row>
    <row r="583" spans="1:7" x14ac:dyDescent="0.25">
      <c r="A583" s="861">
        <v>4051</v>
      </c>
      <c r="B583" s="872" t="s">
        <v>660</v>
      </c>
      <c r="C583" s="864">
        <v>0</v>
      </c>
      <c r="D583" s="865">
        <f>IF(C583=0,0,C583/(C581+C582+C583))</f>
        <v>0</v>
      </c>
      <c r="E583">
        <v>8</v>
      </c>
      <c r="F583" s="875">
        <v>0</v>
      </c>
      <c r="G583" s="875">
        <v>0</v>
      </c>
    </row>
    <row r="584" spans="1:7" x14ac:dyDescent="0.25">
      <c r="A584" s="861">
        <v>4051</v>
      </c>
      <c r="B584" s="872" t="s">
        <v>661</v>
      </c>
      <c r="C584" s="866">
        <v>15.5</v>
      </c>
      <c r="D584" s="867">
        <f>IF(C584=0,0,C584/(C584+C585+C586))</f>
        <v>0.83783783783783783</v>
      </c>
      <c r="E584">
        <v>9</v>
      </c>
      <c r="F584" s="875">
        <v>16.34</v>
      </c>
      <c r="G584" s="875">
        <v>14.24</v>
      </c>
    </row>
    <row r="585" spans="1:7" x14ac:dyDescent="0.25">
      <c r="A585" s="861">
        <v>4051</v>
      </c>
      <c r="B585" s="872" t="s">
        <v>662</v>
      </c>
      <c r="C585" s="866">
        <v>3</v>
      </c>
      <c r="D585" s="867">
        <f>IF(C585=0,0,C585/(C584+C585+C586))</f>
        <v>0.16216216216216217</v>
      </c>
      <c r="E585">
        <v>10</v>
      </c>
      <c r="F585" s="875">
        <v>3.16</v>
      </c>
      <c r="G585" s="875">
        <v>2.76</v>
      </c>
    </row>
    <row r="586" spans="1:7" x14ac:dyDescent="0.25">
      <c r="A586" s="861">
        <v>4051</v>
      </c>
      <c r="B586" s="872" t="s">
        <v>663</v>
      </c>
      <c r="C586" s="866">
        <v>0</v>
      </c>
      <c r="D586" s="867">
        <f>IF(C586=0,0,C586/(C584+C585+C586))</f>
        <v>0</v>
      </c>
      <c r="E586">
        <v>11</v>
      </c>
      <c r="F586" s="875">
        <v>0</v>
      </c>
      <c r="G586" s="875">
        <v>0</v>
      </c>
    </row>
    <row r="587" spans="1:7" x14ac:dyDescent="0.25">
      <c r="A587" s="861">
        <v>4051</v>
      </c>
      <c r="B587" s="872" t="s">
        <v>664</v>
      </c>
      <c r="C587" s="868">
        <v>0</v>
      </c>
      <c r="D587" s="869">
        <f>IF(C587=0,0,C587/(C587+C588+C589))</f>
        <v>0</v>
      </c>
      <c r="E587">
        <v>12</v>
      </c>
      <c r="F587" s="875">
        <v>0</v>
      </c>
      <c r="G587" s="875">
        <v>0</v>
      </c>
    </row>
    <row r="588" spans="1:7" x14ac:dyDescent="0.25">
      <c r="A588" s="861">
        <v>4051</v>
      </c>
      <c r="B588" s="872" t="s">
        <v>665</v>
      </c>
      <c r="C588" s="868">
        <v>0</v>
      </c>
      <c r="D588" s="869">
        <f>IF(C588=0,0,C588/(C587+C588+C589))</f>
        <v>0</v>
      </c>
      <c r="E588">
        <v>13</v>
      </c>
      <c r="F588" s="875">
        <v>0</v>
      </c>
      <c r="G588" s="875">
        <v>0</v>
      </c>
    </row>
    <row r="589" spans="1:7" x14ac:dyDescent="0.25">
      <c r="A589" s="861">
        <v>4051</v>
      </c>
      <c r="B589" s="872" t="s">
        <v>666</v>
      </c>
      <c r="C589" s="868">
        <v>0</v>
      </c>
      <c r="D589" s="869">
        <f>IF(C589=0,0,C589/(C587+C588+C589))</f>
        <v>0</v>
      </c>
      <c r="E589">
        <v>14</v>
      </c>
      <c r="F589" s="875">
        <v>0</v>
      </c>
      <c r="G589" s="875">
        <v>0</v>
      </c>
    </row>
    <row r="590" spans="1:7" x14ac:dyDescent="0.25">
      <c r="A590" s="861">
        <v>4051</v>
      </c>
      <c r="B590" s="856"/>
      <c r="C590" s="880">
        <f>SUM(C581:C589)</f>
        <v>32</v>
      </c>
      <c r="D590" s="881">
        <v>1</v>
      </c>
      <c r="E590">
        <v>15</v>
      </c>
    </row>
    <row r="591" spans="1:7" x14ac:dyDescent="0.25">
      <c r="A591" s="861">
        <v>4061</v>
      </c>
      <c r="B591" s="862">
        <v>4061</v>
      </c>
      <c r="C591" s="883" t="s">
        <v>694</v>
      </c>
      <c r="D591" s="857"/>
      <c r="E591">
        <v>1</v>
      </c>
    </row>
    <row r="592" spans="1:7" x14ac:dyDescent="0.25">
      <c r="A592" s="861">
        <v>4061</v>
      </c>
      <c r="B592" s="856">
        <v>111</v>
      </c>
      <c r="C592" s="864">
        <v>14.5</v>
      </c>
      <c r="D592" s="865">
        <f>C592/C595</f>
        <v>0.39189189189189189</v>
      </c>
      <c r="E592">
        <v>2</v>
      </c>
    </row>
    <row r="593" spans="1:7" x14ac:dyDescent="0.25">
      <c r="A593" s="861">
        <v>4061</v>
      </c>
      <c r="B593" s="856">
        <v>112</v>
      </c>
      <c r="C593" s="866">
        <v>22.5</v>
      </c>
      <c r="D593" s="867">
        <f>C593/C595</f>
        <v>0.60810810810810811</v>
      </c>
      <c r="E593">
        <v>3</v>
      </c>
    </row>
    <row r="594" spans="1:7" x14ac:dyDescent="0.25">
      <c r="A594" s="861">
        <v>4061</v>
      </c>
      <c r="B594" s="856">
        <v>113</v>
      </c>
      <c r="C594" s="868">
        <v>0</v>
      </c>
      <c r="D594" s="869">
        <f>C594/C595</f>
        <v>0</v>
      </c>
      <c r="E594">
        <v>4</v>
      </c>
    </row>
    <row r="595" spans="1:7" x14ac:dyDescent="0.25">
      <c r="A595" s="861">
        <v>4061</v>
      </c>
      <c r="B595" s="856"/>
      <c r="C595" s="870">
        <f>SUM(C592:C594)</f>
        <v>37</v>
      </c>
      <c r="D595" s="871"/>
      <c r="E595">
        <v>5</v>
      </c>
    </row>
    <row r="596" spans="1:7" x14ac:dyDescent="0.25">
      <c r="A596" s="861">
        <v>4061</v>
      </c>
      <c r="B596" s="872" t="s">
        <v>658</v>
      </c>
      <c r="C596" s="882">
        <v>11.5</v>
      </c>
      <c r="D596" s="874">
        <f>IF(C596=0,0,C596/(C596+C597+C598))</f>
        <v>0.7931034482758621</v>
      </c>
      <c r="E596">
        <v>6</v>
      </c>
      <c r="F596" s="875">
        <v>11.5</v>
      </c>
      <c r="G596" s="875">
        <v>12.3</v>
      </c>
    </row>
    <row r="597" spans="1:7" x14ac:dyDescent="0.25">
      <c r="A597" s="861">
        <v>4061</v>
      </c>
      <c r="B597" s="872" t="s">
        <v>659</v>
      </c>
      <c r="C597" s="864">
        <v>2.5</v>
      </c>
      <c r="D597" s="865">
        <f>IF(C597=0,0,C597/(C596+C597+C598))</f>
        <v>0.17241379310344829</v>
      </c>
      <c r="E597">
        <v>7</v>
      </c>
      <c r="F597" s="875">
        <v>2.5</v>
      </c>
      <c r="G597" s="875">
        <v>2.67</v>
      </c>
    </row>
    <row r="598" spans="1:7" x14ac:dyDescent="0.25">
      <c r="A598" s="861">
        <v>4061</v>
      </c>
      <c r="B598" s="872" t="s">
        <v>660</v>
      </c>
      <c r="C598" s="864">
        <v>0.5</v>
      </c>
      <c r="D598" s="865">
        <f>IF(C598=0,0,C598/(C596+C597+C598))</f>
        <v>3.4482758620689655E-2</v>
      </c>
      <c r="E598">
        <v>8</v>
      </c>
      <c r="F598" s="875">
        <v>0.5</v>
      </c>
      <c r="G598" s="875">
        <v>0.53</v>
      </c>
    </row>
    <row r="599" spans="1:7" x14ac:dyDescent="0.25">
      <c r="A599" s="861">
        <v>4061</v>
      </c>
      <c r="B599" s="872" t="s">
        <v>661</v>
      </c>
      <c r="C599" s="866">
        <v>17.5</v>
      </c>
      <c r="D599" s="867">
        <f>IF(C599=0,0,C599/(C599+C600+C601))</f>
        <v>0.77777777777777779</v>
      </c>
      <c r="E599">
        <v>9</v>
      </c>
      <c r="F599" s="875">
        <v>19.440000000000001</v>
      </c>
      <c r="G599" s="875">
        <v>15.94</v>
      </c>
    </row>
    <row r="600" spans="1:7" x14ac:dyDescent="0.25">
      <c r="A600" s="861">
        <v>4061</v>
      </c>
      <c r="B600" s="878" t="s">
        <v>662</v>
      </c>
      <c r="C600" s="866">
        <v>5</v>
      </c>
      <c r="D600" s="867">
        <f>IF(C600=0,0,C600/(C599+C600+C601))</f>
        <v>0.22222222222222221</v>
      </c>
      <c r="E600">
        <v>10</v>
      </c>
      <c r="F600" s="875">
        <v>5.56</v>
      </c>
      <c r="G600" s="875">
        <v>4.5599999999999996</v>
      </c>
    </row>
    <row r="601" spans="1:7" x14ac:dyDescent="0.25">
      <c r="A601" s="861">
        <v>4061</v>
      </c>
      <c r="B601" s="878" t="s">
        <v>663</v>
      </c>
      <c r="C601" s="866">
        <v>0</v>
      </c>
      <c r="D601" s="867">
        <f>IF(C601=0,0,C601/(C599+C600+C601))</f>
        <v>0</v>
      </c>
      <c r="E601">
        <v>11</v>
      </c>
      <c r="F601" s="875">
        <v>0</v>
      </c>
      <c r="G601" s="875">
        <v>0</v>
      </c>
    </row>
    <row r="602" spans="1:7" x14ac:dyDescent="0.25">
      <c r="A602" s="861">
        <v>4061</v>
      </c>
      <c r="B602" s="872" t="s">
        <v>664</v>
      </c>
      <c r="C602" s="868">
        <v>0</v>
      </c>
      <c r="D602" s="869">
        <f>IF(C602=0,0,C602/(C602+C603+C604))</f>
        <v>0</v>
      </c>
      <c r="E602">
        <v>12</v>
      </c>
      <c r="F602" s="875">
        <v>0</v>
      </c>
      <c r="G602" s="875">
        <v>0</v>
      </c>
    </row>
    <row r="603" spans="1:7" x14ac:dyDescent="0.25">
      <c r="A603" s="861">
        <v>4061</v>
      </c>
      <c r="B603" s="872" t="s">
        <v>665</v>
      </c>
      <c r="C603" s="868">
        <v>0</v>
      </c>
      <c r="D603" s="869">
        <f>IF(C603=0,0,C603/(C602+C603+C604))</f>
        <v>0</v>
      </c>
      <c r="E603">
        <v>13</v>
      </c>
      <c r="F603" s="875">
        <v>0</v>
      </c>
      <c r="G603" s="875">
        <v>0</v>
      </c>
    </row>
    <row r="604" spans="1:7" x14ac:dyDescent="0.25">
      <c r="A604" s="861">
        <v>4061</v>
      </c>
      <c r="B604" s="872" t="s">
        <v>666</v>
      </c>
      <c r="C604" s="868">
        <v>0</v>
      </c>
      <c r="D604" s="869">
        <f>IF(C604=0,0,C604/(C602+C603+C604))</f>
        <v>0</v>
      </c>
      <c r="E604">
        <v>14</v>
      </c>
      <c r="F604" s="875">
        <v>0</v>
      </c>
      <c r="G604" s="875">
        <v>0</v>
      </c>
    </row>
    <row r="605" spans="1:7" x14ac:dyDescent="0.25">
      <c r="A605" s="861">
        <v>4061</v>
      </c>
      <c r="B605" s="856"/>
      <c r="C605" s="880">
        <f>SUM(C596:C604)</f>
        <v>37</v>
      </c>
      <c r="D605" s="881">
        <v>1</v>
      </c>
      <c r="E605">
        <v>15</v>
      </c>
    </row>
    <row r="606" spans="1:7" x14ac:dyDescent="0.25">
      <c r="A606" s="861">
        <v>4081</v>
      </c>
      <c r="B606" s="862">
        <v>4081</v>
      </c>
      <c r="C606" s="883" t="s">
        <v>338</v>
      </c>
      <c r="D606" s="885"/>
      <c r="E606">
        <v>1</v>
      </c>
    </row>
    <row r="607" spans="1:7" x14ac:dyDescent="0.25">
      <c r="A607" s="861">
        <v>4081</v>
      </c>
      <c r="B607" s="856">
        <v>111</v>
      </c>
      <c r="C607" s="864">
        <v>0</v>
      </c>
      <c r="D607" s="865">
        <f>C607/C610</f>
        <v>0</v>
      </c>
      <c r="E607">
        <v>2</v>
      </c>
    </row>
    <row r="608" spans="1:7" x14ac:dyDescent="0.25">
      <c r="A608" s="861">
        <v>4081</v>
      </c>
      <c r="B608" s="856">
        <v>112</v>
      </c>
      <c r="C608" s="866">
        <v>0</v>
      </c>
      <c r="D608" s="867">
        <f>C608/C610</f>
        <v>0</v>
      </c>
      <c r="E608">
        <v>3</v>
      </c>
    </row>
    <row r="609" spans="1:7" x14ac:dyDescent="0.25">
      <c r="A609" s="861">
        <v>4081</v>
      </c>
      <c r="B609" s="856">
        <v>113</v>
      </c>
      <c r="C609" s="868">
        <v>10.5</v>
      </c>
      <c r="D609" s="869">
        <f>C609/C610</f>
        <v>1</v>
      </c>
      <c r="E609">
        <v>4</v>
      </c>
    </row>
    <row r="610" spans="1:7" x14ac:dyDescent="0.25">
      <c r="A610" s="861">
        <v>4081</v>
      </c>
      <c r="B610" s="856"/>
      <c r="C610" s="870">
        <f>SUM(C607:C609)</f>
        <v>10.5</v>
      </c>
      <c r="D610" s="871"/>
      <c r="E610">
        <v>5</v>
      </c>
    </row>
    <row r="611" spans="1:7" x14ac:dyDescent="0.25">
      <c r="A611" s="861">
        <v>4081</v>
      </c>
      <c r="B611" s="872" t="s">
        <v>658</v>
      </c>
      <c r="C611" s="882">
        <v>0</v>
      </c>
      <c r="D611" s="874">
        <f>IF(C611=0,0,C611/(C611+C612+C613))</f>
        <v>0</v>
      </c>
      <c r="E611">
        <v>6</v>
      </c>
      <c r="F611" s="875">
        <v>0</v>
      </c>
      <c r="G611" s="875">
        <v>0</v>
      </c>
    </row>
    <row r="612" spans="1:7" x14ac:dyDescent="0.25">
      <c r="A612" s="861">
        <v>4081</v>
      </c>
      <c r="B612" s="872" t="s">
        <v>659</v>
      </c>
      <c r="C612" s="864">
        <v>0</v>
      </c>
      <c r="D612" s="865">
        <f>IF(C612=0,0,C612/(C611+C612+C613))</f>
        <v>0</v>
      </c>
      <c r="E612">
        <v>7</v>
      </c>
      <c r="F612" s="875">
        <v>0</v>
      </c>
      <c r="G612" s="875">
        <v>0</v>
      </c>
    </row>
    <row r="613" spans="1:7" x14ac:dyDescent="0.25">
      <c r="A613" s="861">
        <v>4081</v>
      </c>
      <c r="B613" s="872" t="s">
        <v>660</v>
      </c>
      <c r="C613" s="864">
        <v>0</v>
      </c>
      <c r="D613" s="865">
        <f>IF(C613=0,0,C613/(C611+C612+C613))</f>
        <v>0</v>
      </c>
      <c r="E613">
        <v>8</v>
      </c>
      <c r="F613" s="875">
        <v>0</v>
      </c>
      <c r="G613" s="875">
        <v>0</v>
      </c>
    </row>
    <row r="614" spans="1:7" x14ac:dyDescent="0.25">
      <c r="A614" s="861">
        <v>4081</v>
      </c>
      <c r="B614" s="872" t="s">
        <v>661</v>
      </c>
      <c r="C614" s="866">
        <v>0</v>
      </c>
      <c r="D614" s="867">
        <f>IF(C614=0,0,C614/(C614+C615+C616))</f>
        <v>0</v>
      </c>
      <c r="E614">
        <v>9</v>
      </c>
      <c r="F614" s="875">
        <v>0</v>
      </c>
      <c r="G614" s="875">
        <v>0</v>
      </c>
    </row>
    <row r="615" spans="1:7" x14ac:dyDescent="0.25">
      <c r="A615" s="861">
        <v>4081</v>
      </c>
      <c r="B615" s="872" t="s">
        <v>662</v>
      </c>
      <c r="C615" s="866">
        <v>0</v>
      </c>
      <c r="D615" s="867">
        <f>IF(C615=0,0,C615/(C614+C615+C616))</f>
        <v>0</v>
      </c>
      <c r="E615">
        <v>10</v>
      </c>
      <c r="F615" s="875">
        <v>0</v>
      </c>
      <c r="G615" s="875">
        <v>0</v>
      </c>
    </row>
    <row r="616" spans="1:7" x14ac:dyDescent="0.25">
      <c r="A616" s="861">
        <v>4081</v>
      </c>
      <c r="B616" s="872" t="s">
        <v>663</v>
      </c>
      <c r="C616" s="866">
        <v>0</v>
      </c>
      <c r="D616" s="867">
        <f>IF(C616=0,0,C616/(C614+C615+C616))</f>
        <v>0</v>
      </c>
      <c r="E616">
        <v>11</v>
      </c>
      <c r="F616" s="875">
        <v>0</v>
      </c>
      <c r="G616" s="875">
        <v>0</v>
      </c>
    </row>
    <row r="617" spans="1:7" x14ac:dyDescent="0.25">
      <c r="A617" s="861">
        <v>4081</v>
      </c>
      <c r="B617" s="872" t="s">
        <v>664</v>
      </c>
      <c r="C617" s="868">
        <v>9</v>
      </c>
      <c r="D617" s="869">
        <f>IF(C617=0,0,C617/(C617+C618+C619))</f>
        <v>0.8571428571428571</v>
      </c>
      <c r="E617">
        <v>12</v>
      </c>
      <c r="F617" s="875">
        <v>9</v>
      </c>
      <c r="G617" s="875">
        <v>9.39</v>
      </c>
    </row>
    <row r="618" spans="1:7" x14ac:dyDescent="0.25">
      <c r="A618" s="861">
        <v>4081</v>
      </c>
      <c r="B618" s="878" t="s">
        <v>665</v>
      </c>
      <c r="C618" s="868">
        <v>1.5</v>
      </c>
      <c r="D618" s="869">
        <f>IF(C618=0,0,C618/(C617+C618+C619))</f>
        <v>0.14285714285714285</v>
      </c>
      <c r="E618">
        <v>13</v>
      </c>
      <c r="F618" s="875">
        <v>1.5</v>
      </c>
      <c r="G618" s="875">
        <v>1.57</v>
      </c>
    </row>
    <row r="619" spans="1:7" x14ac:dyDescent="0.25">
      <c r="A619" s="861">
        <v>4081</v>
      </c>
      <c r="B619" s="878" t="s">
        <v>666</v>
      </c>
      <c r="C619" s="868">
        <v>0</v>
      </c>
      <c r="D619" s="869">
        <f>IF(C619=0,0,C619/(C617+C618+C619))</f>
        <v>0</v>
      </c>
      <c r="E619">
        <v>14</v>
      </c>
      <c r="F619" s="875">
        <v>0</v>
      </c>
      <c r="G619" s="875">
        <v>0</v>
      </c>
    </row>
    <row r="620" spans="1:7" x14ac:dyDescent="0.25">
      <c r="A620" s="861">
        <v>4081</v>
      </c>
      <c r="B620" s="856"/>
      <c r="C620" s="880">
        <f>SUM(C611:C619)</f>
        <v>10.5</v>
      </c>
      <c r="D620" s="881">
        <v>1</v>
      </c>
      <c r="E620">
        <v>15</v>
      </c>
    </row>
    <row r="621" spans="1:7" x14ac:dyDescent="0.25">
      <c r="A621" s="861">
        <v>4090</v>
      </c>
      <c r="B621" s="862">
        <v>4090</v>
      </c>
      <c r="C621" s="883" t="s">
        <v>695</v>
      </c>
      <c r="D621" s="885"/>
      <c r="E621">
        <v>1</v>
      </c>
    </row>
    <row r="622" spans="1:7" x14ac:dyDescent="0.25">
      <c r="A622" s="861">
        <v>4090</v>
      </c>
      <c r="B622" s="856">
        <v>111</v>
      </c>
      <c r="C622" s="864">
        <v>0</v>
      </c>
      <c r="D622" s="865">
        <f>C622/C625</f>
        <v>0</v>
      </c>
      <c r="E622">
        <v>2</v>
      </c>
    </row>
    <row r="623" spans="1:7" x14ac:dyDescent="0.25">
      <c r="A623" s="861">
        <v>4090</v>
      </c>
      <c r="B623" s="856">
        <v>112</v>
      </c>
      <c r="C623" s="866">
        <v>19.5</v>
      </c>
      <c r="D623" s="867">
        <f>C623/C625</f>
        <v>1</v>
      </c>
      <c r="E623">
        <v>3</v>
      </c>
    </row>
    <row r="624" spans="1:7" x14ac:dyDescent="0.25">
      <c r="A624" s="861">
        <v>4090</v>
      </c>
      <c r="B624" s="856">
        <v>113</v>
      </c>
      <c r="C624" s="868">
        <v>0</v>
      </c>
      <c r="D624" s="869">
        <f>C624/C625</f>
        <v>0</v>
      </c>
      <c r="E624">
        <v>4</v>
      </c>
    </row>
    <row r="625" spans="1:7" x14ac:dyDescent="0.25">
      <c r="A625" s="861">
        <v>4090</v>
      </c>
      <c r="B625" s="856"/>
      <c r="C625" s="870">
        <f>SUM(C622:C624)</f>
        <v>19.5</v>
      </c>
      <c r="D625" s="871"/>
      <c r="E625">
        <v>5</v>
      </c>
    </row>
    <row r="626" spans="1:7" x14ac:dyDescent="0.25">
      <c r="A626" s="861">
        <v>4090</v>
      </c>
      <c r="B626" s="872" t="s">
        <v>658</v>
      </c>
      <c r="C626" s="882">
        <v>0</v>
      </c>
      <c r="D626" s="874">
        <f>IF(C626=0,0,C626/(C626+C627+C628))</f>
        <v>0</v>
      </c>
      <c r="E626">
        <v>6</v>
      </c>
      <c r="F626" s="875">
        <v>0</v>
      </c>
      <c r="G626" s="875">
        <v>0</v>
      </c>
    </row>
    <row r="627" spans="1:7" x14ac:dyDescent="0.25">
      <c r="A627" s="861">
        <v>4090</v>
      </c>
      <c r="B627" s="872" t="s">
        <v>659</v>
      </c>
      <c r="C627" s="864">
        <v>0</v>
      </c>
      <c r="D627" s="865">
        <f>IF(C627=0,0,C627/(C626+C627+C628))</f>
        <v>0</v>
      </c>
      <c r="E627">
        <v>7</v>
      </c>
      <c r="F627" s="875">
        <v>0</v>
      </c>
      <c r="G627" s="875">
        <v>0</v>
      </c>
    </row>
    <row r="628" spans="1:7" x14ac:dyDescent="0.25">
      <c r="A628" s="861">
        <v>4090</v>
      </c>
      <c r="B628" s="872" t="s">
        <v>660</v>
      </c>
      <c r="C628" s="864">
        <v>0</v>
      </c>
      <c r="D628" s="865">
        <f>IF(C628=0,0,C628/(C626+C627+C628))</f>
        <v>0</v>
      </c>
      <c r="E628">
        <v>8</v>
      </c>
      <c r="F628" s="875">
        <v>0</v>
      </c>
      <c r="G628" s="875">
        <v>0</v>
      </c>
    </row>
    <row r="629" spans="1:7" x14ac:dyDescent="0.25">
      <c r="A629" s="861">
        <v>4090</v>
      </c>
      <c r="B629" s="872" t="s">
        <v>661</v>
      </c>
      <c r="C629" s="866">
        <v>18</v>
      </c>
      <c r="D629" s="867">
        <f>IF(C629=0,0,C629/(C629+C630+C631))</f>
        <v>0.92307692307692313</v>
      </c>
      <c r="E629">
        <v>9</v>
      </c>
      <c r="F629" s="875">
        <v>18.46</v>
      </c>
      <c r="G629" s="875">
        <v>21.15</v>
      </c>
    </row>
    <row r="630" spans="1:7" x14ac:dyDescent="0.25">
      <c r="A630" s="861">
        <v>4090</v>
      </c>
      <c r="B630" s="872" t="s">
        <v>662</v>
      </c>
      <c r="C630" s="866">
        <v>1.5</v>
      </c>
      <c r="D630" s="867">
        <f>IF(C630=0,0,C630/(C629+C630+C631))</f>
        <v>7.6923076923076927E-2</v>
      </c>
      <c r="E630">
        <v>10</v>
      </c>
      <c r="F630" s="875">
        <v>1.54</v>
      </c>
      <c r="G630" s="875">
        <v>1.76</v>
      </c>
    </row>
    <row r="631" spans="1:7" x14ac:dyDescent="0.25">
      <c r="A631" s="861">
        <v>4090</v>
      </c>
      <c r="B631" s="872" t="s">
        <v>663</v>
      </c>
      <c r="C631" s="866">
        <v>0</v>
      </c>
      <c r="D631" s="867">
        <f>IF(C631=0,0,C631/(C629+C630+C631))</f>
        <v>0</v>
      </c>
      <c r="E631">
        <v>11</v>
      </c>
      <c r="F631" s="875">
        <v>0</v>
      </c>
      <c r="G631" s="875">
        <v>0</v>
      </c>
    </row>
    <row r="632" spans="1:7" x14ac:dyDescent="0.25">
      <c r="A632" s="861">
        <v>4090</v>
      </c>
      <c r="B632" s="872" t="s">
        <v>664</v>
      </c>
      <c r="C632" s="868">
        <v>0</v>
      </c>
      <c r="D632" s="869">
        <f>IF(C632=0,0,C632/(C632+C633+C634))</f>
        <v>0</v>
      </c>
      <c r="E632">
        <v>12</v>
      </c>
      <c r="F632" s="875">
        <v>0</v>
      </c>
      <c r="G632" s="875">
        <v>0</v>
      </c>
    </row>
    <row r="633" spans="1:7" x14ac:dyDescent="0.25">
      <c r="A633" s="861">
        <v>4090</v>
      </c>
      <c r="B633" s="872" t="s">
        <v>665</v>
      </c>
      <c r="C633" s="868">
        <v>0</v>
      </c>
      <c r="D633" s="869">
        <f>IF(C633=0,0,C633/(C632+C633+C634))</f>
        <v>0</v>
      </c>
      <c r="E633">
        <v>13</v>
      </c>
      <c r="F633" s="875">
        <v>0</v>
      </c>
      <c r="G633" s="875">
        <v>0</v>
      </c>
    </row>
    <row r="634" spans="1:7" x14ac:dyDescent="0.25">
      <c r="A634" s="861">
        <v>4090</v>
      </c>
      <c r="B634" s="872" t="s">
        <v>666</v>
      </c>
      <c r="C634" s="868">
        <v>0</v>
      </c>
      <c r="D634" s="869">
        <f>IF(C634=0,0,C634/(C632+C633+C634))</f>
        <v>0</v>
      </c>
      <c r="E634">
        <v>14</v>
      </c>
      <c r="F634" s="875">
        <v>0</v>
      </c>
      <c r="G634" s="875">
        <v>0</v>
      </c>
    </row>
    <row r="635" spans="1:7" x14ac:dyDescent="0.25">
      <c r="A635" s="861">
        <v>4090</v>
      </c>
      <c r="B635" s="856"/>
      <c r="C635" s="880">
        <f>SUM(C626:C634)</f>
        <v>19.5</v>
      </c>
      <c r="D635" s="881">
        <v>1</v>
      </c>
      <c r="E635">
        <v>15</v>
      </c>
    </row>
    <row r="636" spans="1:7" x14ac:dyDescent="0.25">
      <c r="A636" s="861">
        <v>4091</v>
      </c>
      <c r="B636" s="862">
        <v>4091</v>
      </c>
      <c r="C636" s="883" t="s">
        <v>340</v>
      </c>
      <c r="D636" s="884"/>
      <c r="E636">
        <v>1</v>
      </c>
    </row>
    <row r="637" spans="1:7" x14ac:dyDescent="0.25">
      <c r="A637" s="861">
        <v>4091</v>
      </c>
      <c r="B637" s="856">
        <v>111</v>
      </c>
      <c r="C637" s="864">
        <v>13</v>
      </c>
      <c r="D637" s="865">
        <f>C637/C640</f>
        <v>0.65</v>
      </c>
      <c r="E637">
        <v>2</v>
      </c>
    </row>
    <row r="638" spans="1:7" x14ac:dyDescent="0.25">
      <c r="A638" s="861">
        <v>4091</v>
      </c>
      <c r="B638" s="856">
        <v>112</v>
      </c>
      <c r="C638" s="866">
        <v>7</v>
      </c>
      <c r="D638" s="867">
        <f>C638/C640</f>
        <v>0.35</v>
      </c>
      <c r="E638">
        <v>3</v>
      </c>
    </row>
    <row r="639" spans="1:7" x14ac:dyDescent="0.25">
      <c r="A639" s="861">
        <v>4091</v>
      </c>
      <c r="B639" s="856">
        <v>113</v>
      </c>
      <c r="C639" s="868">
        <v>0</v>
      </c>
      <c r="D639" s="869">
        <f>C639/C640</f>
        <v>0</v>
      </c>
      <c r="E639">
        <v>4</v>
      </c>
    </row>
    <row r="640" spans="1:7" x14ac:dyDescent="0.25">
      <c r="A640" s="861">
        <v>4091</v>
      </c>
      <c r="B640" s="856"/>
      <c r="C640" s="870">
        <f>SUM(C637:C639)</f>
        <v>20</v>
      </c>
      <c r="D640" s="871"/>
      <c r="E640">
        <v>5</v>
      </c>
    </row>
    <row r="641" spans="1:7" x14ac:dyDescent="0.25">
      <c r="A641" s="861">
        <v>4091</v>
      </c>
      <c r="B641" s="872" t="s">
        <v>658</v>
      </c>
      <c r="C641" s="882">
        <v>8.5</v>
      </c>
      <c r="D641" s="874">
        <f>IF(C641=0,0,C641/(C641+C642+C643))</f>
        <v>0.65384615384615385</v>
      </c>
      <c r="E641">
        <v>6</v>
      </c>
      <c r="F641" s="875">
        <v>8.5</v>
      </c>
      <c r="G641" s="875">
        <v>9.15</v>
      </c>
    </row>
    <row r="642" spans="1:7" x14ac:dyDescent="0.25">
      <c r="A642" s="861">
        <v>4091</v>
      </c>
      <c r="B642" s="872" t="s">
        <v>659</v>
      </c>
      <c r="C642" s="864">
        <v>4.5</v>
      </c>
      <c r="D642" s="865">
        <f>IF(C642=0,0,C642/(C641+C642+C643))</f>
        <v>0.34615384615384615</v>
      </c>
      <c r="E642">
        <v>7</v>
      </c>
      <c r="F642" s="875">
        <v>4.5</v>
      </c>
      <c r="G642" s="875">
        <v>4.8499999999999996</v>
      </c>
    </row>
    <row r="643" spans="1:7" x14ac:dyDescent="0.25">
      <c r="A643" s="861">
        <v>4091</v>
      </c>
      <c r="B643" s="872" t="s">
        <v>660</v>
      </c>
      <c r="C643" s="864"/>
      <c r="D643" s="865">
        <f>IF(C643=0,0,C643/(C641+C642+C643))</f>
        <v>0</v>
      </c>
      <c r="E643">
        <v>8</v>
      </c>
      <c r="F643" s="875">
        <v>0</v>
      </c>
      <c r="G643" s="875">
        <v>0</v>
      </c>
    </row>
    <row r="644" spans="1:7" x14ac:dyDescent="0.25">
      <c r="A644" s="861">
        <v>4091</v>
      </c>
      <c r="B644" s="872" t="s">
        <v>661</v>
      </c>
      <c r="C644" s="866">
        <v>6.5</v>
      </c>
      <c r="D644" s="867">
        <f>IF(C644=0,0,C644/(C644+C645+C646))</f>
        <v>0.9285714285714286</v>
      </c>
      <c r="E644">
        <v>9</v>
      </c>
      <c r="F644" s="875">
        <v>6.5</v>
      </c>
      <c r="G644" s="875">
        <v>8.36</v>
      </c>
    </row>
    <row r="645" spans="1:7" x14ac:dyDescent="0.25">
      <c r="A645" s="861">
        <v>4091</v>
      </c>
      <c r="B645" s="878" t="s">
        <v>662</v>
      </c>
      <c r="C645" s="866">
        <v>0.5</v>
      </c>
      <c r="D645" s="867">
        <f>IF(C645=0,0,C645/(C644+C645+C646))</f>
        <v>7.1428571428571425E-2</v>
      </c>
      <c r="E645">
        <v>10</v>
      </c>
      <c r="F645" s="875">
        <v>0.5</v>
      </c>
      <c r="G645" s="875">
        <v>0.64</v>
      </c>
    </row>
    <row r="646" spans="1:7" x14ac:dyDescent="0.25">
      <c r="A646" s="861">
        <v>4091</v>
      </c>
      <c r="B646" s="878" t="s">
        <v>663</v>
      </c>
      <c r="C646" s="866">
        <v>0</v>
      </c>
      <c r="D646" s="867">
        <f>IF(C646=0,0,C646/(C644+C645+C646))</f>
        <v>0</v>
      </c>
      <c r="E646">
        <v>11</v>
      </c>
      <c r="F646" s="875">
        <v>0</v>
      </c>
      <c r="G646" s="875">
        <v>0</v>
      </c>
    </row>
    <row r="647" spans="1:7" x14ac:dyDescent="0.25">
      <c r="A647" s="861">
        <v>4091</v>
      </c>
      <c r="B647" s="872" t="s">
        <v>664</v>
      </c>
      <c r="C647" s="868">
        <v>0</v>
      </c>
      <c r="D647" s="869">
        <f>IF(C647=0,0,C647/(C647+C648+C649))</f>
        <v>0</v>
      </c>
      <c r="E647">
        <v>12</v>
      </c>
      <c r="F647" s="875">
        <v>0</v>
      </c>
      <c r="G647" s="875">
        <v>0</v>
      </c>
    </row>
    <row r="648" spans="1:7" x14ac:dyDescent="0.25">
      <c r="A648" s="861">
        <v>4091</v>
      </c>
      <c r="B648" s="872" t="s">
        <v>665</v>
      </c>
      <c r="C648" s="868">
        <v>0</v>
      </c>
      <c r="D648" s="869">
        <f>IF(C648=0,0,C648/(C647+C648+C649))</f>
        <v>0</v>
      </c>
      <c r="E648">
        <v>13</v>
      </c>
      <c r="F648" s="875">
        <v>0</v>
      </c>
      <c r="G648" s="875">
        <v>0</v>
      </c>
    </row>
    <row r="649" spans="1:7" x14ac:dyDescent="0.25">
      <c r="A649" s="861">
        <v>4091</v>
      </c>
      <c r="B649" s="872" t="s">
        <v>666</v>
      </c>
      <c r="C649" s="868">
        <v>0</v>
      </c>
      <c r="D649" s="869">
        <f>IF(C649=0,0,C649/(C647+C648+C649))</f>
        <v>0</v>
      </c>
      <c r="E649">
        <v>14</v>
      </c>
      <c r="F649" s="875">
        <v>0</v>
      </c>
      <c r="G649" s="875">
        <v>0</v>
      </c>
    </row>
    <row r="650" spans="1:7" x14ac:dyDescent="0.25">
      <c r="A650" s="861">
        <v>4091</v>
      </c>
      <c r="B650" s="856"/>
      <c r="C650" s="880">
        <f>SUM(C641:C649)</f>
        <v>20</v>
      </c>
      <c r="D650" s="881">
        <v>1</v>
      </c>
      <c r="E650">
        <v>15</v>
      </c>
    </row>
    <row r="651" spans="1:7" x14ac:dyDescent="0.25">
      <c r="A651" s="861">
        <v>4100</v>
      </c>
      <c r="B651" s="862">
        <v>4100</v>
      </c>
      <c r="C651" s="883" t="s">
        <v>341</v>
      </c>
      <c r="D651" s="884"/>
      <c r="E651">
        <v>1</v>
      </c>
    </row>
    <row r="652" spans="1:7" x14ac:dyDescent="0.25">
      <c r="A652" s="861">
        <v>4100</v>
      </c>
      <c r="B652" s="856">
        <v>111</v>
      </c>
      <c r="C652" s="864">
        <v>2.5</v>
      </c>
      <c r="D652" s="865">
        <f>C652/C655</f>
        <v>0.7142857142857143</v>
      </c>
      <c r="E652">
        <v>2</v>
      </c>
    </row>
    <row r="653" spans="1:7" x14ac:dyDescent="0.25">
      <c r="A653" s="861">
        <v>4100</v>
      </c>
      <c r="B653" s="856">
        <v>112</v>
      </c>
      <c r="C653" s="866">
        <v>1</v>
      </c>
      <c r="D653" s="867">
        <f>C653/C655</f>
        <v>0.2857142857142857</v>
      </c>
      <c r="E653">
        <v>3</v>
      </c>
    </row>
    <row r="654" spans="1:7" x14ac:dyDescent="0.25">
      <c r="A654" s="861">
        <v>4100</v>
      </c>
      <c r="B654" s="856">
        <v>113</v>
      </c>
      <c r="C654" s="868">
        <v>0</v>
      </c>
      <c r="D654" s="869">
        <f>C654/C655</f>
        <v>0</v>
      </c>
      <c r="E654">
        <v>4</v>
      </c>
    </row>
    <row r="655" spans="1:7" x14ac:dyDescent="0.25">
      <c r="A655" s="861">
        <v>4100</v>
      </c>
      <c r="B655" s="856"/>
      <c r="C655" s="870">
        <f>SUM(C652:C654)</f>
        <v>3.5</v>
      </c>
      <c r="D655" s="871"/>
      <c r="E655">
        <v>5</v>
      </c>
    </row>
    <row r="656" spans="1:7" x14ac:dyDescent="0.25">
      <c r="A656" s="861">
        <v>4100</v>
      </c>
      <c r="B656" s="872" t="s">
        <v>658</v>
      </c>
      <c r="C656" s="882">
        <v>0</v>
      </c>
      <c r="D656" s="874">
        <f>IF(C656=0,0,C656/(C656+C657+C658))</f>
        <v>0</v>
      </c>
      <c r="E656">
        <v>6</v>
      </c>
      <c r="F656" s="875">
        <v>0</v>
      </c>
      <c r="G656" s="875">
        <v>0</v>
      </c>
    </row>
    <row r="657" spans="1:7" x14ac:dyDescent="0.25">
      <c r="A657" s="861">
        <v>4100</v>
      </c>
      <c r="B657" s="872" t="s">
        <v>659</v>
      </c>
      <c r="C657" s="864">
        <v>0</v>
      </c>
      <c r="D657" s="865">
        <f>IF(C657=0,0,C657/(C656+C657+C658))</f>
        <v>0</v>
      </c>
      <c r="E657">
        <v>7</v>
      </c>
      <c r="F657" s="875">
        <v>0</v>
      </c>
      <c r="G657" s="875">
        <v>0</v>
      </c>
    </row>
    <row r="658" spans="1:7" x14ac:dyDescent="0.25">
      <c r="A658" s="861">
        <v>4100</v>
      </c>
      <c r="B658" s="872" t="s">
        <v>660</v>
      </c>
      <c r="C658" s="864">
        <v>2.5</v>
      </c>
      <c r="D658" s="865">
        <f>IF(C658=0,0,C658/(C656+C657+C658))</f>
        <v>1</v>
      </c>
      <c r="E658">
        <v>8</v>
      </c>
      <c r="F658" s="875">
        <v>1</v>
      </c>
      <c r="G658" s="875">
        <v>1</v>
      </c>
    </row>
    <row r="659" spans="1:7" x14ac:dyDescent="0.25">
      <c r="A659" s="861">
        <v>4100</v>
      </c>
      <c r="B659" s="872" t="s">
        <v>661</v>
      </c>
      <c r="C659" s="866">
        <v>0</v>
      </c>
      <c r="D659" s="867">
        <f>IF(C659=0,0,C659/(C659+C660+C661))</f>
        <v>0</v>
      </c>
      <c r="E659">
        <v>9</v>
      </c>
      <c r="F659" s="875">
        <v>0</v>
      </c>
      <c r="G659" s="875">
        <v>0</v>
      </c>
    </row>
    <row r="660" spans="1:7" x14ac:dyDescent="0.25">
      <c r="A660" s="861">
        <v>4100</v>
      </c>
      <c r="B660" s="872" t="s">
        <v>662</v>
      </c>
      <c r="C660" s="866">
        <v>0</v>
      </c>
      <c r="D660" s="867">
        <f>IF(C660=0,0,C660/(C659+C660+C661))</f>
        <v>0</v>
      </c>
      <c r="E660">
        <v>10</v>
      </c>
      <c r="F660" s="875">
        <v>0</v>
      </c>
      <c r="G660" s="875">
        <v>0</v>
      </c>
    </row>
    <row r="661" spans="1:7" x14ac:dyDescent="0.25">
      <c r="A661" s="861">
        <v>4100</v>
      </c>
      <c r="B661" s="872" t="s">
        <v>663</v>
      </c>
      <c r="C661" s="866">
        <v>1</v>
      </c>
      <c r="D661" s="867">
        <f>IF(C661=0,0,C661/(C659+C660+C661))</f>
        <v>1</v>
      </c>
      <c r="E661">
        <v>11</v>
      </c>
      <c r="F661" s="875">
        <v>1</v>
      </c>
      <c r="G661" s="875">
        <v>1</v>
      </c>
    </row>
    <row r="662" spans="1:7" x14ac:dyDescent="0.25">
      <c r="A662" s="861">
        <v>4100</v>
      </c>
      <c r="B662" s="872" t="s">
        <v>664</v>
      </c>
      <c r="C662" s="868">
        <v>0</v>
      </c>
      <c r="D662" s="869">
        <f>IF(C662=0,0,C662/(C662+C663+C664))</f>
        <v>0</v>
      </c>
      <c r="E662">
        <v>12</v>
      </c>
      <c r="F662" s="875">
        <v>0</v>
      </c>
      <c r="G662" s="875">
        <v>0</v>
      </c>
    </row>
    <row r="663" spans="1:7" x14ac:dyDescent="0.25">
      <c r="A663" s="861">
        <v>4100</v>
      </c>
      <c r="B663" s="872" t="s">
        <v>665</v>
      </c>
      <c r="C663" s="868">
        <v>0</v>
      </c>
      <c r="D663" s="869">
        <f>IF(C663=0,0,C663/(C662+C663+C664))</f>
        <v>0</v>
      </c>
      <c r="E663">
        <v>13</v>
      </c>
      <c r="F663" s="875">
        <v>0</v>
      </c>
      <c r="G663" s="875">
        <v>0</v>
      </c>
    </row>
    <row r="664" spans="1:7" x14ac:dyDescent="0.25">
      <c r="A664" s="861">
        <v>4100</v>
      </c>
      <c r="B664" s="872" t="s">
        <v>666</v>
      </c>
      <c r="C664" s="868">
        <v>0</v>
      </c>
      <c r="D664" s="869">
        <f>IF(C664=0,0,C664/(C662+C663+C664))</f>
        <v>0</v>
      </c>
      <c r="E664">
        <v>14</v>
      </c>
      <c r="F664" s="875">
        <v>0</v>
      </c>
      <c r="G664" s="875">
        <v>0</v>
      </c>
    </row>
    <row r="665" spans="1:7" x14ac:dyDescent="0.25">
      <c r="A665" s="861">
        <v>4100</v>
      </c>
      <c r="B665" s="856"/>
      <c r="C665" s="880">
        <f>SUM(C656:C664)</f>
        <v>3.5</v>
      </c>
      <c r="D665" s="881">
        <v>1</v>
      </c>
      <c r="E665">
        <v>15</v>
      </c>
    </row>
    <row r="666" spans="1:7" x14ac:dyDescent="0.25">
      <c r="A666" s="861">
        <v>4102</v>
      </c>
      <c r="B666" s="862">
        <v>4102</v>
      </c>
      <c r="C666" s="883" t="s">
        <v>342</v>
      </c>
      <c r="D666" s="884"/>
      <c r="E666">
        <v>1</v>
      </c>
    </row>
    <row r="667" spans="1:7" x14ac:dyDescent="0.25">
      <c r="A667" s="861">
        <v>4102</v>
      </c>
      <c r="B667" s="856">
        <v>111</v>
      </c>
      <c r="C667" s="864">
        <v>4</v>
      </c>
      <c r="D667" s="865">
        <f>C667/C670</f>
        <v>0.45454545454545453</v>
      </c>
      <c r="E667">
        <v>2</v>
      </c>
    </row>
    <row r="668" spans="1:7" x14ac:dyDescent="0.25">
      <c r="A668" s="861">
        <v>4102</v>
      </c>
      <c r="B668" s="856">
        <v>112</v>
      </c>
      <c r="C668" s="866">
        <v>4.8</v>
      </c>
      <c r="D668" s="867">
        <f>C668/C670</f>
        <v>0.54545454545454541</v>
      </c>
      <c r="E668">
        <v>3</v>
      </c>
    </row>
    <row r="669" spans="1:7" x14ac:dyDescent="0.25">
      <c r="A669" s="861">
        <v>4102</v>
      </c>
      <c r="B669" s="856">
        <v>113</v>
      </c>
      <c r="C669" s="868">
        <v>0</v>
      </c>
      <c r="D669" s="869">
        <f>C669/C670</f>
        <v>0</v>
      </c>
      <c r="E669">
        <v>4</v>
      </c>
    </row>
    <row r="670" spans="1:7" x14ac:dyDescent="0.25">
      <c r="A670" s="861">
        <v>4102</v>
      </c>
      <c r="B670" s="856"/>
      <c r="C670" s="870">
        <f>SUM(C667:C669)</f>
        <v>8.8000000000000007</v>
      </c>
      <c r="D670" s="871"/>
      <c r="E670">
        <v>5</v>
      </c>
    </row>
    <row r="671" spans="1:7" x14ac:dyDescent="0.25">
      <c r="A671" s="861">
        <v>4102</v>
      </c>
      <c r="B671" s="872" t="s">
        <v>658</v>
      </c>
      <c r="C671" s="882">
        <v>2.5</v>
      </c>
      <c r="D671" s="874">
        <f>IF(C671=0,0,C671/(C671+C672+C673))</f>
        <v>0.625</v>
      </c>
      <c r="E671">
        <v>6</v>
      </c>
      <c r="F671" s="875">
        <v>2.5</v>
      </c>
      <c r="G671" s="875">
        <v>3.46</v>
      </c>
    </row>
    <row r="672" spans="1:7" x14ac:dyDescent="0.25">
      <c r="A672" s="861">
        <v>4102</v>
      </c>
      <c r="B672" s="872" t="s">
        <v>659</v>
      </c>
      <c r="C672" s="864">
        <v>1.5</v>
      </c>
      <c r="D672" s="865">
        <f>IF(C672=0,0,C672/(C671+C672+C673))</f>
        <v>0.375</v>
      </c>
      <c r="E672">
        <v>7</v>
      </c>
      <c r="F672" s="875">
        <v>1.5</v>
      </c>
      <c r="G672" s="875">
        <v>2.08</v>
      </c>
    </row>
    <row r="673" spans="1:7" x14ac:dyDescent="0.25">
      <c r="A673" s="861">
        <v>4102</v>
      </c>
      <c r="B673" s="872" t="s">
        <v>660</v>
      </c>
      <c r="C673" s="864">
        <v>0</v>
      </c>
      <c r="D673" s="865">
        <f>IF(C673=0,0,C673/(C671+C672+C673))</f>
        <v>0</v>
      </c>
      <c r="E673">
        <v>8</v>
      </c>
      <c r="F673" s="875">
        <v>0</v>
      </c>
      <c r="G673" s="875">
        <v>0</v>
      </c>
    </row>
    <row r="674" spans="1:7" x14ac:dyDescent="0.25">
      <c r="A674" s="861">
        <v>4102</v>
      </c>
      <c r="B674" s="872" t="s">
        <v>661</v>
      </c>
      <c r="C674" s="866">
        <v>3.3</v>
      </c>
      <c r="D674" s="867">
        <f>IF(C674=0,0,C674/(C674+C675+C676))</f>
        <v>0.6875</v>
      </c>
      <c r="E674">
        <v>9</v>
      </c>
      <c r="F674" s="875">
        <v>3.65</v>
      </c>
      <c r="G674" s="875">
        <v>2.61</v>
      </c>
    </row>
    <row r="675" spans="1:7" x14ac:dyDescent="0.25">
      <c r="A675" s="861">
        <v>4102</v>
      </c>
      <c r="B675" s="872" t="s">
        <v>662</v>
      </c>
      <c r="C675" s="866">
        <v>1.5</v>
      </c>
      <c r="D675" s="867">
        <f>IF(C675=0,0,C675/(C674+C675+C676))</f>
        <v>0.3125</v>
      </c>
      <c r="E675">
        <v>10</v>
      </c>
      <c r="F675" s="875">
        <v>1.66</v>
      </c>
      <c r="G675" s="875">
        <v>1.19</v>
      </c>
    </row>
    <row r="676" spans="1:7" x14ac:dyDescent="0.25">
      <c r="A676" s="861">
        <v>4102</v>
      </c>
      <c r="B676" s="872" t="s">
        <v>663</v>
      </c>
      <c r="C676" s="866">
        <v>0</v>
      </c>
      <c r="D676" s="867">
        <f>IF(C676=0,0,C676/(C674+C675+C676))</f>
        <v>0</v>
      </c>
      <c r="E676">
        <v>11</v>
      </c>
      <c r="F676" s="875">
        <v>0</v>
      </c>
      <c r="G676" s="875">
        <v>0</v>
      </c>
    </row>
    <row r="677" spans="1:7" x14ac:dyDescent="0.25">
      <c r="A677" s="861">
        <v>4102</v>
      </c>
      <c r="B677" s="872" t="s">
        <v>664</v>
      </c>
      <c r="C677" s="868">
        <v>0</v>
      </c>
      <c r="D677" s="869">
        <f>IF(C677=0,0,C677/(C677+C678+C679))</f>
        <v>0</v>
      </c>
      <c r="E677">
        <v>12</v>
      </c>
      <c r="F677" s="875">
        <v>0</v>
      </c>
      <c r="G677" s="875">
        <v>0</v>
      </c>
    </row>
    <row r="678" spans="1:7" x14ac:dyDescent="0.25">
      <c r="A678" s="861">
        <v>4102</v>
      </c>
      <c r="B678" s="872" t="s">
        <v>665</v>
      </c>
      <c r="C678" s="868">
        <v>0</v>
      </c>
      <c r="D678" s="869">
        <f>IF(C678=0,0,C678/(C677+C678+C679))</f>
        <v>0</v>
      </c>
      <c r="E678">
        <v>13</v>
      </c>
      <c r="F678" s="875">
        <v>0</v>
      </c>
      <c r="G678" s="875">
        <v>0</v>
      </c>
    </row>
    <row r="679" spans="1:7" x14ac:dyDescent="0.25">
      <c r="A679" s="861">
        <v>4102</v>
      </c>
      <c r="B679" s="872" t="s">
        <v>666</v>
      </c>
      <c r="C679" s="868">
        <v>0</v>
      </c>
      <c r="D679" s="869">
        <f>IF(C679=0,0,C679/(C677+C678+C679))</f>
        <v>0</v>
      </c>
      <c r="E679">
        <v>14</v>
      </c>
      <c r="F679" s="875">
        <v>0</v>
      </c>
      <c r="G679" s="875">
        <v>0</v>
      </c>
    </row>
    <row r="680" spans="1:7" x14ac:dyDescent="0.25">
      <c r="A680" s="861">
        <v>4102</v>
      </c>
      <c r="B680" s="856"/>
      <c r="C680" s="880">
        <f>SUM(C671:C679)</f>
        <v>8.8000000000000007</v>
      </c>
      <c r="D680" s="881">
        <v>1</v>
      </c>
      <c r="E680">
        <v>15</v>
      </c>
    </row>
    <row r="681" spans="1:7" x14ac:dyDescent="0.25">
      <c r="A681" s="861">
        <v>4103</v>
      </c>
      <c r="B681" s="862">
        <v>4103</v>
      </c>
      <c r="C681" s="883" t="s">
        <v>696</v>
      </c>
      <c r="D681" s="884"/>
      <c r="E681">
        <v>1</v>
      </c>
    </row>
    <row r="682" spans="1:7" x14ac:dyDescent="0.25">
      <c r="A682" s="861">
        <v>4103</v>
      </c>
      <c r="B682" s="856">
        <v>111</v>
      </c>
      <c r="C682" s="864">
        <v>0</v>
      </c>
      <c r="D682" s="865">
        <f>C682/C685</f>
        <v>0</v>
      </c>
      <c r="E682">
        <v>2</v>
      </c>
    </row>
    <row r="683" spans="1:7" x14ac:dyDescent="0.25">
      <c r="A683" s="861">
        <v>4103</v>
      </c>
      <c r="B683" s="856">
        <v>112</v>
      </c>
      <c r="C683" s="866">
        <v>24.5</v>
      </c>
      <c r="D683" s="867">
        <f>C683/C685</f>
        <v>0.43828264758497315</v>
      </c>
      <c r="E683">
        <v>3</v>
      </c>
    </row>
    <row r="684" spans="1:7" x14ac:dyDescent="0.25">
      <c r="A684" s="861">
        <v>4103</v>
      </c>
      <c r="B684" s="856">
        <v>113</v>
      </c>
      <c r="C684" s="868">
        <v>31.4</v>
      </c>
      <c r="D684" s="869">
        <f>C684/C685</f>
        <v>0.56171735241502685</v>
      </c>
      <c r="E684">
        <v>4</v>
      </c>
    </row>
    <row r="685" spans="1:7" x14ac:dyDescent="0.25">
      <c r="A685" s="861">
        <v>4103</v>
      </c>
      <c r="B685" s="856"/>
      <c r="C685" s="870">
        <f>SUM(C682:C684)</f>
        <v>55.9</v>
      </c>
      <c r="D685" s="871"/>
      <c r="E685">
        <v>5</v>
      </c>
    </row>
    <row r="686" spans="1:7" x14ac:dyDescent="0.25">
      <c r="A686" s="861">
        <v>4103</v>
      </c>
      <c r="B686" s="872" t="s">
        <v>658</v>
      </c>
      <c r="C686" s="882">
        <v>0</v>
      </c>
      <c r="D686" s="874">
        <f>IF(C686=0,0,C686/(C686+C687+C688))</f>
        <v>0</v>
      </c>
      <c r="E686">
        <v>6</v>
      </c>
      <c r="F686" s="875">
        <v>0</v>
      </c>
      <c r="G686" s="875">
        <v>0</v>
      </c>
    </row>
    <row r="687" spans="1:7" x14ac:dyDescent="0.25">
      <c r="A687" s="861">
        <v>4103</v>
      </c>
      <c r="B687" s="872" t="s">
        <v>659</v>
      </c>
      <c r="C687" s="864">
        <v>0</v>
      </c>
      <c r="D687" s="865">
        <f>IF(C687=0,0,C687/(C686+C687+C688))</f>
        <v>0</v>
      </c>
      <c r="E687">
        <v>7</v>
      </c>
      <c r="F687" s="875">
        <v>0</v>
      </c>
      <c r="G687" s="875">
        <v>0</v>
      </c>
    </row>
    <row r="688" spans="1:7" x14ac:dyDescent="0.25">
      <c r="A688" s="861">
        <v>4103</v>
      </c>
      <c r="B688" s="872" t="s">
        <v>660</v>
      </c>
      <c r="C688" s="864">
        <v>0</v>
      </c>
      <c r="D688" s="865">
        <f>IF(C688=0,0,C688/(C686+C687+C688))</f>
        <v>0</v>
      </c>
      <c r="E688">
        <v>8</v>
      </c>
      <c r="F688" s="875">
        <v>0</v>
      </c>
      <c r="G688" s="875">
        <v>0</v>
      </c>
    </row>
    <row r="689" spans="1:7" x14ac:dyDescent="0.25">
      <c r="A689" s="861">
        <v>4103</v>
      </c>
      <c r="B689" s="872" t="s">
        <v>661</v>
      </c>
      <c r="C689" s="866">
        <v>17</v>
      </c>
      <c r="D689" s="867">
        <f>IF(C689=0,0,C689/(C689+C690+C691))</f>
        <v>0.69387755102040816</v>
      </c>
      <c r="E689">
        <v>9</v>
      </c>
      <c r="F689" s="875">
        <v>17.03</v>
      </c>
      <c r="G689" s="875">
        <v>17.71</v>
      </c>
    </row>
    <row r="690" spans="1:7" x14ac:dyDescent="0.25">
      <c r="A690" s="861">
        <v>4103</v>
      </c>
      <c r="B690" s="872" t="s">
        <v>662</v>
      </c>
      <c r="C690" s="866">
        <v>7.5</v>
      </c>
      <c r="D690" s="867">
        <f>IF(C690=0,0,C690/(C689+C690+C691))</f>
        <v>0.30612244897959184</v>
      </c>
      <c r="E690">
        <v>10</v>
      </c>
      <c r="F690" s="875">
        <v>7.51</v>
      </c>
      <c r="G690" s="875">
        <v>7.81</v>
      </c>
    </row>
    <row r="691" spans="1:7" x14ac:dyDescent="0.25">
      <c r="A691" s="861">
        <v>4103</v>
      </c>
      <c r="B691" s="872" t="s">
        <v>663</v>
      </c>
      <c r="C691" s="866">
        <v>0</v>
      </c>
      <c r="D691" s="867">
        <f>IF(C691=0,0,C691/(C689+C690+C691))</f>
        <v>0</v>
      </c>
      <c r="E691">
        <v>11</v>
      </c>
      <c r="F691" s="875">
        <v>0</v>
      </c>
      <c r="G691" s="875">
        <v>0</v>
      </c>
    </row>
    <row r="692" spans="1:7" x14ac:dyDescent="0.25">
      <c r="A692" s="861">
        <v>4103</v>
      </c>
      <c r="B692" s="872" t="s">
        <v>664</v>
      </c>
      <c r="C692" s="868">
        <v>22.4</v>
      </c>
      <c r="D692" s="869">
        <f>IF(C692=0,0,C692/(C692+C693+C694))</f>
        <v>0.7133757961783439</v>
      </c>
      <c r="E692">
        <v>12</v>
      </c>
      <c r="F692" s="875">
        <v>22.37</v>
      </c>
      <c r="G692" s="875">
        <v>22.23</v>
      </c>
    </row>
    <row r="693" spans="1:7" x14ac:dyDescent="0.25">
      <c r="A693" s="861">
        <v>4103</v>
      </c>
      <c r="B693" s="872" t="s">
        <v>665</v>
      </c>
      <c r="C693" s="868">
        <v>9</v>
      </c>
      <c r="D693" s="869">
        <f>IF(C693=0,0,C693/(C692+C693+C694))</f>
        <v>0.28662420382165604</v>
      </c>
      <c r="E693">
        <v>13</v>
      </c>
      <c r="F693" s="875">
        <v>8.99</v>
      </c>
      <c r="G693" s="875">
        <v>8.93</v>
      </c>
    </row>
    <row r="694" spans="1:7" x14ac:dyDescent="0.25">
      <c r="A694" s="861">
        <v>4103</v>
      </c>
      <c r="B694" s="872" t="s">
        <v>666</v>
      </c>
      <c r="C694" s="868">
        <v>0</v>
      </c>
      <c r="D694" s="869">
        <f>IF(C694=0,0,C694/(C692+C693+C694))</f>
        <v>0</v>
      </c>
      <c r="E694">
        <v>14</v>
      </c>
      <c r="F694" s="875">
        <v>0</v>
      </c>
      <c r="G694" s="875">
        <v>0</v>
      </c>
    </row>
    <row r="695" spans="1:7" x14ac:dyDescent="0.25">
      <c r="A695" s="861">
        <v>4103</v>
      </c>
      <c r="B695" s="856"/>
      <c r="C695" s="880">
        <f>SUM(C686:C694)</f>
        <v>55.9</v>
      </c>
      <c r="D695" s="881">
        <v>1</v>
      </c>
      <c r="E695">
        <v>15</v>
      </c>
    </row>
    <row r="696" spans="1:7" x14ac:dyDescent="0.25">
      <c r="A696" s="861">
        <v>4111</v>
      </c>
      <c r="B696" s="862">
        <v>4111</v>
      </c>
      <c r="C696" s="883" t="s">
        <v>697</v>
      </c>
      <c r="D696" s="884"/>
      <c r="E696">
        <v>1</v>
      </c>
    </row>
    <row r="697" spans="1:7" x14ac:dyDescent="0.25">
      <c r="A697" s="861">
        <v>4111</v>
      </c>
      <c r="B697" s="856">
        <v>111</v>
      </c>
      <c r="C697" s="864">
        <v>0</v>
      </c>
      <c r="D697" s="865">
        <f>C697/C700</f>
        <v>0</v>
      </c>
      <c r="E697">
        <v>2</v>
      </c>
    </row>
    <row r="698" spans="1:7" x14ac:dyDescent="0.25">
      <c r="A698" s="861">
        <v>4111</v>
      </c>
      <c r="B698" s="856">
        <v>112</v>
      </c>
      <c r="C698" s="866">
        <v>0</v>
      </c>
      <c r="D698" s="867">
        <f>C698/C700</f>
        <v>0</v>
      </c>
      <c r="E698">
        <v>3</v>
      </c>
    </row>
    <row r="699" spans="1:7" x14ac:dyDescent="0.25">
      <c r="A699" s="861">
        <v>4111</v>
      </c>
      <c r="B699" s="856">
        <v>113</v>
      </c>
      <c r="C699" s="868">
        <v>18.5</v>
      </c>
      <c r="D699" s="869">
        <f>C699/C700</f>
        <v>1</v>
      </c>
      <c r="E699">
        <v>4</v>
      </c>
    </row>
    <row r="700" spans="1:7" x14ac:dyDescent="0.25">
      <c r="A700" s="861">
        <v>4111</v>
      </c>
      <c r="B700" s="856"/>
      <c r="C700" s="870">
        <f>SUM(C697:C699)</f>
        <v>18.5</v>
      </c>
      <c r="D700" s="871"/>
      <c r="E700">
        <v>5</v>
      </c>
    </row>
    <row r="701" spans="1:7" x14ac:dyDescent="0.25">
      <c r="A701" s="861">
        <v>4111</v>
      </c>
      <c r="B701" s="872" t="s">
        <v>658</v>
      </c>
      <c r="C701" s="882">
        <v>0</v>
      </c>
      <c r="D701" s="874">
        <f>IF(C701=0,0,C701/(C701+C702+C703))</f>
        <v>0</v>
      </c>
      <c r="E701">
        <v>6</v>
      </c>
      <c r="F701" s="875">
        <v>0</v>
      </c>
      <c r="G701" s="875">
        <v>0</v>
      </c>
    </row>
    <row r="702" spans="1:7" x14ac:dyDescent="0.25">
      <c r="A702" s="861">
        <v>4111</v>
      </c>
      <c r="B702" s="872" t="s">
        <v>659</v>
      </c>
      <c r="C702" s="864">
        <v>0</v>
      </c>
      <c r="D702" s="865">
        <f>IF(C702=0,0,C702/(C701+C702+C703))</f>
        <v>0</v>
      </c>
      <c r="E702">
        <v>7</v>
      </c>
      <c r="F702" s="875">
        <v>0</v>
      </c>
      <c r="G702" s="875">
        <v>0</v>
      </c>
    </row>
    <row r="703" spans="1:7" x14ac:dyDescent="0.25">
      <c r="A703" s="861">
        <v>4111</v>
      </c>
      <c r="B703" s="872" t="s">
        <v>660</v>
      </c>
      <c r="C703" s="864">
        <v>0</v>
      </c>
      <c r="D703" s="865">
        <f>IF(C703=0,0,C703/(C701+C702+C703))</f>
        <v>0</v>
      </c>
      <c r="E703">
        <v>8</v>
      </c>
      <c r="F703" s="875">
        <v>0</v>
      </c>
      <c r="G703" s="875">
        <v>0</v>
      </c>
    </row>
    <row r="704" spans="1:7" x14ac:dyDescent="0.25">
      <c r="A704" s="861">
        <v>4111</v>
      </c>
      <c r="B704" s="872" t="s">
        <v>661</v>
      </c>
      <c r="C704" s="866">
        <v>0</v>
      </c>
      <c r="D704" s="867">
        <f>IF(C704=0,0,C704/(C704+C705+C706))</f>
        <v>0</v>
      </c>
      <c r="E704">
        <v>9</v>
      </c>
      <c r="F704" s="875">
        <v>0</v>
      </c>
      <c r="G704" s="875">
        <v>0</v>
      </c>
    </row>
    <row r="705" spans="1:7" x14ac:dyDescent="0.25">
      <c r="A705" s="861">
        <v>4111</v>
      </c>
      <c r="B705" s="872" t="s">
        <v>662</v>
      </c>
      <c r="C705" s="866">
        <v>0</v>
      </c>
      <c r="D705" s="867">
        <f>IF(C705=0,0,C705/(C704+C705+C706))</f>
        <v>0</v>
      </c>
      <c r="E705">
        <v>10</v>
      </c>
      <c r="F705" s="875">
        <v>0</v>
      </c>
      <c r="G705" s="875">
        <v>0</v>
      </c>
    </row>
    <row r="706" spans="1:7" x14ac:dyDescent="0.25">
      <c r="A706" s="861">
        <v>4111</v>
      </c>
      <c r="B706" s="872" t="s">
        <v>663</v>
      </c>
      <c r="C706" s="866">
        <v>0</v>
      </c>
      <c r="D706" s="867">
        <f>IF(C706=0,0,C706/(C704+C705+C706))</f>
        <v>0</v>
      </c>
      <c r="E706">
        <v>11</v>
      </c>
      <c r="F706" s="875">
        <v>0</v>
      </c>
      <c r="G706" s="875">
        <v>0</v>
      </c>
    </row>
    <row r="707" spans="1:7" x14ac:dyDescent="0.25">
      <c r="A707" s="861">
        <v>4111</v>
      </c>
      <c r="B707" s="872" t="s">
        <v>664</v>
      </c>
      <c r="C707" s="868">
        <v>18.5</v>
      </c>
      <c r="D707" s="869">
        <f>IF(C707=0,0,C707/(C707+C708+C709))</f>
        <v>1</v>
      </c>
      <c r="E707">
        <v>12</v>
      </c>
      <c r="F707" s="875">
        <v>18.5</v>
      </c>
      <c r="G707" s="875">
        <v>18.57</v>
      </c>
    </row>
    <row r="708" spans="1:7" x14ac:dyDescent="0.25">
      <c r="A708" s="861">
        <v>4111</v>
      </c>
      <c r="B708" s="872" t="s">
        <v>665</v>
      </c>
      <c r="C708" s="868">
        <v>0</v>
      </c>
      <c r="D708" s="869">
        <f>IF(C708=0,0,C708/(C707+C708+C709))</f>
        <v>0</v>
      </c>
      <c r="E708">
        <v>13</v>
      </c>
      <c r="F708" s="875">
        <v>0</v>
      </c>
      <c r="G708" s="875">
        <v>0</v>
      </c>
    </row>
    <row r="709" spans="1:7" x14ac:dyDescent="0.25">
      <c r="A709" s="861">
        <v>4111</v>
      </c>
      <c r="B709" s="872" t="s">
        <v>666</v>
      </c>
      <c r="C709" s="868">
        <v>0</v>
      </c>
      <c r="D709" s="869">
        <f>IF(C709=0,0,C709/(C707+C708+C709))</f>
        <v>0</v>
      </c>
      <c r="E709">
        <v>14</v>
      </c>
      <c r="F709" s="875">
        <v>0</v>
      </c>
      <c r="G709" s="875">
        <v>0</v>
      </c>
    </row>
    <row r="710" spans="1:7" x14ac:dyDescent="0.25">
      <c r="A710" s="861">
        <v>4111</v>
      </c>
      <c r="B710" s="856"/>
      <c r="C710" s="880">
        <f>SUM(C701:C709)</f>
        <v>18.5</v>
      </c>
      <c r="D710" s="881">
        <v>1</v>
      </c>
      <c r="E710">
        <v>15</v>
      </c>
    </row>
    <row r="711" spans="1:7" x14ac:dyDescent="0.25">
      <c r="A711" s="861">
        <v>4131</v>
      </c>
      <c r="B711" s="862">
        <v>4131</v>
      </c>
      <c r="C711" s="883" t="s">
        <v>345</v>
      </c>
      <c r="D711" s="884"/>
      <c r="E711">
        <v>1</v>
      </c>
    </row>
    <row r="712" spans="1:7" x14ac:dyDescent="0.25">
      <c r="A712" s="861">
        <v>4131</v>
      </c>
      <c r="B712" s="856">
        <v>111</v>
      </c>
      <c r="C712" s="864">
        <v>0</v>
      </c>
      <c r="D712" s="865">
        <f>C712/C715</f>
        <v>0</v>
      </c>
      <c r="E712">
        <v>2</v>
      </c>
    </row>
    <row r="713" spans="1:7" x14ac:dyDescent="0.25">
      <c r="A713" s="861">
        <v>4131</v>
      </c>
      <c r="B713" s="856">
        <v>112</v>
      </c>
      <c r="C713" s="866">
        <v>0</v>
      </c>
      <c r="D713" s="867">
        <f>C713/C715</f>
        <v>0</v>
      </c>
      <c r="E713">
        <v>3</v>
      </c>
    </row>
    <row r="714" spans="1:7" x14ac:dyDescent="0.25">
      <c r="A714" s="861">
        <v>4131</v>
      </c>
      <c r="B714" s="856">
        <v>113</v>
      </c>
      <c r="C714" s="868">
        <v>7</v>
      </c>
      <c r="D714" s="869">
        <f>C714/C715</f>
        <v>1</v>
      </c>
      <c r="E714">
        <v>4</v>
      </c>
    </row>
    <row r="715" spans="1:7" x14ac:dyDescent="0.25">
      <c r="A715" s="861">
        <v>4131</v>
      </c>
      <c r="B715" s="856"/>
      <c r="C715" s="870">
        <f>SUM(C712:C714)</f>
        <v>7</v>
      </c>
      <c r="D715" s="871"/>
      <c r="E715">
        <v>5</v>
      </c>
    </row>
    <row r="716" spans="1:7" x14ac:dyDescent="0.25">
      <c r="A716" s="861">
        <v>4131</v>
      </c>
      <c r="B716" s="872" t="s">
        <v>658</v>
      </c>
      <c r="C716" s="882">
        <v>0</v>
      </c>
      <c r="D716" s="874">
        <f>IF(C716=0,0,C716/(C716+C717+C718))</f>
        <v>0</v>
      </c>
      <c r="E716">
        <v>6</v>
      </c>
      <c r="F716" s="875">
        <v>0</v>
      </c>
      <c r="G716" s="875">
        <v>0</v>
      </c>
    </row>
    <row r="717" spans="1:7" x14ac:dyDescent="0.25">
      <c r="A717" s="861">
        <v>4131</v>
      </c>
      <c r="B717" s="872" t="s">
        <v>659</v>
      </c>
      <c r="C717" s="864">
        <v>0</v>
      </c>
      <c r="D717" s="865">
        <f>IF(C717=0,0,C717/(C716+C717+C718))</f>
        <v>0</v>
      </c>
      <c r="E717">
        <v>7</v>
      </c>
      <c r="F717" s="875">
        <v>0</v>
      </c>
      <c r="G717" s="875">
        <v>0</v>
      </c>
    </row>
    <row r="718" spans="1:7" x14ac:dyDescent="0.25">
      <c r="A718" s="861">
        <v>4131</v>
      </c>
      <c r="B718" s="872" t="s">
        <v>660</v>
      </c>
      <c r="C718" s="864">
        <v>0</v>
      </c>
      <c r="D718" s="865">
        <f>IF(C718=0,0,C718/(C716+C717+C718))</f>
        <v>0</v>
      </c>
      <c r="E718">
        <v>8</v>
      </c>
      <c r="F718" s="875">
        <v>0</v>
      </c>
      <c r="G718" s="875">
        <v>0</v>
      </c>
    </row>
    <row r="719" spans="1:7" x14ac:dyDescent="0.25">
      <c r="A719" s="861">
        <v>4131</v>
      </c>
      <c r="B719" s="872" t="s">
        <v>661</v>
      </c>
      <c r="C719" s="866">
        <v>0</v>
      </c>
      <c r="D719" s="867">
        <f>IF(C719=0,0,C719/(C719+C720+C721))</f>
        <v>0</v>
      </c>
      <c r="E719">
        <v>9</v>
      </c>
      <c r="F719" s="875">
        <v>0</v>
      </c>
      <c r="G719" s="875">
        <v>0</v>
      </c>
    </row>
    <row r="720" spans="1:7" x14ac:dyDescent="0.25">
      <c r="A720" s="861">
        <v>4131</v>
      </c>
      <c r="B720" s="872" t="s">
        <v>662</v>
      </c>
      <c r="C720" s="866">
        <v>0</v>
      </c>
      <c r="D720" s="867">
        <f>IF(C720=0,0,C720/(C719+C720+C721))</f>
        <v>0</v>
      </c>
      <c r="E720">
        <v>10</v>
      </c>
      <c r="F720" s="875">
        <v>0</v>
      </c>
      <c r="G720" s="875">
        <v>0</v>
      </c>
    </row>
    <row r="721" spans="1:7" x14ac:dyDescent="0.25">
      <c r="A721" s="861">
        <v>4131</v>
      </c>
      <c r="B721" s="872" t="s">
        <v>663</v>
      </c>
      <c r="C721" s="866">
        <v>0</v>
      </c>
      <c r="D721" s="867">
        <f>IF(C721=0,0,C721/(C719+C720+C721))</f>
        <v>0</v>
      </c>
      <c r="E721">
        <v>11</v>
      </c>
      <c r="F721" s="875">
        <v>0</v>
      </c>
      <c r="G721" s="875">
        <v>0</v>
      </c>
    </row>
    <row r="722" spans="1:7" x14ac:dyDescent="0.25">
      <c r="A722" s="861">
        <v>4131</v>
      </c>
      <c r="B722" s="872" t="s">
        <v>664</v>
      </c>
      <c r="C722" s="868">
        <v>7</v>
      </c>
      <c r="D722" s="869">
        <f>IF(C722=0,0,C722/(C722+C723+C724))</f>
        <v>1</v>
      </c>
      <c r="E722">
        <v>12</v>
      </c>
      <c r="F722" s="875">
        <v>7</v>
      </c>
      <c r="G722" s="875">
        <v>4.97</v>
      </c>
    </row>
    <row r="723" spans="1:7" x14ac:dyDescent="0.25">
      <c r="A723" s="861">
        <v>4131</v>
      </c>
      <c r="B723" s="872" t="s">
        <v>665</v>
      </c>
      <c r="C723" s="868">
        <v>0</v>
      </c>
      <c r="D723" s="869">
        <f>IF(C723=0,0,C723/(C722+C723+C724))</f>
        <v>0</v>
      </c>
      <c r="E723">
        <v>13</v>
      </c>
      <c r="F723" s="875">
        <v>0</v>
      </c>
      <c r="G723" s="875">
        <v>0</v>
      </c>
    </row>
    <row r="724" spans="1:7" x14ac:dyDescent="0.25">
      <c r="A724" s="861">
        <v>4131</v>
      </c>
      <c r="B724" s="872" t="s">
        <v>666</v>
      </c>
      <c r="C724" s="868">
        <v>0</v>
      </c>
      <c r="D724" s="869">
        <f>IF(C724=0,0,C724/(C722+C723+C724))</f>
        <v>0</v>
      </c>
      <c r="E724">
        <v>14</v>
      </c>
      <c r="F724" s="875">
        <v>0</v>
      </c>
      <c r="G724" s="875">
        <v>0</v>
      </c>
    </row>
    <row r="725" spans="1:7" x14ac:dyDescent="0.25">
      <c r="A725" s="861">
        <v>4131</v>
      </c>
      <c r="B725" s="856"/>
      <c r="C725" s="880">
        <f>SUM(C716:C724)</f>
        <v>7</v>
      </c>
      <c r="D725" s="881">
        <v>1</v>
      </c>
      <c r="E725">
        <v>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0092D-181A-4F79-8F72-F64CF179C59D}">
  <sheetPr>
    <tabColor rgb="FFFFC000"/>
    <outlinePr summaryBelow="0" summaryRight="0"/>
  </sheetPr>
  <dimension ref="A1:U1212"/>
  <sheetViews>
    <sheetView zoomScale="120" zoomScaleNormal="120" workbookViewId="0">
      <pane ySplit="2" topLeftCell="A113" activePane="bottomLeft" state="frozen"/>
      <selection activeCell="B1" sqref="B1"/>
      <selection pane="bottomLeft" activeCell="J133" activeCellId="1" sqref="J136 J133"/>
    </sheetView>
  </sheetViews>
  <sheetFormatPr defaultColWidth="12.5703125" defaultRowHeight="15.75" customHeight="1" x14ac:dyDescent="0.25"/>
  <cols>
    <col min="1" max="1" width="9.140625"/>
    <col min="2" max="2" width="8.85546875" bestFit="1" customWidth="1"/>
    <col min="3" max="3" width="11.7109375" style="759" customWidth="1"/>
    <col min="4" max="6" width="12.7109375" customWidth="1"/>
    <col min="7" max="7" width="12.5703125" style="693"/>
    <col min="8" max="8" width="9.85546875" style="777" bestFit="1" customWidth="1"/>
    <col min="9" max="9" width="12.5703125" style="766"/>
    <col min="10" max="13" width="12.5703125" style="784"/>
    <col min="14" max="14" width="5.7109375" style="693" customWidth="1"/>
    <col min="15" max="15" width="5.7109375" style="810" customWidth="1"/>
    <col min="16" max="16" width="8.42578125" style="693" bestFit="1" customWidth="1"/>
    <col min="17" max="17" width="39" style="693" customWidth="1"/>
    <col min="18" max="18" width="7.85546875" style="693" customWidth="1"/>
    <col min="19" max="19" width="8.42578125" style="693" bestFit="1" customWidth="1"/>
    <col min="20" max="16384" width="12.5703125" style="693"/>
  </cols>
  <sheetData>
    <row r="1" spans="1:21" ht="15.75" customHeight="1" x14ac:dyDescent="0.25">
      <c r="A1" s="767" t="s">
        <v>613</v>
      </c>
      <c r="H1" s="778" t="s">
        <v>614</v>
      </c>
      <c r="P1" s="815"/>
      <c r="Q1" s="814" t="s">
        <v>621</v>
      </c>
      <c r="R1" s="816" t="s">
        <v>640</v>
      </c>
      <c r="S1"/>
      <c r="T1"/>
    </row>
    <row r="2" spans="1:21" ht="30" x14ac:dyDescent="0.25">
      <c r="A2" s="764" t="s">
        <v>528</v>
      </c>
      <c r="B2" s="764" t="s">
        <v>8</v>
      </c>
      <c r="C2" s="765" t="s">
        <v>606</v>
      </c>
      <c r="D2" s="757" t="s">
        <v>57</v>
      </c>
      <c r="E2" s="757" t="s">
        <v>58</v>
      </c>
      <c r="F2" s="757" t="s">
        <v>59</v>
      </c>
      <c r="H2" s="764" t="s">
        <v>528</v>
      </c>
      <c r="I2" s="764" t="s">
        <v>8</v>
      </c>
      <c r="J2" s="785" t="s">
        <v>606</v>
      </c>
      <c r="K2" s="786" t="s">
        <v>57</v>
      </c>
      <c r="L2" s="786" t="s">
        <v>58</v>
      </c>
      <c r="M2" s="786" t="s">
        <v>59</v>
      </c>
      <c r="O2" s="811"/>
      <c r="P2" s="806" t="s">
        <v>622</v>
      </c>
      <c r="Q2" s="806" t="s">
        <v>623</v>
      </c>
      <c r="R2" s="806" t="s">
        <v>624</v>
      </c>
      <c r="S2" s="806" t="s">
        <v>625</v>
      </c>
      <c r="T2" s="806" t="s">
        <v>626</v>
      </c>
      <c r="U2" s="817">
        <f>COUNT(P:P)</f>
        <v>9</v>
      </c>
    </row>
    <row r="3" spans="1:21" ht="15" x14ac:dyDescent="0.25">
      <c r="A3" s="758"/>
      <c r="D3" s="760"/>
      <c r="E3" s="761"/>
      <c r="F3" s="759"/>
      <c r="H3" s="758"/>
      <c r="P3" s="807">
        <v>1461</v>
      </c>
      <c r="Q3" s="813" t="s">
        <v>627</v>
      </c>
      <c r="R3" s="808" t="s">
        <v>628</v>
      </c>
      <c r="S3" s="807">
        <v>2026</v>
      </c>
      <c r="T3" s="809">
        <v>43705</v>
      </c>
    </row>
    <row r="4" spans="1:21" ht="15" x14ac:dyDescent="0.25">
      <c r="A4" s="758"/>
      <c r="D4" s="760"/>
      <c r="E4" s="761"/>
      <c r="F4" s="759"/>
      <c r="H4" s="758"/>
      <c r="P4" s="807">
        <v>1571</v>
      </c>
      <c r="Q4" s="813" t="s">
        <v>629</v>
      </c>
      <c r="R4" s="808" t="s">
        <v>59</v>
      </c>
      <c r="S4" s="807">
        <v>2026</v>
      </c>
      <c r="T4" s="809">
        <v>45924</v>
      </c>
    </row>
    <row r="5" spans="1:21" ht="15" x14ac:dyDescent="0.25">
      <c r="A5" s="758"/>
      <c r="D5" s="760"/>
      <c r="E5" s="761"/>
      <c r="F5" s="759"/>
      <c r="H5" s="758"/>
      <c r="P5" s="807">
        <v>2911</v>
      </c>
      <c r="Q5" s="813" t="s">
        <v>630</v>
      </c>
      <c r="R5" s="808" t="s">
        <v>631</v>
      </c>
      <c r="S5" s="807">
        <v>2026</v>
      </c>
      <c r="T5" s="809">
        <v>40764</v>
      </c>
    </row>
    <row r="6" spans="1:21" ht="15" x14ac:dyDescent="0.25">
      <c r="A6" s="758" t="s">
        <v>271</v>
      </c>
      <c r="B6">
        <v>113</v>
      </c>
      <c r="C6" s="759">
        <v>0.5</v>
      </c>
      <c r="D6" s="760">
        <v>0</v>
      </c>
      <c r="E6" s="761">
        <v>0</v>
      </c>
      <c r="F6" s="759">
        <v>0.5</v>
      </c>
      <c r="H6" s="777" t="s">
        <v>271</v>
      </c>
      <c r="I6" s="766">
        <v>254</v>
      </c>
      <c r="J6" s="784">
        <v>9</v>
      </c>
      <c r="K6" s="784">
        <v>0</v>
      </c>
      <c r="L6" s="784">
        <v>0</v>
      </c>
      <c r="M6" s="784">
        <v>9</v>
      </c>
      <c r="P6" s="807">
        <v>3413</v>
      </c>
      <c r="Q6" s="813" t="s">
        <v>632</v>
      </c>
      <c r="R6" s="808" t="s">
        <v>633</v>
      </c>
      <c r="S6" s="807">
        <v>2026</v>
      </c>
      <c r="T6" s="809">
        <v>42601</v>
      </c>
    </row>
    <row r="7" spans="1:21" ht="15" x14ac:dyDescent="0.25">
      <c r="A7" s="758" t="s">
        <v>271</v>
      </c>
      <c r="B7">
        <v>254</v>
      </c>
      <c r="C7" s="759">
        <v>10</v>
      </c>
      <c r="D7" s="760">
        <v>0</v>
      </c>
      <c r="E7" s="761">
        <v>0</v>
      </c>
      <c r="F7" s="759">
        <v>10</v>
      </c>
      <c r="H7" s="777" t="s">
        <v>271</v>
      </c>
      <c r="I7" s="766">
        <v>255</v>
      </c>
      <c r="J7" s="784">
        <v>4.5</v>
      </c>
      <c r="K7" s="784">
        <v>0</v>
      </c>
      <c r="L7" s="784">
        <v>0</v>
      </c>
      <c r="M7" s="784">
        <v>4.5</v>
      </c>
      <c r="P7" s="807">
        <v>3431</v>
      </c>
      <c r="Q7" s="813" t="s">
        <v>634</v>
      </c>
      <c r="R7" s="808" t="s">
        <v>631</v>
      </c>
      <c r="S7" s="807">
        <v>2026</v>
      </c>
      <c r="T7" s="809">
        <v>43691</v>
      </c>
    </row>
    <row r="8" spans="1:21" ht="15" x14ac:dyDescent="0.25">
      <c r="A8" s="758" t="s">
        <v>271</v>
      </c>
      <c r="B8">
        <v>255</v>
      </c>
      <c r="C8" s="759">
        <v>3</v>
      </c>
      <c r="D8" s="760">
        <v>0</v>
      </c>
      <c r="E8" s="761">
        <v>0</v>
      </c>
      <c r="F8" s="759">
        <v>3</v>
      </c>
      <c r="H8" s="777" t="s">
        <v>582</v>
      </c>
      <c r="I8" s="766">
        <v>102</v>
      </c>
      <c r="J8" s="784">
        <v>2.56</v>
      </c>
      <c r="K8" s="784">
        <v>0</v>
      </c>
      <c r="L8" s="784">
        <v>2.56</v>
      </c>
      <c r="M8" s="784">
        <v>0</v>
      </c>
      <c r="P8" s="807">
        <v>3441</v>
      </c>
      <c r="Q8" s="813" t="s">
        <v>635</v>
      </c>
      <c r="R8" s="808" t="s">
        <v>636</v>
      </c>
      <c r="S8" s="807">
        <v>2026</v>
      </c>
      <c r="T8" s="809">
        <v>45924</v>
      </c>
    </row>
    <row r="9" spans="1:21" ht="15" x14ac:dyDescent="0.25">
      <c r="A9" s="758" t="s">
        <v>582</v>
      </c>
      <c r="B9">
        <v>102</v>
      </c>
      <c r="C9" s="759">
        <v>2.9000000000000004</v>
      </c>
      <c r="D9" s="760">
        <v>0</v>
      </c>
      <c r="E9" s="761">
        <v>2.9000000000000004</v>
      </c>
      <c r="F9" s="759">
        <v>0</v>
      </c>
      <c r="H9" s="777" t="s">
        <v>582</v>
      </c>
      <c r="I9" s="766">
        <v>103</v>
      </c>
      <c r="J9" s="784">
        <v>54.84</v>
      </c>
      <c r="K9" s="784">
        <v>0</v>
      </c>
      <c r="L9" s="784">
        <v>0</v>
      </c>
      <c r="M9" s="784">
        <v>54.84</v>
      </c>
      <c r="P9" s="807">
        <v>3941</v>
      </c>
      <c r="Q9" s="813" t="s">
        <v>637</v>
      </c>
      <c r="R9" s="808" t="s">
        <v>633</v>
      </c>
      <c r="S9" s="807">
        <v>2026</v>
      </c>
      <c r="T9" s="809">
        <v>45331</v>
      </c>
    </row>
    <row r="10" spans="1:21" ht="15" x14ac:dyDescent="0.25">
      <c r="A10" s="758" t="s">
        <v>582</v>
      </c>
      <c r="B10">
        <v>103</v>
      </c>
      <c r="C10" s="759">
        <v>26.72</v>
      </c>
      <c r="D10" s="760">
        <v>0</v>
      </c>
      <c r="E10" s="761">
        <v>0</v>
      </c>
      <c r="F10" s="759">
        <v>26.72</v>
      </c>
      <c r="H10" s="777" t="s">
        <v>582</v>
      </c>
      <c r="I10" s="766">
        <v>112</v>
      </c>
      <c r="J10" s="784">
        <v>0.48</v>
      </c>
      <c r="K10" s="784">
        <v>0</v>
      </c>
      <c r="L10" s="784">
        <v>0.48</v>
      </c>
      <c r="M10" s="784">
        <v>0</v>
      </c>
      <c r="P10" s="807">
        <v>4013</v>
      </c>
      <c r="Q10" s="813" t="s">
        <v>638</v>
      </c>
      <c r="R10" s="808" t="s">
        <v>59</v>
      </c>
      <c r="S10" s="807">
        <v>2026</v>
      </c>
      <c r="T10" s="809">
        <v>44803</v>
      </c>
    </row>
    <row r="11" spans="1:21" ht="15" x14ac:dyDescent="0.25">
      <c r="A11" s="758" t="s">
        <v>582</v>
      </c>
      <c r="B11">
        <v>112</v>
      </c>
      <c r="C11" s="759">
        <v>0.5</v>
      </c>
      <c r="D11" s="760">
        <v>0</v>
      </c>
      <c r="E11" s="761">
        <v>0.5</v>
      </c>
      <c r="F11" s="759">
        <v>0</v>
      </c>
      <c r="H11" s="777" t="s">
        <v>582</v>
      </c>
      <c r="I11" s="766">
        <v>113</v>
      </c>
      <c r="J11" s="784">
        <v>20.599999999999998</v>
      </c>
      <c r="K11" s="784">
        <v>0</v>
      </c>
      <c r="L11" s="784">
        <v>0</v>
      </c>
      <c r="M11" s="784">
        <v>20.599999999999998</v>
      </c>
      <c r="P11" s="807">
        <v>4041</v>
      </c>
      <c r="Q11" s="813" t="s">
        <v>639</v>
      </c>
      <c r="R11" s="808" t="s">
        <v>636</v>
      </c>
      <c r="S11" s="807">
        <v>2026</v>
      </c>
      <c r="T11" s="809">
        <v>42670</v>
      </c>
    </row>
    <row r="12" spans="1:21" ht="15" x14ac:dyDescent="0.25">
      <c r="A12" s="758" t="s">
        <v>582</v>
      </c>
      <c r="B12">
        <v>113</v>
      </c>
      <c r="C12" s="759">
        <v>9.43</v>
      </c>
      <c r="D12" s="760">
        <v>0</v>
      </c>
      <c r="E12" s="761">
        <v>0</v>
      </c>
      <c r="F12" s="759">
        <v>9.43</v>
      </c>
      <c r="H12" s="777" t="s">
        <v>582</v>
      </c>
      <c r="I12" s="766">
        <v>130</v>
      </c>
      <c r="J12" s="784">
        <v>5.25</v>
      </c>
      <c r="K12" s="784">
        <v>0</v>
      </c>
      <c r="L12" s="784">
        <v>0.4</v>
      </c>
      <c r="M12" s="784">
        <v>4.8499999999999996</v>
      </c>
    </row>
    <row r="13" spans="1:21" ht="15" x14ac:dyDescent="0.25">
      <c r="A13" s="758" t="s">
        <v>582</v>
      </c>
      <c r="B13">
        <v>130</v>
      </c>
      <c r="C13" s="759">
        <v>1.5</v>
      </c>
      <c r="D13" s="760">
        <v>0</v>
      </c>
      <c r="E13" s="761">
        <v>0.6</v>
      </c>
      <c r="F13" s="759">
        <v>0.9</v>
      </c>
      <c r="H13" s="777" t="s">
        <v>582</v>
      </c>
      <c r="I13" s="766">
        <v>300</v>
      </c>
      <c r="J13" s="784">
        <v>0.76</v>
      </c>
      <c r="K13" s="784">
        <v>0</v>
      </c>
      <c r="L13" s="784">
        <v>0</v>
      </c>
      <c r="M13" s="784">
        <v>0.76</v>
      </c>
    </row>
    <row r="14" spans="1:21" ht="15" x14ac:dyDescent="0.25">
      <c r="A14" s="758" t="s">
        <v>273</v>
      </c>
      <c r="B14">
        <v>102</v>
      </c>
      <c r="C14" s="759">
        <v>73.38</v>
      </c>
      <c r="D14" s="760">
        <v>0</v>
      </c>
      <c r="E14" s="761">
        <v>73.38</v>
      </c>
      <c r="F14" s="759">
        <v>0</v>
      </c>
      <c r="H14" s="777" t="s">
        <v>273</v>
      </c>
      <c r="I14" s="766">
        <v>102</v>
      </c>
      <c r="J14" s="784">
        <v>70.099999999999994</v>
      </c>
      <c r="K14" s="784">
        <v>0</v>
      </c>
      <c r="L14" s="784">
        <v>70.099999999999994</v>
      </c>
      <c r="M14" s="784">
        <v>0</v>
      </c>
    </row>
    <row r="15" spans="1:21" ht="15" x14ac:dyDescent="0.25">
      <c r="A15" s="758" t="s">
        <v>273</v>
      </c>
      <c r="B15">
        <v>103</v>
      </c>
      <c r="C15" s="759">
        <v>206.34</v>
      </c>
      <c r="D15" s="760">
        <v>0</v>
      </c>
      <c r="E15" s="761">
        <v>0</v>
      </c>
      <c r="F15" s="759">
        <v>206.34</v>
      </c>
      <c r="H15" s="777" t="s">
        <v>273</v>
      </c>
      <c r="I15" s="766">
        <v>103</v>
      </c>
      <c r="J15" s="784">
        <v>203.7</v>
      </c>
      <c r="K15" s="784">
        <v>0</v>
      </c>
      <c r="L15" s="784">
        <v>0</v>
      </c>
      <c r="M15" s="784">
        <v>203.7</v>
      </c>
    </row>
    <row r="16" spans="1:21" ht="15" x14ac:dyDescent="0.25">
      <c r="A16" s="758" t="s">
        <v>273</v>
      </c>
      <c r="B16">
        <v>112</v>
      </c>
      <c r="C16" s="759">
        <v>10</v>
      </c>
      <c r="D16" s="760">
        <v>0</v>
      </c>
      <c r="E16" s="761">
        <v>10</v>
      </c>
      <c r="F16" s="759">
        <v>0</v>
      </c>
      <c r="H16" s="777" t="s">
        <v>273</v>
      </c>
      <c r="I16" s="766">
        <v>112</v>
      </c>
      <c r="J16" s="784">
        <v>10.01</v>
      </c>
      <c r="K16" s="784">
        <v>0</v>
      </c>
      <c r="L16" s="784">
        <v>10.01</v>
      </c>
      <c r="M16" s="784">
        <v>0</v>
      </c>
    </row>
    <row r="17" spans="1:13" ht="15" x14ac:dyDescent="0.25">
      <c r="A17" s="758" t="s">
        <v>273</v>
      </c>
      <c r="B17">
        <v>113</v>
      </c>
      <c r="C17" s="759">
        <v>34.840000000000003</v>
      </c>
      <c r="D17" s="760">
        <v>0</v>
      </c>
      <c r="E17" s="761">
        <v>0</v>
      </c>
      <c r="F17" s="759">
        <v>34.840000000000003</v>
      </c>
      <c r="H17" s="777" t="s">
        <v>273</v>
      </c>
      <c r="I17" s="766">
        <v>113</v>
      </c>
      <c r="J17" s="784">
        <v>32.42</v>
      </c>
      <c r="K17" s="784">
        <v>0</v>
      </c>
      <c r="L17" s="784">
        <v>0</v>
      </c>
      <c r="M17" s="784">
        <v>32.42</v>
      </c>
    </row>
    <row r="18" spans="1:13" ht="15" x14ac:dyDescent="0.25">
      <c r="A18" s="758" t="s">
        <v>273</v>
      </c>
      <c r="B18">
        <v>130</v>
      </c>
      <c r="C18" s="759">
        <v>10.14</v>
      </c>
      <c r="D18" s="760">
        <v>0</v>
      </c>
      <c r="E18" s="761">
        <v>2.63</v>
      </c>
      <c r="F18" s="759">
        <v>7.51</v>
      </c>
      <c r="H18" s="777" t="s">
        <v>273</v>
      </c>
      <c r="I18" s="766">
        <v>130</v>
      </c>
      <c r="J18" s="784">
        <v>9.6699999999999982</v>
      </c>
      <c r="K18" s="784">
        <v>0</v>
      </c>
      <c r="L18" s="784">
        <v>1.5</v>
      </c>
      <c r="M18" s="784">
        <v>8.17</v>
      </c>
    </row>
    <row r="19" spans="1:13" ht="15" x14ac:dyDescent="0.25">
      <c r="A19" s="758" t="s">
        <v>273</v>
      </c>
      <c r="B19">
        <v>300</v>
      </c>
      <c r="C19" s="759">
        <v>88.4</v>
      </c>
      <c r="D19" s="760">
        <v>0</v>
      </c>
      <c r="E19" s="761">
        <v>0</v>
      </c>
      <c r="F19" s="759">
        <v>88.4</v>
      </c>
      <c r="H19" s="777" t="s">
        <v>273</v>
      </c>
      <c r="I19" s="766">
        <v>300</v>
      </c>
      <c r="J19" s="784">
        <v>79.33</v>
      </c>
      <c r="K19" s="784">
        <v>0</v>
      </c>
      <c r="L19" s="784">
        <v>0</v>
      </c>
      <c r="M19" s="784">
        <v>79.33</v>
      </c>
    </row>
    <row r="20" spans="1:13" ht="15" x14ac:dyDescent="0.25">
      <c r="A20" s="758" t="s">
        <v>275</v>
      </c>
      <c r="B20">
        <v>103</v>
      </c>
      <c r="C20" s="759">
        <v>286.32</v>
      </c>
      <c r="D20" s="760">
        <v>0</v>
      </c>
      <c r="E20" s="761">
        <v>0</v>
      </c>
      <c r="F20" s="759">
        <v>286.32</v>
      </c>
      <c r="H20" s="777" t="s">
        <v>275</v>
      </c>
      <c r="I20" s="766">
        <v>102</v>
      </c>
      <c r="J20" s="784">
        <v>0.11</v>
      </c>
      <c r="K20" s="784">
        <v>0</v>
      </c>
      <c r="L20" s="784">
        <v>0.11</v>
      </c>
      <c r="M20" s="784">
        <v>0</v>
      </c>
    </row>
    <row r="21" spans="1:13" ht="15" x14ac:dyDescent="0.25">
      <c r="A21" s="758" t="s">
        <v>275</v>
      </c>
      <c r="B21">
        <v>113</v>
      </c>
      <c r="C21" s="759">
        <v>144.73000000000002</v>
      </c>
      <c r="D21" s="760">
        <v>0</v>
      </c>
      <c r="E21" s="761">
        <v>0</v>
      </c>
      <c r="F21" s="759">
        <v>144.73000000000002</v>
      </c>
      <c r="H21" s="777" t="s">
        <v>275</v>
      </c>
      <c r="I21" s="766">
        <v>103</v>
      </c>
      <c r="J21" s="784">
        <v>273.25</v>
      </c>
      <c r="K21" s="784">
        <v>0</v>
      </c>
      <c r="L21" s="784">
        <v>0</v>
      </c>
      <c r="M21" s="784">
        <v>273.25</v>
      </c>
    </row>
    <row r="22" spans="1:13" ht="15" x14ac:dyDescent="0.25">
      <c r="A22" s="758" t="s">
        <v>275</v>
      </c>
      <c r="B22">
        <v>130</v>
      </c>
      <c r="C22" s="759">
        <v>1.5099999999999998</v>
      </c>
      <c r="D22" s="760">
        <v>0</v>
      </c>
      <c r="E22" s="761">
        <v>0</v>
      </c>
      <c r="F22" s="759">
        <v>1.5099999999999998</v>
      </c>
      <c r="H22" s="777" t="s">
        <v>275</v>
      </c>
      <c r="I22" s="766">
        <v>113</v>
      </c>
      <c r="J22" s="784">
        <v>137.68</v>
      </c>
      <c r="K22" s="784">
        <v>0</v>
      </c>
      <c r="L22" s="784">
        <v>0</v>
      </c>
      <c r="M22" s="784">
        <v>137.68</v>
      </c>
    </row>
    <row r="23" spans="1:13" ht="15" x14ac:dyDescent="0.25">
      <c r="A23" s="758" t="s">
        <v>275</v>
      </c>
      <c r="B23">
        <v>300</v>
      </c>
      <c r="C23" s="759">
        <v>127.35000000000001</v>
      </c>
      <c r="D23" s="760">
        <v>0</v>
      </c>
      <c r="E23" s="761">
        <v>0</v>
      </c>
      <c r="F23" s="759">
        <v>127.35000000000001</v>
      </c>
      <c r="H23" s="777" t="s">
        <v>275</v>
      </c>
      <c r="I23" s="766">
        <v>130</v>
      </c>
      <c r="J23" s="784">
        <v>1.33</v>
      </c>
      <c r="K23" s="784">
        <v>0</v>
      </c>
      <c r="L23" s="784">
        <v>0</v>
      </c>
      <c r="M23" s="784">
        <v>1.33</v>
      </c>
    </row>
    <row r="24" spans="1:13" ht="15" x14ac:dyDescent="0.25">
      <c r="A24" s="758" t="s">
        <v>277</v>
      </c>
      <c r="B24">
        <v>113</v>
      </c>
      <c r="C24" s="759">
        <v>27.79</v>
      </c>
      <c r="D24" s="760">
        <v>0</v>
      </c>
      <c r="E24" s="761">
        <v>0</v>
      </c>
      <c r="F24" s="759">
        <v>27.79</v>
      </c>
      <c r="H24" s="777" t="s">
        <v>275</v>
      </c>
      <c r="I24" s="766">
        <v>300</v>
      </c>
      <c r="J24" s="784">
        <v>126</v>
      </c>
      <c r="K24" s="784">
        <v>0</v>
      </c>
      <c r="L24" s="784">
        <v>0</v>
      </c>
      <c r="M24" s="784">
        <v>126</v>
      </c>
    </row>
    <row r="25" spans="1:13" ht="15" x14ac:dyDescent="0.25">
      <c r="A25" s="758" t="s">
        <v>277</v>
      </c>
      <c r="B25">
        <v>254</v>
      </c>
      <c r="C25" s="759">
        <v>9.35</v>
      </c>
      <c r="D25" s="760">
        <v>0</v>
      </c>
      <c r="E25" s="761">
        <v>0</v>
      </c>
      <c r="F25" s="759">
        <v>9.35</v>
      </c>
      <c r="H25" s="777" t="s">
        <v>277</v>
      </c>
      <c r="I25" s="766">
        <v>113</v>
      </c>
      <c r="J25" s="784">
        <v>27.189999999999998</v>
      </c>
      <c r="K25" s="784">
        <v>0</v>
      </c>
      <c r="L25" s="784">
        <v>0</v>
      </c>
      <c r="M25" s="784">
        <v>27.189999999999998</v>
      </c>
    </row>
    <row r="26" spans="1:13" ht="15" x14ac:dyDescent="0.25">
      <c r="A26" s="758" t="s">
        <v>279</v>
      </c>
      <c r="B26">
        <v>113</v>
      </c>
      <c r="C26" s="759">
        <v>11.5</v>
      </c>
      <c r="D26" s="760">
        <v>0</v>
      </c>
      <c r="E26" s="761">
        <v>0</v>
      </c>
      <c r="F26" s="759">
        <v>11.5</v>
      </c>
      <c r="H26" s="777" t="s">
        <v>277</v>
      </c>
      <c r="I26" s="766">
        <v>254</v>
      </c>
      <c r="J26" s="784">
        <v>9.36</v>
      </c>
      <c r="K26" s="784">
        <v>0</v>
      </c>
      <c r="L26" s="784">
        <v>0</v>
      </c>
      <c r="M26" s="784">
        <v>9.36</v>
      </c>
    </row>
    <row r="27" spans="1:13" ht="15" x14ac:dyDescent="0.25">
      <c r="A27" s="758" t="s">
        <v>279</v>
      </c>
      <c r="B27">
        <v>254</v>
      </c>
      <c r="C27" s="759">
        <v>2</v>
      </c>
      <c r="D27" s="760">
        <v>0</v>
      </c>
      <c r="E27" s="761">
        <v>0.5</v>
      </c>
      <c r="F27" s="759">
        <v>1.5</v>
      </c>
      <c r="H27" s="777" t="s">
        <v>279</v>
      </c>
      <c r="I27" s="766">
        <v>112</v>
      </c>
      <c r="J27" s="784">
        <v>0.5</v>
      </c>
      <c r="K27" s="784">
        <v>0</v>
      </c>
      <c r="L27" s="784">
        <v>0.5</v>
      </c>
      <c r="M27" s="784">
        <v>0</v>
      </c>
    </row>
    <row r="28" spans="1:13" ht="15" x14ac:dyDescent="0.25">
      <c r="A28" s="758" t="s">
        <v>279</v>
      </c>
      <c r="B28">
        <v>255</v>
      </c>
      <c r="C28" s="759">
        <v>10.5</v>
      </c>
      <c r="D28" s="760">
        <v>4</v>
      </c>
      <c r="E28" s="761">
        <v>2.5</v>
      </c>
      <c r="F28" s="759">
        <v>4</v>
      </c>
      <c r="H28" s="777" t="s">
        <v>279</v>
      </c>
      <c r="I28" s="766">
        <v>113</v>
      </c>
      <c r="J28" s="784">
        <v>10.98</v>
      </c>
      <c r="K28" s="784">
        <v>0</v>
      </c>
      <c r="L28" s="784">
        <v>0</v>
      </c>
      <c r="M28" s="784">
        <v>10.98</v>
      </c>
    </row>
    <row r="29" spans="1:13" ht="15" x14ac:dyDescent="0.25">
      <c r="A29" s="758" t="s">
        <v>281</v>
      </c>
      <c r="B29">
        <v>111</v>
      </c>
      <c r="C29" s="759">
        <v>3</v>
      </c>
      <c r="D29" s="760">
        <v>3</v>
      </c>
      <c r="E29" s="761">
        <v>0</v>
      </c>
      <c r="F29" s="759">
        <v>0</v>
      </c>
      <c r="H29" s="777" t="s">
        <v>279</v>
      </c>
      <c r="I29" s="766">
        <v>254</v>
      </c>
      <c r="J29" s="784">
        <v>2.52</v>
      </c>
      <c r="K29" s="784">
        <v>0</v>
      </c>
      <c r="L29" s="784">
        <v>0.5</v>
      </c>
      <c r="M29" s="784">
        <v>2.02</v>
      </c>
    </row>
    <row r="30" spans="1:13" ht="15" x14ac:dyDescent="0.25">
      <c r="A30" s="758" t="s">
        <v>281</v>
      </c>
      <c r="B30">
        <v>112</v>
      </c>
      <c r="C30" s="759">
        <v>1</v>
      </c>
      <c r="D30" s="760">
        <v>0</v>
      </c>
      <c r="E30" s="761">
        <v>1</v>
      </c>
      <c r="F30" s="759">
        <v>0</v>
      </c>
      <c r="H30" s="777" t="s">
        <v>279</v>
      </c>
      <c r="I30" s="766">
        <v>255</v>
      </c>
      <c r="J30" s="784">
        <v>10.54</v>
      </c>
      <c r="K30" s="784">
        <v>4.0199999999999996</v>
      </c>
      <c r="L30" s="784">
        <v>2.5</v>
      </c>
      <c r="M30" s="784">
        <v>4.0199999999999996</v>
      </c>
    </row>
    <row r="31" spans="1:13" ht="15" x14ac:dyDescent="0.25">
      <c r="A31" s="758" t="s">
        <v>281</v>
      </c>
      <c r="B31">
        <v>254</v>
      </c>
      <c r="C31" s="759">
        <v>60.5</v>
      </c>
      <c r="D31" s="760">
        <v>36</v>
      </c>
      <c r="E31" s="761">
        <v>24.5</v>
      </c>
      <c r="F31" s="759">
        <v>0</v>
      </c>
      <c r="H31" s="777" t="s">
        <v>281</v>
      </c>
      <c r="I31" s="766">
        <v>111</v>
      </c>
      <c r="J31" s="784">
        <v>1.04</v>
      </c>
      <c r="K31" s="784">
        <v>1.04</v>
      </c>
      <c r="L31" s="784">
        <v>0</v>
      </c>
      <c r="M31" s="784">
        <v>0</v>
      </c>
    </row>
    <row r="32" spans="1:13" ht="15" x14ac:dyDescent="0.25">
      <c r="A32" s="758" t="s">
        <v>281</v>
      </c>
      <c r="B32">
        <v>255</v>
      </c>
      <c r="C32" s="759">
        <v>22</v>
      </c>
      <c r="D32" s="760">
        <v>13.5</v>
      </c>
      <c r="E32" s="761">
        <v>8.5</v>
      </c>
      <c r="F32" s="759">
        <v>0</v>
      </c>
      <c r="H32" s="777" t="s">
        <v>281</v>
      </c>
      <c r="I32" s="766">
        <v>254</v>
      </c>
      <c r="J32" s="784">
        <v>48.019999999999996</v>
      </c>
      <c r="K32" s="784">
        <v>28.52</v>
      </c>
      <c r="L32" s="784">
        <v>19.5</v>
      </c>
      <c r="M32" s="784">
        <v>0</v>
      </c>
    </row>
    <row r="33" spans="1:13" ht="15" x14ac:dyDescent="0.25">
      <c r="A33" s="758" t="s">
        <v>283</v>
      </c>
      <c r="B33">
        <v>101</v>
      </c>
      <c r="C33" s="759">
        <v>111.37</v>
      </c>
      <c r="D33" s="760">
        <v>111.37</v>
      </c>
      <c r="E33" s="761">
        <v>0</v>
      </c>
      <c r="F33" s="759">
        <v>0</v>
      </c>
      <c r="H33" s="777" t="s">
        <v>281</v>
      </c>
      <c r="I33" s="766">
        <v>255</v>
      </c>
      <c r="J33" s="784">
        <v>37.5</v>
      </c>
      <c r="K33" s="784">
        <v>23.5</v>
      </c>
      <c r="L33" s="784">
        <v>14</v>
      </c>
      <c r="M33" s="784">
        <v>0</v>
      </c>
    </row>
    <row r="34" spans="1:13" ht="15" x14ac:dyDescent="0.25">
      <c r="A34" s="758" t="s">
        <v>283</v>
      </c>
      <c r="B34">
        <v>102</v>
      </c>
      <c r="C34" s="759">
        <v>59.899999999999991</v>
      </c>
      <c r="D34" s="760">
        <v>0</v>
      </c>
      <c r="E34" s="761">
        <v>59.899999999999991</v>
      </c>
      <c r="F34" s="759">
        <v>0</v>
      </c>
      <c r="H34" s="777" t="s">
        <v>283</v>
      </c>
      <c r="I34" s="766">
        <v>101</v>
      </c>
      <c r="J34" s="784">
        <v>105.00999999999999</v>
      </c>
      <c r="K34" s="784">
        <v>105.00999999999999</v>
      </c>
      <c r="L34" s="784">
        <v>0</v>
      </c>
      <c r="M34" s="784">
        <v>0</v>
      </c>
    </row>
    <row r="35" spans="1:13" ht="15" x14ac:dyDescent="0.25">
      <c r="A35" s="758" t="s">
        <v>283</v>
      </c>
      <c r="B35">
        <v>111</v>
      </c>
      <c r="C35" s="759">
        <v>25</v>
      </c>
      <c r="D35" s="760">
        <v>25</v>
      </c>
      <c r="E35" s="761">
        <v>0</v>
      </c>
      <c r="F35" s="759">
        <v>0</v>
      </c>
      <c r="H35" s="777" t="s">
        <v>283</v>
      </c>
      <c r="I35" s="766">
        <v>102</v>
      </c>
      <c r="J35" s="784">
        <v>57.849999999999994</v>
      </c>
      <c r="K35" s="784">
        <v>0</v>
      </c>
      <c r="L35" s="784">
        <v>57.849999999999994</v>
      </c>
      <c r="M35" s="784">
        <v>0</v>
      </c>
    </row>
    <row r="36" spans="1:13" ht="15" x14ac:dyDescent="0.25">
      <c r="A36" s="758" t="s">
        <v>283</v>
      </c>
      <c r="B36">
        <v>112</v>
      </c>
      <c r="C36" s="759">
        <v>14</v>
      </c>
      <c r="D36" s="760">
        <v>0</v>
      </c>
      <c r="E36" s="761">
        <v>14</v>
      </c>
      <c r="F36" s="759">
        <v>0</v>
      </c>
      <c r="H36" s="777" t="s">
        <v>283</v>
      </c>
      <c r="I36" s="766">
        <v>111</v>
      </c>
      <c r="J36" s="784">
        <v>29.509999999999998</v>
      </c>
      <c r="K36" s="784">
        <v>29.509999999999998</v>
      </c>
      <c r="L36" s="784">
        <v>0</v>
      </c>
      <c r="M36" s="784">
        <v>0</v>
      </c>
    </row>
    <row r="37" spans="1:13" ht="15" x14ac:dyDescent="0.25">
      <c r="A37" s="758" t="s">
        <v>283</v>
      </c>
      <c r="B37">
        <v>130</v>
      </c>
      <c r="C37" s="759">
        <v>69.73</v>
      </c>
      <c r="D37" s="760">
        <v>57.629999999999995</v>
      </c>
      <c r="E37" s="761">
        <v>12.1</v>
      </c>
      <c r="F37" s="759">
        <v>0</v>
      </c>
      <c r="H37" s="777" t="s">
        <v>283</v>
      </c>
      <c r="I37" s="766">
        <v>112</v>
      </c>
      <c r="J37" s="784">
        <v>14.98</v>
      </c>
      <c r="K37" s="784">
        <v>0</v>
      </c>
      <c r="L37" s="784">
        <v>14.98</v>
      </c>
      <c r="M37" s="784">
        <v>0</v>
      </c>
    </row>
    <row r="38" spans="1:13" ht="15" x14ac:dyDescent="0.25">
      <c r="A38" s="758" t="s">
        <v>285</v>
      </c>
      <c r="B38">
        <v>101</v>
      </c>
      <c r="C38" s="759">
        <v>129.24</v>
      </c>
      <c r="D38" s="760">
        <v>129.24</v>
      </c>
      <c r="E38" s="761">
        <v>0</v>
      </c>
      <c r="F38" s="759">
        <v>0</v>
      </c>
      <c r="H38" s="777" t="s">
        <v>283</v>
      </c>
      <c r="I38" s="766">
        <v>130</v>
      </c>
      <c r="J38" s="784">
        <v>68.02</v>
      </c>
      <c r="K38" s="784">
        <v>55.93</v>
      </c>
      <c r="L38" s="784">
        <v>12.09</v>
      </c>
      <c r="M38" s="784">
        <v>0</v>
      </c>
    </row>
    <row r="39" spans="1:13" ht="15" x14ac:dyDescent="0.25">
      <c r="A39" s="758" t="s">
        <v>285</v>
      </c>
      <c r="B39">
        <v>102</v>
      </c>
      <c r="C39" s="759">
        <v>171.85</v>
      </c>
      <c r="D39" s="760">
        <v>0</v>
      </c>
      <c r="E39" s="761">
        <v>171.85</v>
      </c>
      <c r="F39" s="759">
        <v>0</v>
      </c>
      <c r="H39" s="777" t="s">
        <v>285</v>
      </c>
      <c r="I39" s="766">
        <v>101</v>
      </c>
      <c r="J39" s="784">
        <v>128.4</v>
      </c>
      <c r="K39" s="784">
        <v>128.4</v>
      </c>
      <c r="L39" s="784">
        <v>0</v>
      </c>
      <c r="M39" s="784">
        <v>0</v>
      </c>
    </row>
    <row r="40" spans="1:13" ht="15" x14ac:dyDescent="0.25">
      <c r="A40" s="758" t="s">
        <v>285</v>
      </c>
      <c r="B40">
        <v>111</v>
      </c>
      <c r="C40" s="759">
        <v>30.5</v>
      </c>
      <c r="D40" s="760">
        <v>30.5</v>
      </c>
      <c r="E40" s="761">
        <v>0</v>
      </c>
      <c r="F40" s="759">
        <v>0</v>
      </c>
      <c r="H40" s="777" t="s">
        <v>285</v>
      </c>
      <c r="I40" s="766">
        <v>102</v>
      </c>
      <c r="J40" s="784">
        <v>167.87</v>
      </c>
      <c r="K40" s="784">
        <v>0</v>
      </c>
      <c r="L40" s="784">
        <v>167.87</v>
      </c>
      <c r="M40" s="784">
        <v>0</v>
      </c>
    </row>
    <row r="41" spans="1:13" ht="15" x14ac:dyDescent="0.25">
      <c r="A41" s="758" t="s">
        <v>285</v>
      </c>
      <c r="B41">
        <v>112</v>
      </c>
      <c r="C41" s="759">
        <v>53.83</v>
      </c>
      <c r="D41" s="760">
        <v>0</v>
      </c>
      <c r="E41" s="761">
        <v>53.83</v>
      </c>
      <c r="F41" s="759">
        <v>0</v>
      </c>
      <c r="H41" s="777" t="s">
        <v>285</v>
      </c>
      <c r="I41" s="766">
        <v>111</v>
      </c>
      <c r="J41" s="784">
        <v>31.53</v>
      </c>
      <c r="K41" s="784">
        <v>31.53</v>
      </c>
      <c r="L41" s="784">
        <v>0</v>
      </c>
      <c r="M41" s="784">
        <v>0</v>
      </c>
    </row>
    <row r="42" spans="1:13" ht="15" x14ac:dyDescent="0.25">
      <c r="A42" s="758" t="s">
        <v>285</v>
      </c>
      <c r="B42">
        <v>130</v>
      </c>
      <c r="C42" s="759">
        <v>5.76</v>
      </c>
      <c r="D42" s="760">
        <v>5.76</v>
      </c>
      <c r="E42" s="761">
        <v>0</v>
      </c>
      <c r="F42" s="759">
        <v>0</v>
      </c>
      <c r="H42" s="777" t="s">
        <v>285</v>
      </c>
      <c r="I42" s="766">
        <v>112</v>
      </c>
      <c r="J42" s="784">
        <v>53.449999999999996</v>
      </c>
      <c r="K42" s="784">
        <v>0</v>
      </c>
      <c r="L42" s="784">
        <v>53.449999999999996</v>
      </c>
      <c r="M42" s="784">
        <v>0</v>
      </c>
    </row>
    <row r="43" spans="1:13" ht="15" x14ac:dyDescent="0.25">
      <c r="A43" s="758" t="s">
        <v>287</v>
      </c>
      <c r="B43">
        <v>101</v>
      </c>
      <c r="C43" s="759">
        <v>0.5</v>
      </c>
      <c r="D43" s="760">
        <v>0.5</v>
      </c>
      <c r="E43" s="761">
        <v>0</v>
      </c>
      <c r="F43" s="759">
        <v>0</v>
      </c>
      <c r="H43" s="777" t="s">
        <v>285</v>
      </c>
      <c r="I43" s="766">
        <v>130</v>
      </c>
      <c r="J43" s="784">
        <v>6.69</v>
      </c>
      <c r="K43" s="784">
        <v>5.78</v>
      </c>
      <c r="L43" s="784">
        <v>0.91</v>
      </c>
      <c r="M43" s="784">
        <v>0</v>
      </c>
    </row>
    <row r="44" spans="1:13" ht="15" x14ac:dyDescent="0.25">
      <c r="A44" s="758" t="s">
        <v>287</v>
      </c>
      <c r="B44">
        <v>111</v>
      </c>
      <c r="C44" s="759">
        <v>7.5</v>
      </c>
      <c r="D44" s="760">
        <v>7.5</v>
      </c>
      <c r="E44" s="761">
        <v>0</v>
      </c>
      <c r="F44" s="759">
        <v>0</v>
      </c>
      <c r="H44" s="777" t="s">
        <v>287</v>
      </c>
      <c r="I44" s="766">
        <v>111</v>
      </c>
      <c r="J44" s="784">
        <v>5</v>
      </c>
      <c r="K44" s="784">
        <v>5</v>
      </c>
      <c r="L44" s="784">
        <v>0</v>
      </c>
      <c r="M44" s="784">
        <v>0</v>
      </c>
    </row>
    <row r="45" spans="1:13" ht="15" x14ac:dyDescent="0.25">
      <c r="A45" s="758" t="s">
        <v>287</v>
      </c>
      <c r="B45">
        <v>112</v>
      </c>
      <c r="C45" s="759">
        <v>11</v>
      </c>
      <c r="D45" s="760">
        <v>0</v>
      </c>
      <c r="E45" s="761">
        <v>11</v>
      </c>
      <c r="F45" s="759">
        <v>0</v>
      </c>
      <c r="H45" s="777" t="s">
        <v>287</v>
      </c>
      <c r="I45" s="766">
        <v>112</v>
      </c>
      <c r="J45" s="784">
        <v>10.53</v>
      </c>
      <c r="K45" s="784">
        <v>0</v>
      </c>
      <c r="L45" s="784">
        <v>10.53</v>
      </c>
      <c r="M45" s="784">
        <v>0</v>
      </c>
    </row>
    <row r="46" spans="1:13" ht="15" x14ac:dyDescent="0.25">
      <c r="A46" s="758" t="s">
        <v>287</v>
      </c>
      <c r="B46">
        <v>113</v>
      </c>
      <c r="C46" s="759">
        <v>23.15</v>
      </c>
      <c r="D46" s="760">
        <v>0</v>
      </c>
      <c r="E46" s="761">
        <v>0</v>
      </c>
      <c r="F46" s="759">
        <v>23.15</v>
      </c>
      <c r="H46" s="777" t="s">
        <v>287</v>
      </c>
      <c r="I46" s="766">
        <v>113</v>
      </c>
      <c r="J46" s="784">
        <v>23.9</v>
      </c>
      <c r="K46" s="784">
        <v>0</v>
      </c>
      <c r="L46" s="784">
        <v>0</v>
      </c>
      <c r="M46" s="784">
        <v>23.9</v>
      </c>
    </row>
    <row r="47" spans="1:13" ht="15" x14ac:dyDescent="0.25">
      <c r="A47" s="758" t="s">
        <v>287</v>
      </c>
      <c r="B47">
        <v>254</v>
      </c>
      <c r="C47" s="759">
        <v>105</v>
      </c>
      <c r="D47" s="760">
        <v>42.5</v>
      </c>
      <c r="E47" s="761">
        <v>30</v>
      </c>
      <c r="F47" s="759">
        <v>32.5</v>
      </c>
      <c r="H47" s="777" t="s">
        <v>287</v>
      </c>
      <c r="I47" s="766">
        <v>254</v>
      </c>
      <c r="J47" s="784">
        <v>102.99000000000001</v>
      </c>
      <c r="K47" s="784">
        <v>40.49</v>
      </c>
      <c r="L47" s="784">
        <v>31</v>
      </c>
      <c r="M47" s="784">
        <v>31.5</v>
      </c>
    </row>
    <row r="48" spans="1:13" ht="15" x14ac:dyDescent="0.25">
      <c r="A48" s="758" t="s">
        <v>287</v>
      </c>
      <c r="B48">
        <v>255</v>
      </c>
      <c r="C48" s="759">
        <v>43.5</v>
      </c>
      <c r="D48" s="760">
        <v>12.5</v>
      </c>
      <c r="E48" s="761">
        <v>18.5</v>
      </c>
      <c r="F48" s="759">
        <v>12.5</v>
      </c>
      <c r="H48" s="777" t="s">
        <v>287</v>
      </c>
      <c r="I48" s="766">
        <v>255</v>
      </c>
      <c r="J48" s="784">
        <v>47</v>
      </c>
      <c r="K48" s="784">
        <v>18</v>
      </c>
      <c r="L48" s="784">
        <v>18</v>
      </c>
      <c r="M48" s="784">
        <v>11</v>
      </c>
    </row>
    <row r="49" spans="1:15" ht="15" x14ac:dyDescent="0.25">
      <c r="A49" s="758" t="s">
        <v>289</v>
      </c>
      <c r="B49">
        <v>111</v>
      </c>
      <c r="C49" s="759">
        <v>1</v>
      </c>
      <c r="D49" s="760">
        <v>1</v>
      </c>
      <c r="E49" s="761">
        <v>0</v>
      </c>
      <c r="F49" s="759">
        <v>0</v>
      </c>
      <c r="H49" s="777" t="s">
        <v>289</v>
      </c>
      <c r="I49" s="766">
        <v>111</v>
      </c>
      <c r="J49" s="784">
        <v>0.5</v>
      </c>
      <c r="K49" s="784">
        <v>0.5</v>
      </c>
      <c r="L49" s="784">
        <v>0</v>
      </c>
      <c r="M49" s="784">
        <v>0</v>
      </c>
    </row>
    <row r="50" spans="1:15" ht="15" x14ac:dyDescent="0.25">
      <c r="A50" s="758" t="s">
        <v>289</v>
      </c>
      <c r="B50">
        <v>112</v>
      </c>
      <c r="C50" s="759">
        <v>0.5</v>
      </c>
      <c r="D50" s="760">
        <v>0</v>
      </c>
      <c r="E50" s="761">
        <v>0.5</v>
      </c>
      <c r="F50" s="759">
        <v>0</v>
      </c>
      <c r="H50" s="777" t="s">
        <v>289</v>
      </c>
      <c r="I50" s="766">
        <v>112</v>
      </c>
      <c r="J50" s="784">
        <v>0.5</v>
      </c>
      <c r="K50" s="784">
        <v>0</v>
      </c>
      <c r="L50" s="784">
        <v>0.5</v>
      </c>
      <c r="M50" s="784">
        <v>0</v>
      </c>
    </row>
    <row r="51" spans="1:15" ht="15" x14ac:dyDescent="0.25">
      <c r="A51" s="758" t="s">
        <v>289</v>
      </c>
      <c r="B51">
        <v>113</v>
      </c>
      <c r="C51" s="759">
        <v>5</v>
      </c>
      <c r="D51" s="760">
        <v>0</v>
      </c>
      <c r="E51" s="761">
        <v>0</v>
      </c>
      <c r="F51" s="759">
        <v>5</v>
      </c>
      <c r="H51" s="777" t="s">
        <v>289</v>
      </c>
      <c r="I51" s="766">
        <v>113</v>
      </c>
      <c r="J51" s="784">
        <v>4.46</v>
      </c>
      <c r="K51" s="784">
        <v>0</v>
      </c>
      <c r="L51" s="784">
        <v>0</v>
      </c>
      <c r="M51" s="784">
        <v>4.46</v>
      </c>
    </row>
    <row r="52" spans="1:15" ht="15" x14ac:dyDescent="0.25">
      <c r="A52" s="758" t="s">
        <v>289</v>
      </c>
      <c r="B52">
        <v>254</v>
      </c>
      <c r="C52" s="759">
        <v>37</v>
      </c>
      <c r="D52" s="760">
        <v>9</v>
      </c>
      <c r="E52" s="761">
        <v>7</v>
      </c>
      <c r="F52" s="759">
        <v>21</v>
      </c>
      <c r="H52" s="777" t="s">
        <v>289</v>
      </c>
      <c r="I52" s="766">
        <v>254</v>
      </c>
      <c r="J52" s="784">
        <v>33.96</v>
      </c>
      <c r="K52" s="784">
        <v>8.93</v>
      </c>
      <c r="L52" s="784">
        <v>5.5</v>
      </c>
      <c r="M52" s="784">
        <v>19.53</v>
      </c>
    </row>
    <row r="53" spans="1:15" ht="15" x14ac:dyDescent="0.25">
      <c r="A53" s="758" t="s">
        <v>289</v>
      </c>
      <c r="B53">
        <v>255</v>
      </c>
      <c r="C53" s="759">
        <v>46</v>
      </c>
      <c r="D53" s="760">
        <v>7.5</v>
      </c>
      <c r="E53" s="761">
        <v>13</v>
      </c>
      <c r="F53" s="759">
        <v>25.5</v>
      </c>
      <c r="H53" s="777" t="s">
        <v>289</v>
      </c>
      <c r="I53" s="766">
        <v>255</v>
      </c>
      <c r="J53" s="784">
        <v>50.480000000000004</v>
      </c>
      <c r="K53" s="784">
        <v>9.9499999999999993</v>
      </c>
      <c r="L53" s="784">
        <v>14.5</v>
      </c>
      <c r="M53" s="784">
        <v>26.03</v>
      </c>
    </row>
    <row r="54" spans="1:15" ht="15" x14ac:dyDescent="0.25">
      <c r="A54" s="758" t="s">
        <v>291</v>
      </c>
      <c r="B54">
        <v>113</v>
      </c>
      <c r="C54" s="759">
        <v>40.5</v>
      </c>
      <c r="D54" s="760">
        <v>0</v>
      </c>
      <c r="E54" s="761">
        <v>0</v>
      </c>
      <c r="F54" s="759">
        <v>40.5</v>
      </c>
      <c r="H54" s="777" t="s">
        <v>291</v>
      </c>
      <c r="I54" s="766">
        <v>113</v>
      </c>
      <c r="J54" s="784">
        <v>41</v>
      </c>
      <c r="K54" s="784">
        <v>0</v>
      </c>
      <c r="L54" s="784">
        <v>0</v>
      </c>
      <c r="M54" s="784">
        <v>41</v>
      </c>
      <c r="O54" s="812"/>
    </row>
    <row r="55" spans="1:15" ht="15" x14ac:dyDescent="0.25">
      <c r="A55" s="758" t="s">
        <v>291</v>
      </c>
      <c r="B55">
        <v>254</v>
      </c>
      <c r="C55" s="759">
        <v>0.5</v>
      </c>
      <c r="D55" s="760">
        <v>0</v>
      </c>
      <c r="E55" s="761">
        <v>0</v>
      </c>
      <c r="F55" s="759">
        <v>0.5</v>
      </c>
      <c r="H55" s="777" t="s">
        <v>291</v>
      </c>
      <c r="I55" s="766">
        <v>254</v>
      </c>
      <c r="J55" s="784">
        <v>1</v>
      </c>
      <c r="K55" s="784">
        <v>0</v>
      </c>
      <c r="L55" s="784">
        <v>0</v>
      </c>
      <c r="M55" s="784">
        <v>1</v>
      </c>
    </row>
    <row r="56" spans="1:15" ht="15" x14ac:dyDescent="0.25">
      <c r="A56" s="758" t="s">
        <v>607</v>
      </c>
      <c r="B56">
        <v>101</v>
      </c>
      <c r="C56" s="759">
        <v>49.800000000000004</v>
      </c>
      <c r="D56" s="760">
        <v>49.800000000000004</v>
      </c>
      <c r="E56" s="761">
        <v>0</v>
      </c>
      <c r="F56" s="759">
        <v>0</v>
      </c>
      <c r="H56" s="777" t="s">
        <v>607</v>
      </c>
      <c r="I56" s="766">
        <v>101</v>
      </c>
      <c r="J56" s="784">
        <v>49.419999999999995</v>
      </c>
      <c r="K56" s="784">
        <v>49.419999999999995</v>
      </c>
      <c r="L56" s="784">
        <v>0</v>
      </c>
      <c r="M56" s="784">
        <v>0</v>
      </c>
    </row>
    <row r="57" spans="1:15" ht="15" x14ac:dyDescent="0.25">
      <c r="A57" s="758" t="s">
        <v>607</v>
      </c>
      <c r="B57">
        <v>102</v>
      </c>
      <c r="C57" s="759">
        <v>13.59</v>
      </c>
      <c r="D57" s="760">
        <v>0</v>
      </c>
      <c r="E57" s="761">
        <v>13.59</v>
      </c>
      <c r="F57" s="759">
        <v>0</v>
      </c>
      <c r="H57" s="777" t="s">
        <v>607</v>
      </c>
      <c r="I57" s="766">
        <v>102</v>
      </c>
      <c r="J57" s="784">
        <v>12.56</v>
      </c>
      <c r="K57" s="784">
        <v>0</v>
      </c>
      <c r="L57" s="784">
        <v>12.56</v>
      </c>
      <c r="M57" s="784">
        <v>0</v>
      </c>
    </row>
    <row r="58" spans="1:15" ht="15" x14ac:dyDescent="0.25">
      <c r="A58" s="758" t="s">
        <v>607</v>
      </c>
      <c r="B58">
        <v>111</v>
      </c>
      <c r="C58" s="759">
        <v>6.5</v>
      </c>
      <c r="D58" s="760">
        <v>6.5</v>
      </c>
      <c r="E58" s="761">
        <v>0</v>
      </c>
      <c r="F58" s="759">
        <v>0</v>
      </c>
      <c r="H58" s="777" t="s">
        <v>607</v>
      </c>
      <c r="I58" s="766">
        <v>111</v>
      </c>
      <c r="J58" s="784">
        <v>8.51</v>
      </c>
      <c r="K58" s="784">
        <v>8.51</v>
      </c>
      <c r="L58" s="784">
        <v>0</v>
      </c>
      <c r="M58" s="784">
        <v>0</v>
      </c>
    </row>
    <row r="59" spans="1:15" ht="15" x14ac:dyDescent="0.25">
      <c r="A59" s="758" t="s">
        <v>607</v>
      </c>
      <c r="B59">
        <v>112</v>
      </c>
      <c r="C59" s="759">
        <v>3.5</v>
      </c>
      <c r="D59" s="760">
        <v>0</v>
      </c>
      <c r="E59" s="761">
        <v>3.5</v>
      </c>
      <c r="F59" s="759">
        <v>0</v>
      </c>
      <c r="H59" s="777" t="s">
        <v>607</v>
      </c>
      <c r="I59" s="766">
        <v>112</v>
      </c>
      <c r="J59" s="784">
        <v>4.0199999999999996</v>
      </c>
      <c r="K59" s="784">
        <v>0</v>
      </c>
      <c r="L59" s="784">
        <v>4.0199999999999996</v>
      </c>
      <c r="M59" s="784">
        <v>0</v>
      </c>
    </row>
    <row r="60" spans="1:15" ht="15" x14ac:dyDescent="0.25">
      <c r="A60" s="758" t="s">
        <v>607</v>
      </c>
      <c r="B60">
        <v>130</v>
      </c>
      <c r="C60" s="759">
        <v>6.61</v>
      </c>
      <c r="D60" s="760">
        <v>6.2</v>
      </c>
      <c r="E60" s="761">
        <v>0.41</v>
      </c>
      <c r="F60" s="759">
        <v>0</v>
      </c>
      <c r="H60" s="777" t="s">
        <v>607</v>
      </c>
      <c r="I60" s="766">
        <v>130</v>
      </c>
      <c r="J60" s="784">
        <v>6.6</v>
      </c>
      <c r="K60" s="784">
        <v>6.1899999999999995</v>
      </c>
      <c r="L60" s="784">
        <v>0.41</v>
      </c>
      <c r="M60" s="784">
        <v>0</v>
      </c>
    </row>
    <row r="61" spans="1:15" ht="15" x14ac:dyDescent="0.25">
      <c r="A61" s="758" t="s">
        <v>293</v>
      </c>
      <c r="B61">
        <v>101</v>
      </c>
      <c r="C61" s="759">
        <v>171.58</v>
      </c>
      <c r="D61" s="760">
        <v>171.58</v>
      </c>
      <c r="E61" s="761">
        <v>0</v>
      </c>
      <c r="F61" s="759">
        <v>0</v>
      </c>
      <c r="H61" s="777" t="s">
        <v>293</v>
      </c>
      <c r="I61" s="766">
        <v>101</v>
      </c>
      <c r="J61" s="784">
        <v>171.7</v>
      </c>
      <c r="K61" s="784">
        <v>171.7</v>
      </c>
      <c r="L61" s="784">
        <v>0</v>
      </c>
      <c r="M61" s="784">
        <v>0</v>
      </c>
    </row>
    <row r="62" spans="1:15" ht="15" x14ac:dyDescent="0.25">
      <c r="A62" s="758" t="s">
        <v>293</v>
      </c>
      <c r="B62">
        <v>102</v>
      </c>
      <c r="C62" s="759">
        <v>229.57</v>
      </c>
      <c r="D62" s="760">
        <v>0</v>
      </c>
      <c r="E62" s="761">
        <v>229.57</v>
      </c>
      <c r="F62" s="759">
        <v>0</v>
      </c>
      <c r="H62" s="777" t="s">
        <v>293</v>
      </c>
      <c r="I62" s="766">
        <v>102</v>
      </c>
      <c r="J62" s="784">
        <v>225.17</v>
      </c>
      <c r="K62" s="784">
        <v>0</v>
      </c>
      <c r="L62" s="784">
        <v>225.17</v>
      </c>
      <c r="M62" s="784">
        <v>0</v>
      </c>
    </row>
    <row r="63" spans="1:15" ht="15" x14ac:dyDescent="0.25">
      <c r="A63" s="758" t="s">
        <v>293</v>
      </c>
      <c r="B63">
        <v>111</v>
      </c>
      <c r="C63" s="759">
        <v>29</v>
      </c>
      <c r="D63" s="760">
        <v>29</v>
      </c>
      <c r="E63" s="761">
        <v>0</v>
      </c>
      <c r="F63" s="759">
        <v>0</v>
      </c>
      <c r="H63" s="777" t="s">
        <v>293</v>
      </c>
      <c r="I63" s="766">
        <v>111</v>
      </c>
      <c r="J63" s="784">
        <v>30.14</v>
      </c>
      <c r="K63" s="784">
        <v>30.14</v>
      </c>
      <c r="L63" s="784">
        <v>0</v>
      </c>
      <c r="M63" s="784">
        <v>0</v>
      </c>
    </row>
    <row r="64" spans="1:15" ht="15" x14ac:dyDescent="0.25">
      <c r="A64" s="758" t="s">
        <v>293</v>
      </c>
      <c r="B64">
        <v>112</v>
      </c>
      <c r="C64" s="759">
        <v>61.5</v>
      </c>
      <c r="D64" s="760">
        <v>0</v>
      </c>
      <c r="E64" s="761">
        <v>61.5</v>
      </c>
      <c r="F64" s="759">
        <v>0</v>
      </c>
      <c r="H64" s="777" t="s">
        <v>293</v>
      </c>
      <c r="I64" s="766">
        <v>112</v>
      </c>
      <c r="J64" s="784">
        <v>64.449999999999989</v>
      </c>
      <c r="K64" s="784">
        <v>0</v>
      </c>
      <c r="L64" s="784">
        <v>64.449999999999989</v>
      </c>
      <c r="M64" s="784">
        <v>0</v>
      </c>
    </row>
    <row r="65" spans="1:13" ht="15" x14ac:dyDescent="0.25">
      <c r="A65" s="758" t="s">
        <v>293</v>
      </c>
      <c r="B65">
        <v>130</v>
      </c>
      <c r="C65" s="759">
        <v>32.14</v>
      </c>
      <c r="D65" s="760">
        <v>27.42</v>
      </c>
      <c r="E65" s="761">
        <v>4.72</v>
      </c>
      <c r="F65" s="759">
        <v>0</v>
      </c>
      <c r="H65" s="777" t="s">
        <v>293</v>
      </c>
      <c r="I65" s="766">
        <v>130</v>
      </c>
      <c r="J65" s="784">
        <v>34.06</v>
      </c>
      <c r="K65" s="784">
        <v>29.340000000000003</v>
      </c>
      <c r="L65" s="784">
        <v>4.72</v>
      </c>
      <c r="M65" s="784">
        <v>0</v>
      </c>
    </row>
    <row r="66" spans="1:13" ht="15" x14ac:dyDescent="0.25">
      <c r="A66" s="758" t="s">
        <v>295</v>
      </c>
      <c r="B66">
        <v>101</v>
      </c>
      <c r="C66" s="759">
        <v>41.54</v>
      </c>
      <c r="D66" s="760">
        <v>41.54</v>
      </c>
      <c r="E66" s="761">
        <v>0</v>
      </c>
      <c r="F66" s="759">
        <v>0</v>
      </c>
      <c r="H66" s="777" t="s">
        <v>295</v>
      </c>
      <c r="I66" s="766">
        <v>101</v>
      </c>
      <c r="J66" s="784">
        <v>37.42</v>
      </c>
      <c r="K66" s="784">
        <v>37.42</v>
      </c>
      <c r="L66" s="784">
        <v>0</v>
      </c>
      <c r="M66" s="784">
        <v>0</v>
      </c>
    </row>
    <row r="67" spans="1:13" ht="15" x14ac:dyDescent="0.25">
      <c r="A67" s="758" t="s">
        <v>295</v>
      </c>
      <c r="B67">
        <v>102</v>
      </c>
      <c r="C67" s="759">
        <v>62.08</v>
      </c>
      <c r="D67" s="760">
        <v>0</v>
      </c>
      <c r="E67" s="761">
        <v>62.08</v>
      </c>
      <c r="F67" s="759">
        <v>0</v>
      </c>
      <c r="H67" s="777" t="s">
        <v>295</v>
      </c>
      <c r="I67" s="766">
        <v>102</v>
      </c>
      <c r="J67" s="784">
        <v>61.349999999999994</v>
      </c>
      <c r="K67" s="784">
        <v>0</v>
      </c>
      <c r="L67" s="784">
        <v>61.349999999999994</v>
      </c>
      <c r="M67" s="784">
        <v>0</v>
      </c>
    </row>
    <row r="68" spans="1:13" ht="15" x14ac:dyDescent="0.25">
      <c r="A68" s="758" t="s">
        <v>295</v>
      </c>
      <c r="B68">
        <v>111</v>
      </c>
      <c r="C68" s="759">
        <v>8</v>
      </c>
      <c r="D68" s="760">
        <v>8</v>
      </c>
      <c r="E68" s="761">
        <v>0</v>
      </c>
      <c r="F68" s="759">
        <v>0</v>
      </c>
      <c r="H68" s="777" t="s">
        <v>295</v>
      </c>
      <c r="I68" s="766">
        <v>111</v>
      </c>
      <c r="J68" s="784">
        <v>7.49</v>
      </c>
      <c r="K68" s="784">
        <v>7.49</v>
      </c>
      <c r="L68" s="784">
        <v>0</v>
      </c>
      <c r="M68" s="784">
        <v>0</v>
      </c>
    </row>
    <row r="69" spans="1:13" ht="15" x14ac:dyDescent="0.25">
      <c r="A69" s="758" t="s">
        <v>295</v>
      </c>
      <c r="B69">
        <v>112</v>
      </c>
      <c r="C69" s="759">
        <v>20</v>
      </c>
      <c r="D69" s="760">
        <v>0</v>
      </c>
      <c r="E69" s="761">
        <v>20</v>
      </c>
      <c r="F69" s="759">
        <v>0</v>
      </c>
      <c r="H69" s="777" t="s">
        <v>295</v>
      </c>
      <c r="I69" s="766">
        <v>112</v>
      </c>
      <c r="J69" s="784">
        <v>16.53</v>
      </c>
      <c r="K69" s="784">
        <v>0</v>
      </c>
      <c r="L69" s="784">
        <v>16.53</v>
      </c>
      <c r="M69" s="784">
        <v>0</v>
      </c>
    </row>
    <row r="70" spans="1:13" ht="15" x14ac:dyDescent="0.25">
      <c r="A70" s="758" t="s">
        <v>295</v>
      </c>
      <c r="B70">
        <v>130</v>
      </c>
      <c r="C70" s="759">
        <v>3.8899999999999997</v>
      </c>
      <c r="D70" s="760">
        <v>3.4699999999999998</v>
      </c>
      <c r="E70" s="761">
        <v>0.42</v>
      </c>
      <c r="F70" s="759">
        <v>0</v>
      </c>
      <c r="H70" s="777" t="s">
        <v>295</v>
      </c>
      <c r="I70" s="766">
        <v>130</v>
      </c>
      <c r="J70" s="784">
        <v>3.4899999999999998</v>
      </c>
      <c r="K70" s="784">
        <v>3.07</v>
      </c>
      <c r="L70" s="784">
        <v>0.42</v>
      </c>
      <c r="M70" s="784">
        <v>0</v>
      </c>
    </row>
    <row r="71" spans="1:13" ht="15" x14ac:dyDescent="0.25">
      <c r="A71" s="758" t="s">
        <v>299</v>
      </c>
      <c r="B71">
        <v>101</v>
      </c>
      <c r="C71" s="759">
        <v>39.619999999999997</v>
      </c>
      <c r="D71" s="760">
        <v>39.619999999999997</v>
      </c>
      <c r="E71" s="761">
        <v>0</v>
      </c>
      <c r="F71" s="759">
        <v>0</v>
      </c>
      <c r="H71" s="777" t="s">
        <v>299</v>
      </c>
      <c r="I71" s="766">
        <v>101</v>
      </c>
      <c r="J71" s="784">
        <v>38.08</v>
      </c>
      <c r="K71" s="784">
        <v>38.08</v>
      </c>
      <c r="L71" s="784">
        <v>0</v>
      </c>
      <c r="M71" s="784">
        <v>0</v>
      </c>
    </row>
    <row r="72" spans="1:13" ht="15" x14ac:dyDescent="0.25">
      <c r="A72" s="758" t="s">
        <v>299</v>
      </c>
      <c r="B72">
        <v>102</v>
      </c>
      <c r="C72" s="759">
        <v>14.780000000000001</v>
      </c>
      <c r="D72" s="760">
        <v>0</v>
      </c>
      <c r="E72" s="761">
        <v>14.780000000000001</v>
      </c>
      <c r="F72" s="759">
        <v>0</v>
      </c>
      <c r="H72" s="777" t="s">
        <v>299</v>
      </c>
      <c r="I72" s="766">
        <v>102</v>
      </c>
      <c r="J72" s="784">
        <v>14.83</v>
      </c>
      <c r="K72" s="784">
        <v>0</v>
      </c>
      <c r="L72" s="784">
        <v>14.83</v>
      </c>
      <c r="M72" s="784">
        <v>0</v>
      </c>
    </row>
    <row r="73" spans="1:13" ht="15" x14ac:dyDescent="0.25">
      <c r="A73" s="758" t="s">
        <v>299</v>
      </c>
      <c r="B73">
        <v>111</v>
      </c>
      <c r="C73" s="759">
        <v>4</v>
      </c>
      <c r="D73" s="760">
        <v>4</v>
      </c>
      <c r="E73" s="761">
        <v>0</v>
      </c>
      <c r="F73" s="759">
        <v>0</v>
      </c>
      <c r="H73" s="777" t="s">
        <v>299</v>
      </c>
      <c r="I73" s="766">
        <v>111</v>
      </c>
      <c r="J73" s="784">
        <v>5</v>
      </c>
      <c r="K73" s="784">
        <v>5</v>
      </c>
      <c r="L73" s="784">
        <v>0</v>
      </c>
      <c r="M73" s="784">
        <v>0</v>
      </c>
    </row>
    <row r="74" spans="1:13" ht="15" x14ac:dyDescent="0.25">
      <c r="A74" s="758" t="s">
        <v>299</v>
      </c>
      <c r="B74">
        <v>112</v>
      </c>
      <c r="C74" s="759">
        <v>4</v>
      </c>
      <c r="D74" s="760">
        <v>0</v>
      </c>
      <c r="E74" s="761">
        <v>4</v>
      </c>
      <c r="F74" s="759">
        <v>0</v>
      </c>
      <c r="H74" s="777" t="s">
        <v>299</v>
      </c>
      <c r="I74" s="766">
        <v>112</v>
      </c>
      <c r="J74" s="784">
        <v>4.5</v>
      </c>
      <c r="K74" s="784">
        <v>0</v>
      </c>
      <c r="L74" s="784">
        <v>4.5</v>
      </c>
      <c r="M74" s="784">
        <v>0</v>
      </c>
    </row>
    <row r="75" spans="1:13" ht="15" x14ac:dyDescent="0.25">
      <c r="A75" s="758" t="s">
        <v>299</v>
      </c>
      <c r="B75">
        <v>130</v>
      </c>
      <c r="C75" s="759">
        <v>34.1</v>
      </c>
      <c r="D75" s="760">
        <v>26.38</v>
      </c>
      <c r="E75" s="761">
        <v>7.7200000000000006</v>
      </c>
      <c r="F75" s="759">
        <v>0</v>
      </c>
      <c r="H75" s="777" t="s">
        <v>299</v>
      </c>
      <c r="I75" s="766">
        <v>130</v>
      </c>
      <c r="J75" s="784">
        <v>34.07</v>
      </c>
      <c r="K75" s="784">
        <v>25.9</v>
      </c>
      <c r="L75" s="784">
        <v>8.17</v>
      </c>
      <c r="M75" s="784">
        <v>0</v>
      </c>
    </row>
    <row r="76" spans="1:13" ht="15" x14ac:dyDescent="0.25">
      <c r="A76" s="758" t="s">
        <v>301</v>
      </c>
      <c r="B76">
        <v>101</v>
      </c>
      <c r="C76" s="759">
        <v>63.97</v>
      </c>
      <c r="D76" s="760">
        <v>63.97</v>
      </c>
      <c r="E76" s="761">
        <v>0</v>
      </c>
      <c r="F76" s="759">
        <v>0</v>
      </c>
      <c r="H76" s="777" t="s">
        <v>301</v>
      </c>
      <c r="I76" s="766">
        <v>101</v>
      </c>
      <c r="J76" s="784">
        <v>62.459999999999994</v>
      </c>
      <c r="K76" s="784">
        <v>62.459999999999994</v>
      </c>
      <c r="L76" s="784">
        <v>0</v>
      </c>
      <c r="M76" s="784">
        <v>0</v>
      </c>
    </row>
    <row r="77" spans="1:13" ht="15" x14ac:dyDescent="0.25">
      <c r="A77" s="758" t="s">
        <v>301</v>
      </c>
      <c r="B77">
        <v>102</v>
      </c>
      <c r="C77" s="759">
        <v>114.82</v>
      </c>
      <c r="D77" s="760">
        <v>0</v>
      </c>
      <c r="E77" s="761">
        <v>114.82</v>
      </c>
      <c r="F77" s="759">
        <v>0</v>
      </c>
      <c r="H77" s="777" t="s">
        <v>301</v>
      </c>
      <c r="I77" s="766">
        <v>102</v>
      </c>
      <c r="J77" s="784">
        <v>111.23</v>
      </c>
      <c r="K77" s="784">
        <v>0</v>
      </c>
      <c r="L77" s="784">
        <v>111.23</v>
      </c>
      <c r="M77" s="784">
        <v>0</v>
      </c>
    </row>
    <row r="78" spans="1:13" ht="15" x14ac:dyDescent="0.25">
      <c r="A78" s="758" t="s">
        <v>301</v>
      </c>
      <c r="B78">
        <v>111</v>
      </c>
      <c r="C78" s="759">
        <v>10.5</v>
      </c>
      <c r="D78" s="760">
        <v>10.5</v>
      </c>
      <c r="E78" s="761">
        <v>0</v>
      </c>
      <c r="F78" s="759">
        <v>0</v>
      </c>
      <c r="H78" s="777" t="s">
        <v>301</v>
      </c>
      <c r="I78" s="766">
        <v>111</v>
      </c>
      <c r="J78" s="784">
        <v>12</v>
      </c>
      <c r="K78" s="784">
        <v>12</v>
      </c>
      <c r="L78" s="784">
        <v>0</v>
      </c>
      <c r="M78" s="784">
        <v>0</v>
      </c>
    </row>
    <row r="79" spans="1:13" ht="15" x14ac:dyDescent="0.25">
      <c r="A79" s="758" t="s">
        <v>301</v>
      </c>
      <c r="B79">
        <v>112</v>
      </c>
      <c r="C79" s="759">
        <v>17.5</v>
      </c>
      <c r="D79" s="760">
        <v>0</v>
      </c>
      <c r="E79" s="761">
        <v>17.5</v>
      </c>
      <c r="F79" s="759">
        <v>0</v>
      </c>
      <c r="H79" s="777" t="s">
        <v>301</v>
      </c>
      <c r="I79" s="766">
        <v>112</v>
      </c>
      <c r="J79" s="784">
        <v>18.5</v>
      </c>
      <c r="K79" s="784">
        <v>0</v>
      </c>
      <c r="L79" s="784">
        <v>18.5</v>
      </c>
      <c r="M79" s="784">
        <v>0</v>
      </c>
    </row>
    <row r="80" spans="1:13" ht="15" x14ac:dyDescent="0.25">
      <c r="A80" s="758" t="s">
        <v>301</v>
      </c>
      <c r="B80">
        <v>130</v>
      </c>
      <c r="C80" s="759">
        <v>63.71</v>
      </c>
      <c r="D80" s="760">
        <v>52.53</v>
      </c>
      <c r="E80" s="761">
        <v>11.18</v>
      </c>
      <c r="F80" s="759">
        <v>0</v>
      </c>
      <c r="H80" s="777" t="s">
        <v>301</v>
      </c>
      <c r="I80" s="766">
        <v>130</v>
      </c>
      <c r="J80" s="784">
        <v>62.54</v>
      </c>
      <c r="K80" s="784">
        <v>52.53</v>
      </c>
      <c r="L80" s="784">
        <v>10.009999999999998</v>
      </c>
      <c r="M80" s="784">
        <v>0</v>
      </c>
    </row>
    <row r="81" spans="1:13" ht="15" x14ac:dyDescent="0.25">
      <c r="A81" s="758" t="s">
        <v>303</v>
      </c>
      <c r="B81">
        <v>102</v>
      </c>
      <c r="C81" s="759">
        <v>105.63999999999999</v>
      </c>
      <c r="D81" s="760">
        <v>0</v>
      </c>
      <c r="E81" s="761">
        <v>105.63999999999999</v>
      </c>
      <c r="F81" s="759">
        <v>0</v>
      </c>
      <c r="H81" s="777" t="s">
        <v>303</v>
      </c>
      <c r="I81" s="766">
        <v>102</v>
      </c>
      <c r="J81" s="784">
        <v>95.830000000000013</v>
      </c>
      <c r="K81" s="784">
        <v>0</v>
      </c>
      <c r="L81" s="784">
        <v>95.830000000000013</v>
      </c>
      <c r="M81" s="784">
        <v>0</v>
      </c>
    </row>
    <row r="82" spans="1:13" ht="15" x14ac:dyDescent="0.25">
      <c r="A82" s="758" t="s">
        <v>303</v>
      </c>
      <c r="B82">
        <v>103</v>
      </c>
      <c r="C82" s="759">
        <v>169.48000000000002</v>
      </c>
      <c r="D82" s="760">
        <v>0</v>
      </c>
      <c r="E82" s="761">
        <v>0</v>
      </c>
      <c r="F82" s="759">
        <v>169.48000000000002</v>
      </c>
      <c r="H82" s="777" t="s">
        <v>303</v>
      </c>
      <c r="I82" s="766">
        <v>103</v>
      </c>
      <c r="J82" s="784">
        <v>168.27</v>
      </c>
      <c r="K82" s="784">
        <v>0</v>
      </c>
      <c r="L82" s="784">
        <v>0</v>
      </c>
      <c r="M82" s="784">
        <v>168.27</v>
      </c>
    </row>
    <row r="83" spans="1:13" ht="15" x14ac:dyDescent="0.25">
      <c r="A83" s="758" t="s">
        <v>303</v>
      </c>
      <c r="B83">
        <v>112</v>
      </c>
      <c r="C83" s="759">
        <v>11</v>
      </c>
      <c r="D83" s="760">
        <v>0</v>
      </c>
      <c r="E83" s="761">
        <v>11</v>
      </c>
      <c r="F83" s="759">
        <v>0</v>
      </c>
      <c r="H83" s="777" t="s">
        <v>303</v>
      </c>
      <c r="I83" s="766">
        <v>112</v>
      </c>
      <c r="J83" s="784">
        <v>10.48</v>
      </c>
      <c r="K83" s="784">
        <v>0</v>
      </c>
      <c r="L83" s="784">
        <v>10.48</v>
      </c>
      <c r="M83" s="784">
        <v>0</v>
      </c>
    </row>
    <row r="84" spans="1:13" ht="15" x14ac:dyDescent="0.25">
      <c r="A84" s="758" t="s">
        <v>303</v>
      </c>
      <c r="B84">
        <v>113</v>
      </c>
      <c r="C84" s="759">
        <v>35</v>
      </c>
      <c r="D84" s="760">
        <v>0</v>
      </c>
      <c r="E84" s="761">
        <v>0</v>
      </c>
      <c r="F84" s="759">
        <v>35</v>
      </c>
      <c r="H84" s="777" t="s">
        <v>303</v>
      </c>
      <c r="I84" s="766">
        <v>113</v>
      </c>
      <c r="J84" s="784">
        <v>33.880000000000003</v>
      </c>
      <c r="K84" s="784">
        <v>0</v>
      </c>
      <c r="L84" s="784">
        <v>0</v>
      </c>
      <c r="M84" s="784">
        <v>33.880000000000003</v>
      </c>
    </row>
    <row r="85" spans="1:13" ht="15" x14ac:dyDescent="0.25">
      <c r="A85" s="758" t="s">
        <v>303</v>
      </c>
      <c r="B85">
        <v>130</v>
      </c>
      <c r="C85" s="759">
        <v>15.709999999999999</v>
      </c>
      <c r="D85" s="760">
        <v>0</v>
      </c>
      <c r="E85" s="761">
        <v>6.21</v>
      </c>
      <c r="F85" s="759">
        <v>9.5</v>
      </c>
      <c r="H85" s="777" t="s">
        <v>303</v>
      </c>
      <c r="I85" s="766">
        <v>130</v>
      </c>
      <c r="J85" s="784">
        <v>12.53</v>
      </c>
      <c r="K85" s="784">
        <v>0</v>
      </c>
      <c r="L85" s="784">
        <v>4.5599999999999996</v>
      </c>
      <c r="M85" s="784">
        <v>7.97</v>
      </c>
    </row>
    <row r="86" spans="1:13" ht="15" x14ac:dyDescent="0.25">
      <c r="A86" s="758" t="s">
        <v>303</v>
      </c>
      <c r="B86">
        <v>300</v>
      </c>
      <c r="C86" s="759">
        <v>21.86</v>
      </c>
      <c r="D86" s="760">
        <v>0</v>
      </c>
      <c r="E86" s="761">
        <v>0</v>
      </c>
      <c r="F86" s="759">
        <v>21.86</v>
      </c>
      <c r="H86" s="777" t="s">
        <v>303</v>
      </c>
      <c r="I86" s="766">
        <v>300</v>
      </c>
      <c r="J86" s="784">
        <v>22.26</v>
      </c>
      <c r="K86" s="784">
        <v>0</v>
      </c>
      <c r="L86" s="784">
        <v>0</v>
      </c>
      <c r="M86" s="784">
        <v>22.26</v>
      </c>
    </row>
    <row r="87" spans="1:13" ht="15" x14ac:dyDescent="0.25">
      <c r="A87" s="758" t="s">
        <v>305</v>
      </c>
      <c r="B87">
        <v>102</v>
      </c>
      <c r="C87" s="759">
        <v>3</v>
      </c>
      <c r="D87" s="760">
        <v>0</v>
      </c>
      <c r="E87" s="761">
        <v>3</v>
      </c>
      <c r="F87" s="759">
        <v>0</v>
      </c>
      <c r="H87" s="777" t="s">
        <v>305</v>
      </c>
      <c r="I87" s="766">
        <v>102</v>
      </c>
      <c r="J87" s="784">
        <v>3.52</v>
      </c>
      <c r="K87" s="784">
        <v>0</v>
      </c>
      <c r="L87" s="784">
        <v>3.52</v>
      </c>
      <c r="M87" s="784">
        <v>0</v>
      </c>
    </row>
    <row r="88" spans="1:13" ht="15" x14ac:dyDescent="0.25">
      <c r="A88" s="758" t="s">
        <v>305</v>
      </c>
      <c r="B88">
        <v>103</v>
      </c>
      <c r="C88" s="759">
        <v>32.300000000000004</v>
      </c>
      <c r="D88" s="760">
        <v>0</v>
      </c>
      <c r="E88" s="761">
        <v>0</v>
      </c>
      <c r="F88" s="759">
        <v>32.300000000000004</v>
      </c>
      <c r="H88" s="777" t="s">
        <v>305</v>
      </c>
      <c r="I88" s="766">
        <v>103</v>
      </c>
      <c r="J88" s="784">
        <v>33.68</v>
      </c>
      <c r="K88" s="784">
        <v>0</v>
      </c>
      <c r="L88" s="784">
        <v>0</v>
      </c>
      <c r="M88" s="784">
        <v>33.68</v>
      </c>
    </row>
    <row r="89" spans="1:13" ht="15" x14ac:dyDescent="0.25">
      <c r="A89" s="758" t="s">
        <v>305</v>
      </c>
      <c r="B89">
        <v>112</v>
      </c>
      <c r="C89" s="759">
        <v>0</v>
      </c>
      <c r="D89" s="760">
        <v>0</v>
      </c>
      <c r="E89" s="761">
        <v>0</v>
      </c>
      <c r="F89" s="759">
        <v>0</v>
      </c>
      <c r="H89" s="777" t="s">
        <v>305</v>
      </c>
      <c r="I89" s="766">
        <v>112</v>
      </c>
      <c r="J89" s="784">
        <v>2.5</v>
      </c>
      <c r="K89" s="784">
        <v>0</v>
      </c>
      <c r="L89" s="784">
        <v>2.5</v>
      </c>
      <c r="M89" s="784">
        <v>0</v>
      </c>
    </row>
    <row r="90" spans="1:13" ht="15" x14ac:dyDescent="0.25">
      <c r="A90" s="758" t="s">
        <v>305</v>
      </c>
      <c r="B90">
        <v>113</v>
      </c>
      <c r="C90" s="759">
        <v>12.5</v>
      </c>
      <c r="D90" s="760">
        <v>0</v>
      </c>
      <c r="E90" s="761">
        <v>0</v>
      </c>
      <c r="F90" s="759">
        <v>12.5</v>
      </c>
      <c r="H90" s="777" t="s">
        <v>305</v>
      </c>
      <c r="I90" s="766">
        <v>113</v>
      </c>
      <c r="J90" s="784">
        <v>9.3500000000000014</v>
      </c>
      <c r="K90" s="784">
        <v>0</v>
      </c>
      <c r="L90" s="784">
        <v>0</v>
      </c>
      <c r="M90" s="784">
        <v>9.3500000000000014</v>
      </c>
    </row>
    <row r="91" spans="1:13" ht="15" x14ac:dyDescent="0.25">
      <c r="A91" s="758" t="s">
        <v>305</v>
      </c>
      <c r="B91">
        <v>130</v>
      </c>
      <c r="C91" s="759">
        <v>0.4</v>
      </c>
      <c r="D91" s="760">
        <v>0</v>
      </c>
      <c r="E91" s="761">
        <v>0</v>
      </c>
      <c r="F91" s="759">
        <v>0.4</v>
      </c>
      <c r="H91" s="777" t="s">
        <v>305</v>
      </c>
      <c r="I91" s="766">
        <v>130</v>
      </c>
      <c r="J91" s="784">
        <v>0.41</v>
      </c>
      <c r="K91" s="784">
        <v>0</v>
      </c>
      <c r="L91" s="784">
        <v>0</v>
      </c>
      <c r="M91" s="784">
        <v>0.41</v>
      </c>
    </row>
    <row r="92" spans="1:13" ht="15" x14ac:dyDescent="0.25">
      <c r="A92" s="758" t="s">
        <v>305</v>
      </c>
      <c r="B92">
        <v>300</v>
      </c>
      <c r="C92" s="759">
        <v>1.6900000000000002</v>
      </c>
      <c r="D92" s="760">
        <v>0</v>
      </c>
      <c r="E92" s="761">
        <v>0</v>
      </c>
      <c r="F92" s="759">
        <v>1.6900000000000002</v>
      </c>
      <c r="H92" s="777" t="s">
        <v>305</v>
      </c>
      <c r="I92" s="766">
        <v>300</v>
      </c>
      <c r="J92" s="784">
        <v>2.5499999999999998</v>
      </c>
      <c r="K92" s="784">
        <v>0</v>
      </c>
      <c r="L92" s="784">
        <v>0</v>
      </c>
      <c r="M92" s="784">
        <v>2.5499999999999998</v>
      </c>
    </row>
    <row r="93" spans="1:13" ht="15" x14ac:dyDescent="0.25">
      <c r="A93" s="758" t="s">
        <v>307</v>
      </c>
      <c r="B93">
        <v>112</v>
      </c>
      <c r="C93" s="759">
        <v>1.5</v>
      </c>
      <c r="D93" s="760">
        <v>0</v>
      </c>
      <c r="E93" s="761">
        <v>1.5</v>
      </c>
      <c r="F93" s="759">
        <v>0</v>
      </c>
      <c r="H93" s="777" t="s">
        <v>307</v>
      </c>
      <c r="I93" s="766">
        <v>112</v>
      </c>
      <c r="J93" s="784">
        <v>1</v>
      </c>
      <c r="K93" s="784">
        <v>0</v>
      </c>
      <c r="L93" s="784">
        <v>1</v>
      </c>
      <c r="M93" s="784">
        <v>0</v>
      </c>
    </row>
    <row r="94" spans="1:13" ht="15" x14ac:dyDescent="0.25">
      <c r="A94" s="758" t="s">
        <v>307</v>
      </c>
      <c r="B94">
        <v>113</v>
      </c>
      <c r="C94" s="759">
        <v>44.44</v>
      </c>
      <c r="D94" s="760">
        <v>0</v>
      </c>
      <c r="E94" s="761">
        <v>0</v>
      </c>
      <c r="F94" s="759">
        <v>44.44</v>
      </c>
      <c r="H94" s="777" t="s">
        <v>307</v>
      </c>
      <c r="I94" s="766">
        <v>113</v>
      </c>
      <c r="J94" s="784">
        <v>44.120000000000005</v>
      </c>
      <c r="K94" s="784">
        <v>0</v>
      </c>
      <c r="L94" s="784">
        <v>0</v>
      </c>
      <c r="M94" s="784">
        <v>44.120000000000005</v>
      </c>
    </row>
    <row r="95" spans="1:13" ht="15" x14ac:dyDescent="0.25">
      <c r="A95" s="758" t="s">
        <v>309</v>
      </c>
      <c r="B95">
        <v>102</v>
      </c>
      <c r="C95" s="759">
        <v>3.1</v>
      </c>
      <c r="D95" s="760">
        <v>0</v>
      </c>
      <c r="E95" s="761">
        <v>3.1</v>
      </c>
      <c r="F95" s="759">
        <v>0</v>
      </c>
      <c r="H95" s="777" t="s">
        <v>309</v>
      </c>
      <c r="I95" s="766">
        <v>102</v>
      </c>
      <c r="J95" s="784">
        <v>4.0500000000000007</v>
      </c>
      <c r="K95" s="784">
        <v>0</v>
      </c>
      <c r="L95" s="784">
        <v>4.0500000000000007</v>
      </c>
      <c r="M95" s="784">
        <v>0</v>
      </c>
    </row>
    <row r="96" spans="1:13" ht="15" x14ac:dyDescent="0.25">
      <c r="A96" s="758" t="s">
        <v>309</v>
      </c>
      <c r="B96">
        <v>103</v>
      </c>
      <c r="C96" s="759">
        <v>135.99</v>
      </c>
      <c r="D96" s="760">
        <v>0</v>
      </c>
      <c r="E96" s="761">
        <v>0</v>
      </c>
      <c r="F96" s="759">
        <v>135.99</v>
      </c>
      <c r="H96" s="777" t="s">
        <v>309</v>
      </c>
      <c r="I96" s="766">
        <v>103</v>
      </c>
      <c r="J96" s="784">
        <v>142.19</v>
      </c>
      <c r="K96" s="784">
        <v>0</v>
      </c>
      <c r="L96" s="784">
        <v>0</v>
      </c>
      <c r="M96" s="784">
        <v>142.19</v>
      </c>
    </row>
    <row r="97" spans="1:13" ht="15" x14ac:dyDescent="0.25">
      <c r="A97" s="758" t="s">
        <v>309</v>
      </c>
      <c r="B97">
        <v>112</v>
      </c>
      <c r="C97" s="759">
        <v>4</v>
      </c>
      <c r="D97" s="760">
        <v>0</v>
      </c>
      <c r="E97" s="761">
        <v>4</v>
      </c>
      <c r="F97" s="759">
        <v>0</v>
      </c>
      <c r="H97" s="777" t="s">
        <v>309</v>
      </c>
      <c r="I97" s="766">
        <v>112</v>
      </c>
      <c r="J97" s="784">
        <v>2.94</v>
      </c>
      <c r="K97" s="784">
        <v>0</v>
      </c>
      <c r="L97" s="784">
        <v>2.94</v>
      </c>
      <c r="M97" s="784">
        <v>0</v>
      </c>
    </row>
    <row r="98" spans="1:13" ht="15" x14ac:dyDescent="0.25">
      <c r="A98" s="758" t="s">
        <v>309</v>
      </c>
      <c r="B98">
        <v>113</v>
      </c>
      <c r="C98" s="759">
        <v>36.130000000000003</v>
      </c>
      <c r="D98" s="760">
        <v>0</v>
      </c>
      <c r="E98" s="761">
        <v>0</v>
      </c>
      <c r="F98" s="759">
        <v>36.130000000000003</v>
      </c>
      <c r="H98" s="777" t="s">
        <v>309</v>
      </c>
      <c r="I98" s="766">
        <v>113</v>
      </c>
      <c r="J98" s="784">
        <v>37.349999999999994</v>
      </c>
      <c r="K98" s="784">
        <v>0</v>
      </c>
      <c r="L98" s="784">
        <v>0</v>
      </c>
      <c r="M98" s="784">
        <v>37.349999999999994</v>
      </c>
    </row>
    <row r="99" spans="1:13" ht="15" x14ac:dyDescent="0.25">
      <c r="A99" s="758" t="s">
        <v>309</v>
      </c>
      <c r="B99">
        <v>130</v>
      </c>
      <c r="C99" s="759">
        <v>12.2</v>
      </c>
      <c r="D99" s="760">
        <v>0</v>
      </c>
      <c r="E99" s="761">
        <v>0.4</v>
      </c>
      <c r="F99" s="759">
        <v>11.799999999999999</v>
      </c>
      <c r="H99" s="777" t="s">
        <v>309</v>
      </c>
      <c r="I99" s="766">
        <v>130</v>
      </c>
      <c r="J99" s="784">
        <v>12.3</v>
      </c>
      <c r="K99" s="784">
        <v>0</v>
      </c>
      <c r="L99" s="784">
        <v>0.4</v>
      </c>
      <c r="M99" s="784">
        <v>11.9</v>
      </c>
    </row>
    <row r="100" spans="1:13" ht="15" x14ac:dyDescent="0.25">
      <c r="A100" s="758" t="s">
        <v>309</v>
      </c>
      <c r="B100">
        <v>300</v>
      </c>
      <c r="C100" s="759">
        <v>2</v>
      </c>
      <c r="D100" s="760">
        <v>0</v>
      </c>
      <c r="E100" s="761">
        <v>0</v>
      </c>
      <c r="F100" s="759">
        <v>2</v>
      </c>
      <c r="H100" s="777" t="s">
        <v>309</v>
      </c>
      <c r="I100" s="766">
        <v>300</v>
      </c>
      <c r="J100" s="784">
        <v>2.6799999999999997</v>
      </c>
      <c r="K100" s="784">
        <v>0</v>
      </c>
      <c r="L100" s="784">
        <v>0</v>
      </c>
      <c r="M100" s="784">
        <v>2.6799999999999997</v>
      </c>
    </row>
    <row r="101" spans="1:13" ht="15" x14ac:dyDescent="0.25">
      <c r="A101" s="758" t="s">
        <v>311</v>
      </c>
      <c r="B101">
        <v>101</v>
      </c>
      <c r="C101" s="759">
        <v>96.41</v>
      </c>
      <c r="D101" s="760">
        <v>96.41</v>
      </c>
      <c r="E101" s="761">
        <v>0</v>
      </c>
      <c r="F101" s="759">
        <v>0</v>
      </c>
      <c r="H101" s="777" t="s">
        <v>311</v>
      </c>
      <c r="I101" s="766">
        <v>101</v>
      </c>
      <c r="J101" s="784">
        <v>91.51</v>
      </c>
      <c r="K101" s="784">
        <v>91.51</v>
      </c>
      <c r="L101" s="784">
        <v>0</v>
      </c>
      <c r="M101" s="784">
        <v>0</v>
      </c>
    </row>
    <row r="102" spans="1:13" ht="15" x14ac:dyDescent="0.25">
      <c r="A102" s="758" t="s">
        <v>311</v>
      </c>
      <c r="B102">
        <v>102</v>
      </c>
      <c r="C102" s="759">
        <v>44.739999999999995</v>
      </c>
      <c r="D102" s="760">
        <v>0</v>
      </c>
      <c r="E102" s="761">
        <v>44.739999999999995</v>
      </c>
      <c r="F102" s="759">
        <v>0</v>
      </c>
      <c r="H102" s="777" t="s">
        <v>311</v>
      </c>
      <c r="I102" s="766">
        <v>102</v>
      </c>
      <c r="J102" s="784">
        <v>44.97</v>
      </c>
      <c r="K102" s="784">
        <v>0</v>
      </c>
      <c r="L102" s="784">
        <v>44.97</v>
      </c>
      <c r="M102" s="784">
        <v>0</v>
      </c>
    </row>
    <row r="103" spans="1:13" ht="15" x14ac:dyDescent="0.25">
      <c r="A103" s="758" t="s">
        <v>311</v>
      </c>
      <c r="B103">
        <v>111</v>
      </c>
      <c r="C103" s="759">
        <v>22.5</v>
      </c>
      <c r="D103" s="760">
        <v>22.5</v>
      </c>
      <c r="E103" s="761">
        <v>0</v>
      </c>
      <c r="F103" s="759">
        <v>0</v>
      </c>
      <c r="H103" s="777" t="s">
        <v>311</v>
      </c>
      <c r="I103" s="766">
        <v>111</v>
      </c>
      <c r="J103" s="784">
        <v>27</v>
      </c>
      <c r="K103" s="784">
        <v>27</v>
      </c>
      <c r="L103" s="784">
        <v>0</v>
      </c>
      <c r="M103" s="784">
        <v>0</v>
      </c>
    </row>
    <row r="104" spans="1:13" ht="15" x14ac:dyDescent="0.25">
      <c r="A104" s="758" t="s">
        <v>311</v>
      </c>
      <c r="B104">
        <v>112</v>
      </c>
      <c r="C104" s="759">
        <v>18</v>
      </c>
      <c r="D104" s="760">
        <v>0</v>
      </c>
      <c r="E104" s="761">
        <v>18</v>
      </c>
      <c r="F104" s="759">
        <v>0</v>
      </c>
      <c r="H104" s="777" t="s">
        <v>311</v>
      </c>
      <c r="I104" s="766">
        <v>112</v>
      </c>
      <c r="J104" s="784">
        <v>18</v>
      </c>
      <c r="K104" s="784">
        <v>0</v>
      </c>
      <c r="L104" s="784">
        <v>18</v>
      </c>
      <c r="M104" s="784">
        <v>0</v>
      </c>
    </row>
    <row r="105" spans="1:13" ht="15" x14ac:dyDescent="0.25">
      <c r="A105" s="758" t="s">
        <v>311</v>
      </c>
      <c r="B105">
        <v>130</v>
      </c>
      <c r="C105" s="759">
        <v>14.110000000000003</v>
      </c>
      <c r="D105" s="760">
        <v>12.090000000000002</v>
      </c>
      <c r="E105" s="761">
        <v>2.02</v>
      </c>
      <c r="F105" s="759">
        <v>0</v>
      </c>
      <c r="H105" s="777" t="s">
        <v>311</v>
      </c>
      <c r="I105" s="766">
        <v>130</v>
      </c>
      <c r="J105" s="784">
        <v>14.52</v>
      </c>
      <c r="K105" s="784">
        <v>12.5</v>
      </c>
      <c r="L105" s="784">
        <v>2.02</v>
      </c>
      <c r="M105" s="784">
        <v>0</v>
      </c>
    </row>
    <row r="106" spans="1:13" ht="15" x14ac:dyDescent="0.25">
      <c r="A106" s="758" t="s">
        <v>313</v>
      </c>
      <c r="B106">
        <v>102</v>
      </c>
      <c r="C106" s="759">
        <v>2.5</v>
      </c>
      <c r="D106" s="760">
        <v>0</v>
      </c>
      <c r="E106" s="761">
        <v>2.5</v>
      </c>
      <c r="F106" s="759">
        <v>0</v>
      </c>
      <c r="H106" s="777" t="s">
        <v>313</v>
      </c>
      <c r="I106" s="766">
        <v>102</v>
      </c>
      <c r="J106" s="784">
        <v>5.28</v>
      </c>
      <c r="K106" s="784">
        <v>0</v>
      </c>
      <c r="L106" s="784">
        <v>5.28</v>
      </c>
      <c r="M106" s="784">
        <v>0</v>
      </c>
    </row>
    <row r="107" spans="1:13" ht="15" x14ac:dyDescent="0.25">
      <c r="A107" s="758" t="s">
        <v>313</v>
      </c>
      <c r="B107">
        <v>103</v>
      </c>
      <c r="C107" s="759">
        <v>220.27</v>
      </c>
      <c r="D107" s="760">
        <v>0</v>
      </c>
      <c r="E107" s="761">
        <v>0</v>
      </c>
      <c r="F107" s="759">
        <v>220.27</v>
      </c>
      <c r="H107" s="777" t="s">
        <v>313</v>
      </c>
      <c r="I107" s="766">
        <v>103</v>
      </c>
      <c r="J107" s="784">
        <v>231.05</v>
      </c>
      <c r="K107" s="784">
        <v>0</v>
      </c>
      <c r="L107" s="784">
        <v>0</v>
      </c>
      <c r="M107" s="784">
        <v>231.05</v>
      </c>
    </row>
    <row r="108" spans="1:13" ht="15" x14ac:dyDescent="0.25">
      <c r="A108" s="758" t="s">
        <v>313</v>
      </c>
      <c r="B108">
        <v>112</v>
      </c>
      <c r="C108" s="759">
        <v>1</v>
      </c>
      <c r="D108" s="760">
        <v>0</v>
      </c>
      <c r="E108" s="761">
        <v>1</v>
      </c>
      <c r="F108" s="759">
        <v>0</v>
      </c>
      <c r="H108" s="777" t="s">
        <v>313</v>
      </c>
      <c r="I108" s="766">
        <v>112</v>
      </c>
      <c r="J108" s="784">
        <v>1.45</v>
      </c>
      <c r="K108" s="784">
        <v>0</v>
      </c>
      <c r="L108" s="784">
        <v>1.45</v>
      </c>
      <c r="M108" s="784">
        <v>0</v>
      </c>
    </row>
    <row r="109" spans="1:13" ht="15" x14ac:dyDescent="0.25">
      <c r="A109" s="758" t="s">
        <v>313</v>
      </c>
      <c r="B109">
        <v>113</v>
      </c>
      <c r="C109" s="759">
        <v>48.76</v>
      </c>
      <c r="D109" s="760">
        <v>0</v>
      </c>
      <c r="E109" s="761">
        <v>0</v>
      </c>
      <c r="F109" s="759">
        <v>48.76</v>
      </c>
      <c r="H109" s="777" t="s">
        <v>313</v>
      </c>
      <c r="I109" s="766">
        <v>113</v>
      </c>
      <c r="J109" s="784">
        <v>58.650000000000006</v>
      </c>
      <c r="K109" s="784">
        <v>0</v>
      </c>
      <c r="L109" s="784">
        <v>0</v>
      </c>
      <c r="M109" s="784">
        <v>58.650000000000006</v>
      </c>
    </row>
    <row r="110" spans="1:13" ht="15" x14ac:dyDescent="0.25">
      <c r="A110" s="758" t="s">
        <v>313</v>
      </c>
      <c r="B110">
        <v>130</v>
      </c>
      <c r="C110" s="759">
        <v>5.0999999999999996</v>
      </c>
      <c r="D110" s="760">
        <v>0</v>
      </c>
      <c r="E110" s="761">
        <v>0</v>
      </c>
      <c r="F110" s="759">
        <v>5.0999999999999996</v>
      </c>
      <c r="H110" s="777" t="s">
        <v>313</v>
      </c>
      <c r="I110" s="766">
        <v>130</v>
      </c>
      <c r="J110" s="784">
        <v>16.650000000000002</v>
      </c>
      <c r="K110" s="784">
        <v>0</v>
      </c>
      <c r="L110" s="784">
        <v>0</v>
      </c>
      <c r="M110" s="784">
        <v>16.650000000000002</v>
      </c>
    </row>
    <row r="111" spans="1:13" ht="15" x14ac:dyDescent="0.25">
      <c r="A111" s="758" t="s">
        <v>313</v>
      </c>
      <c r="B111">
        <v>300</v>
      </c>
      <c r="C111" s="759">
        <v>4.57</v>
      </c>
      <c r="D111" s="760">
        <v>0</v>
      </c>
      <c r="E111" s="761">
        <v>0</v>
      </c>
      <c r="F111" s="759">
        <v>4.57</v>
      </c>
      <c r="H111" s="777" t="s">
        <v>313</v>
      </c>
      <c r="I111" s="766">
        <v>300</v>
      </c>
      <c r="J111" s="784">
        <v>2.58</v>
      </c>
      <c r="K111" s="784">
        <v>0</v>
      </c>
      <c r="L111" s="784">
        <v>0</v>
      </c>
      <c r="M111" s="784">
        <v>2.58</v>
      </c>
    </row>
    <row r="112" spans="1:13" ht="15" x14ac:dyDescent="0.25">
      <c r="A112" s="758" t="s">
        <v>315</v>
      </c>
      <c r="B112">
        <v>101</v>
      </c>
      <c r="C112" s="759">
        <v>185.53</v>
      </c>
      <c r="D112" s="760">
        <v>185.53</v>
      </c>
      <c r="E112" s="761">
        <v>0</v>
      </c>
      <c r="F112" s="759">
        <v>0</v>
      </c>
      <c r="H112" s="777" t="s">
        <v>315</v>
      </c>
      <c r="I112" s="766">
        <v>101</v>
      </c>
      <c r="J112" s="784">
        <v>179.55</v>
      </c>
      <c r="K112" s="784">
        <v>179.55</v>
      </c>
      <c r="L112" s="784">
        <v>0</v>
      </c>
      <c r="M112" s="784">
        <v>0</v>
      </c>
    </row>
    <row r="113" spans="1:13" ht="15" x14ac:dyDescent="0.25">
      <c r="A113" s="758" t="s">
        <v>315</v>
      </c>
      <c r="B113">
        <v>102</v>
      </c>
      <c r="C113" s="759">
        <v>208.16</v>
      </c>
      <c r="D113" s="760">
        <v>0</v>
      </c>
      <c r="E113" s="761">
        <v>208.16</v>
      </c>
      <c r="F113" s="759">
        <v>0</v>
      </c>
      <c r="H113" s="777" t="s">
        <v>315</v>
      </c>
      <c r="I113" s="766">
        <v>102</v>
      </c>
      <c r="J113" s="784">
        <v>203.46999999999997</v>
      </c>
      <c r="K113" s="784">
        <v>0</v>
      </c>
      <c r="L113" s="784">
        <v>203.46999999999997</v>
      </c>
      <c r="M113" s="784">
        <v>0</v>
      </c>
    </row>
    <row r="114" spans="1:13" ht="15" x14ac:dyDescent="0.25">
      <c r="A114" s="758" t="s">
        <v>315</v>
      </c>
      <c r="B114">
        <v>111</v>
      </c>
      <c r="C114" s="759">
        <v>26.5</v>
      </c>
      <c r="D114" s="760">
        <v>26.5</v>
      </c>
      <c r="E114" s="761">
        <v>0</v>
      </c>
      <c r="F114" s="759">
        <v>0</v>
      </c>
      <c r="H114" s="777" t="s">
        <v>315</v>
      </c>
      <c r="I114" s="766">
        <v>111</v>
      </c>
      <c r="J114" s="784">
        <v>32</v>
      </c>
      <c r="K114" s="784">
        <v>32</v>
      </c>
      <c r="L114" s="784">
        <v>0</v>
      </c>
      <c r="M114" s="784">
        <v>0</v>
      </c>
    </row>
    <row r="115" spans="1:13" ht="15" x14ac:dyDescent="0.25">
      <c r="A115" s="758" t="s">
        <v>315</v>
      </c>
      <c r="B115">
        <v>112</v>
      </c>
      <c r="C115" s="759">
        <v>42.5</v>
      </c>
      <c r="D115" s="760">
        <v>0</v>
      </c>
      <c r="E115" s="761">
        <v>42.5</v>
      </c>
      <c r="F115" s="759">
        <v>0</v>
      </c>
      <c r="H115" s="777" t="s">
        <v>315</v>
      </c>
      <c r="I115" s="766">
        <v>112</v>
      </c>
      <c r="J115" s="784">
        <v>42.480000000000004</v>
      </c>
      <c r="K115" s="784">
        <v>0</v>
      </c>
      <c r="L115" s="784">
        <v>42.480000000000004</v>
      </c>
      <c r="M115" s="784">
        <v>0</v>
      </c>
    </row>
    <row r="116" spans="1:13" ht="15" x14ac:dyDescent="0.25">
      <c r="A116" s="758" t="s">
        <v>315</v>
      </c>
      <c r="B116">
        <v>130</v>
      </c>
      <c r="C116" s="759">
        <v>39.309999999999995</v>
      </c>
      <c r="D116" s="760">
        <v>33.97</v>
      </c>
      <c r="E116" s="761">
        <v>5.34</v>
      </c>
      <c r="F116" s="759">
        <v>0</v>
      </c>
      <c r="H116" s="777" t="s">
        <v>315</v>
      </c>
      <c r="I116" s="766">
        <v>130</v>
      </c>
      <c r="J116" s="784">
        <v>38.110000000000007</v>
      </c>
      <c r="K116" s="784">
        <v>32.720000000000006</v>
      </c>
      <c r="L116" s="784">
        <v>5.39</v>
      </c>
      <c r="M116" s="784">
        <v>0</v>
      </c>
    </row>
    <row r="117" spans="1:13" ht="15" x14ac:dyDescent="0.25">
      <c r="A117" s="758" t="s">
        <v>369</v>
      </c>
      <c r="B117">
        <v>102</v>
      </c>
      <c r="C117" s="759">
        <v>217.6</v>
      </c>
      <c r="D117" s="760">
        <v>0</v>
      </c>
      <c r="E117" s="761">
        <v>217.6</v>
      </c>
      <c r="F117" s="759">
        <v>0</v>
      </c>
      <c r="H117" s="777" t="s">
        <v>369</v>
      </c>
      <c r="I117" s="766">
        <v>102</v>
      </c>
      <c r="J117" s="784">
        <v>217.62</v>
      </c>
      <c r="K117" s="784">
        <v>0</v>
      </c>
      <c r="L117" s="784">
        <v>217.62</v>
      </c>
      <c r="M117" s="784">
        <v>0</v>
      </c>
    </row>
    <row r="118" spans="1:13" ht="15" x14ac:dyDescent="0.25">
      <c r="A118" s="758" t="s">
        <v>369</v>
      </c>
      <c r="B118">
        <v>112</v>
      </c>
      <c r="C118" s="759">
        <v>36</v>
      </c>
      <c r="D118" s="760">
        <v>0</v>
      </c>
      <c r="E118" s="761">
        <v>36</v>
      </c>
      <c r="F118" s="759">
        <v>0</v>
      </c>
      <c r="H118" s="777" t="s">
        <v>369</v>
      </c>
      <c r="I118" s="766">
        <v>112</v>
      </c>
      <c r="J118" s="784">
        <v>35</v>
      </c>
      <c r="K118" s="784">
        <v>0</v>
      </c>
      <c r="L118" s="784">
        <v>35</v>
      </c>
      <c r="M118" s="784">
        <v>0</v>
      </c>
    </row>
    <row r="119" spans="1:13" ht="15" x14ac:dyDescent="0.25">
      <c r="A119" s="758" t="s">
        <v>369</v>
      </c>
      <c r="B119">
        <v>130</v>
      </c>
      <c r="C119" s="759">
        <v>8.3000000000000007</v>
      </c>
      <c r="D119" s="760">
        <v>0</v>
      </c>
      <c r="E119" s="761">
        <v>8.3000000000000007</v>
      </c>
      <c r="F119" s="759">
        <v>0</v>
      </c>
      <c r="H119" s="777" t="s">
        <v>369</v>
      </c>
      <c r="I119" s="766">
        <v>130</v>
      </c>
      <c r="J119" s="784">
        <v>8.25</v>
      </c>
      <c r="K119" s="784">
        <v>0</v>
      </c>
      <c r="L119" s="784">
        <v>8.25</v>
      </c>
      <c r="M119" s="784">
        <v>0</v>
      </c>
    </row>
    <row r="120" spans="1:13" ht="15" x14ac:dyDescent="0.25">
      <c r="A120" s="758" t="s">
        <v>366</v>
      </c>
      <c r="B120">
        <v>102</v>
      </c>
      <c r="C120" s="759">
        <v>95.429999999999993</v>
      </c>
      <c r="D120" s="760">
        <v>0</v>
      </c>
      <c r="E120" s="761">
        <v>95.429999999999993</v>
      </c>
      <c r="F120" s="759">
        <v>0</v>
      </c>
      <c r="H120" s="777" t="s">
        <v>366</v>
      </c>
      <c r="I120" s="766">
        <v>102</v>
      </c>
      <c r="J120" s="784">
        <v>92.91</v>
      </c>
      <c r="K120" s="784">
        <v>0</v>
      </c>
      <c r="L120" s="784">
        <v>92.91</v>
      </c>
      <c r="M120" s="784">
        <v>0</v>
      </c>
    </row>
    <row r="121" spans="1:13" ht="15" x14ac:dyDescent="0.25">
      <c r="A121" s="758" t="s">
        <v>366</v>
      </c>
      <c r="B121">
        <v>103</v>
      </c>
      <c r="C121" s="759">
        <v>55.34</v>
      </c>
      <c r="D121" s="760">
        <v>0</v>
      </c>
      <c r="E121" s="761">
        <v>0</v>
      </c>
      <c r="F121" s="759">
        <v>55.34</v>
      </c>
      <c r="H121" s="777" t="s">
        <v>366</v>
      </c>
      <c r="I121" s="766">
        <v>103</v>
      </c>
      <c r="J121" s="784">
        <v>56.72</v>
      </c>
      <c r="K121" s="784">
        <v>0</v>
      </c>
      <c r="L121" s="784">
        <v>0</v>
      </c>
      <c r="M121" s="784">
        <v>56.72</v>
      </c>
    </row>
    <row r="122" spans="1:13" ht="15" x14ac:dyDescent="0.25">
      <c r="A122" s="758" t="s">
        <v>366</v>
      </c>
      <c r="B122">
        <v>112</v>
      </c>
      <c r="C122" s="759">
        <v>27.5</v>
      </c>
      <c r="D122" s="760">
        <v>0</v>
      </c>
      <c r="E122" s="761">
        <v>27.5</v>
      </c>
      <c r="F122" s="759">
        <v>0</v>
      </c>
      <c r="H122" s="777" t="s">
        <v>366</v>
      </c>
      <c r="I122" s="766">
        <v>112</v>
      </c>
      <c r="J122" s="784">
        <v>26</v>
      </c>
      <c r="K122" s="784">
        <v>0</v>
      </c>
      <c r="L122" s="784">
        <v>26</v>
      </c>
      <c r="M122" s="784">
        <v>0</v>
      </c>
    </row>
    <row r="123" spans="1:13" ht="15" x14ac:dyDescent="0.25">
      <c r="A123" s="758" t="s">
        <v>366</v>
      </c>
      <c r="B123">
        <v>113</v>
      </c>
      <c r="C123" s="759">
        <v>11.5</v>
      </c>
      <c r="D123" s="760">
        <v>0</v>
      </c>
      <c r="E123" s="761">
        <v>0</v>
      </c>
      <c r="F123" s="759">
        <v>11.5</v>
      </c>
      <c r="H123" s="777" t="s">
        <v>366</v>
      </c>
      <c r="I123" s="766">
        <v>113</v>
      </c>
      <c r="J123" s="784">
        <v>10.969999999999999</v>
      </c>
      <c r="K123" s="784">
        <v>0</v>
      </c>
      <c r="L123" s="784">
        <v>0</v>
      </c>
      <c r="M123" s="784">
        <v>10.969999999999999</v>
      </c>
    </row>
    <row r="124" spans="1:13" ht="15" x14ac:dyDescent="0.25">
      <c r="A124" s="758" t="s">
        <v>366</v>
      </c>
      <c r="B124">
        <v>130</v>
      </c>
      <c r="C124" s="759">
        <v>14.36</v>
      </c>
      <c r="D124" s="760">
        <v>0</v>
      </c>
      <c r="E124" s="761">
        <v>8.07</v>
      </c>
      <c r="F124" s="759">
        <v>6.29</v>
      </c>
      <c r="H124" s="777" t="s">
        <v>366</v>
      </c>
      <c r="I124" s="766">
        <v>130</v>
      </c>
      <c r="J124" s="784">
        <v>14.629999999999999</v>
      </c>
      <c r="K124" s="784">
        <v>0</v>
      </c>
      <c r="L124" s="784">
        <v>8.5599999999999987</v>
      </c>
      <c r="M124" s="784">
        <v>6.07</v>
      </c>
    </row>
    <row r="125" spans="1:13" ht="15" x14ac:dyDescent="0.25">
      <c r="A125" s="758" t="s">
        <v>366</v>
      </c>
      <c r="B125">
        <v>300</v>
      </c>
      <c r="C125" s="759">
        <v>0.78</v>
      </c>
      <c r="D125" s="760">
        <v>0</v>
      </c>
      <c r="E125" s="761">
        <v>0</v>
      </c>
      <c r="F125" s="759">
        <v>0.78</v>
      </c>
      <c r="H125" s="777" t="s">
        <v>366</v>
      </c>
      <c r="I125" s="766">
        <v>300</v>
      </c>
      <c r="J125" s="784">
        <v>0.79</v>
      </c>
      <c r="K125" s="784">
        <v>0</v>
      </c>
      <c r="L125" s="784">
        <v>0</v>
      </c>
      <c r="M125" s="784">
        <v>0.79</v>
      </c>
    </row>
    <row r="126" spans="1:13" ht="15" x14ac:dyDescent="0.25">
      <c r="A126" s="758" t="s">
        <v>319</v>
      </c>
      <c r="B126">
        <v>101</v>
      </c>
      <c r="C126" s="759">
        <v>54.97</v>
      </c>
      <c r="D126" s="760">
        <v>54.97</v>
      </c>
      <c r="E126" s="761">
        <v>0</v>
      </c>
      <c r="F126" s="759">
        <v>0</v>
      </c>
      <c r="H126" s="777" t="s">
        <v>319</v>
      </c>
      <c r="I126" s="766">
        <v>101</v>
      </c>
      <c r="J126" s="784">
        <v>52</v>
      </c>
      <c r="K126" s="784">
        <v>52</v>
      </c>
      <c r="L126" s="784">
        <v>0</v>
      </c>
      <c r="M126" s="784">
        <v>0</v>
      </c>
    </row>
    <row r="127" spans="1:13" ht="15" x14ac:dyDescent="0.25">
      <c r="A127" s="758" t="s">
        <v>319</v>
      </c>
      <c r="B127">
        <v>102</v>
      </c>
      <c r="C127" s="759">
        <v>29.55</v>
      </c>
      <c r="D127" s="760">
        <v>0</v>
      </c>
      <c r="E127" s="761">
        <v>29.55</v>
      </c>
      <c r="F127" s="759">
        <v>0</v>
      </c>
      <c r="H127" s="777" t="s">
        <v>319</v>
      </c>
      <c r="I127" s="766">
        <v>102</v>
      </c>
      <c r="J127" s="784">
        <v>29.56</v>
      </c>
      <c r="K127" s="784">
        <v>0</v>
      </c>
      <c r="L127" s="784">
        <v>29.56</v>
      </c>
      <c r="M127" s="784">
        <v>0</v>
      </c>
    </row>
    <row r="128" spans="1:13" ht="15" x14ac:dyDescent="0.25">
      <c r="A128" s="758" t="s">
        <v>319</v>
      </c>
      <c r="B128">
        <v>111</v>
      </c>
      <c r="C128" s="759">
        <v>10.5</v>
      </c>
      <c r="D128" s="760">
        <v>10.5</v>
      </c>
      <c r="E128" s="761">
        <v>0</v>
      </c>
      <c r="F128" s="759">
        <v>0</v>
      </c>
      <c r="H128" s="777" t="s">
        <v>319</v>
      </c>
      <c r="I128" s="766">
        <v>111</v>
      </c>
      <c r="J128" s="784">
        <v>11.01</v>
      </c>
      <c r="K128" s="784">
        <v>11.01</v>
      </c>
      <c r="L128" s="784">
        <v>0</v>
      </c>
      <c r="M128" s="784">
        <v>0</v>
      </c>
    </row>
    <row r="129" spans="1:13" ht="15" x14ac:dyDescent="0.25">
      <c r="A129" s="758" t="s">
        <v>319</v>
      </c>
      <c r="B129">
        <v>112</v>
      </c>
      <c r="C129" s="759">
        <v>6</v>
      </c>
      <c r="D129" s="760">
        <v>0</v>
      </c>
      <c r="E129" s="761">
        <v>6</v>
      </c>
      <c r="F129" s="759">
        <v>0</v>
      </c>
      <c r="H129" s="777" t="s">
        <v>319</v>
      </c>
      <c r="I129" s="766">
        <v>112</v>
      </c>
      <c r="J129" s="784">
        <v>5.52</v>
      </c>
      <c r="K129" s="784">
        <v>0</v>
      </c>
      <c r="L129" s="784">
        <v>5.52</v>
      </c>
      <c r="M129" s="784">
        <v>0</v>
      </c>
    </row>
    <row r="130" spans="1:13" ht="15" x14ac:dyDescent="0.25">
      <c r="A130" s="758" t="s">
        <v>319</v>
      </c>
      <c r="B130">
        <v>130</v>
      </c>
      <c r="C130" s="759">
        <v>12.98</v>
      </c>
      <c r="D130" s="760">
        <v>8.0299999999999994</v>
      </c>
      <c r="E130" s="761">
        <v>4.9499999999999993</v>
      </c>
      <c r="F130" s="759">
        <v>0</v>
      </c>
      <c r="H130" s="777" t="s">
        <v>319</v>
      </c>
      <c r="I130" s="766">
        <v>130</v>
      </c>
      <c r="J130" s="784">
        <v>12.21</v>
      </c>
      <c r="K130" s="784">
        <v>7.26</v>
      </c>
      <c r="L130" s="784">
        <v>4.9499999999999993</v>
      </c>
      <c r="M130" s="784">
        <v>0</v>
      </c>
    </row>
    <row r="131" spans="1:13" ht="15" x14ac:dyDescent="0.25">
      <c r="A131" s="758">
        <v>3971</v>
      </c>
      <c r="B131">
        <v>102</v>
      </c>
      <c r="C131" s="759">
        <v>6.75</v>
      </c>
      <c r="D131" s="760">
        <v>0</v>
      </c>
      <c r="E131" s="761">
        <v>6.75</v>
      </c>
      <c r="F131" s="759">
        <v>0</v>
      </c>
      <c r="H131" s="777">
        <v>3971</v>
      </c>
      <c r="I131" s="766">
        <v>102</v>
      </c>
      <c r="J131" s="784">
        <v>7.5</v>
      </c>
      <c r="K131" s="784">
        <v>0</v>
      </c>
      <c r="L131" s="784">
        <v>7.5</v>
      </c>
      <c r="M131" s="784">
        <v>0</v>
      </c>
    </row>
    <row r="132" spans="1:13" ht="15" x14ac:dyDescent="0.25">
      <c r="A132" s="758">
        <v>3971</v>
      </c>
      <c r="B132">
        <v>112</v>
      </c>
      <c r="C132" s="759">
        <v>3.5</v>
      </c>
      <c r="D132" s="760">
        <v>0</v>
      </c>
      <c r="E132" s="761">
        <v>3.5</v>
      </c>
      <c r="F132" s="759">
        <v>0</v>
      </c>
      <c r="H132" s="777">
        <v>3971</v>
      </c>
      <c r="I132" s="766">
        <v>112</v>
      </c>
      <c r="J132" s="784">
        <v>3.97</v>
      </c>
      <c r="K132" s="784">
        <v>0</v>
      </c>
      <c r="L132" s="784">
        <v>3.97</v>
      </c>
      <c r="M132" s="784">
        <v>0</v>
      </c>
    </row>
    <row r="133" spans="1:13" ht="15" x14ac:dyDescent="0.25">
      <c r="A133" s="758">
        <v>3971</v>
      </c>
      <c r="B133">
        <v>130</v>
      </c>
      <c r="C133" s="759">
        <v>1.25</v>
      </c>
      <c r="D133" s="760">
        <v>0</v>
      </c>
      <c r="E133" s="761">
        <v>1.25</v>
      </c>
      <c r="F133" s="759">
        <v>0</v>
      </c>
      <c r="H133" s="777">
        <v>3971</v>
      </c>
      <c r="I133" s="766">
        <v>130</v>
      </c>
      <c r="J133" s="784">
        <v>0.84</v>
      </c>
      <c r="K133" s="784">
        <v>0</v>
      </c>
      <c r="L133" s="784">
        <v>0.84</v>
      </c>
      <c r="M133" s="784">
        <v>0</v>
      </c>
    </row>
    <row r="134" spans="1:13" ht="15" x14ac:dyDescent="0.25">
      <c r="A134" s="758" t="s">
        <v>323</v>
      </c>
      <c r="B134">
        <v>103</v>
      </c>
      <c r="C134" s="759">
        <v>223.28</v>
      </c>
      <c r="D134" s="760">
        <v>0</v>
      </c>
      <c r="E134" s="761">
        <v>0</v>
      </c>
      <c r="F134" s="759">
        <v>223.27999999999997</v>
      </c>
      <c r="H134" s="777" t="s">
        <v>323</v>
      </c>
      <c r="I134" s="766">
        <v>103</v>
      </c>
      <c r="J134" s="784">
        <v>229.33</v>
      </c>
      <c r="K134" s="784">
        <v>0</v>
      </c>
      <c r="L134" s="784">
        <v>0</v>
      </c>
      <c r="M134" s="784">
        <v>229.33</v>
      </c>
    </row>
    <row r="135" spans="1:13" ht="15" x14ac:dyDescent="0.25">
      <c r="A135" s="758" t="s">
        <v>323</v>
      </c>
      <c r="B135">
        <v>113</v>
      </c>
      <c r="C135" s="759">
        <v>57.72</v>
      </c>
      <c r="D135" s="760">
        <v>0</v>
      </c>
      <c r="E135" s="761">
        <v>0</v>
      </c>
      <c r="F135" s="759">
        <v>57.72</v>
      </c>
      <c r="H135" s="777" t="s">
        <v>323</v>
      </c>
      <c r="I135" s="766">
        <v>113</v>
      </c>
      <c r="J135" s="784">
        <v>68.64</v>
      </c>
      <c r="K135" s="784">
        <v>0</v>
      </c>
      <c r="L135" s="784">
        <v>0</v>
      </c>
      <c r="M135" s="784">
        <v>68.64</v>
      </c>
    </row>
    <row r="136" spans="1:13" ht="15" x14ac:dyDescent="0.25">
      <c r="A136" s="758" t="s">
        <v>323</v>
      </c>
      <c r="B136">
        <v>130</v>
      </c>
      <c r="C136" s="759">
        <v>23.9</v>
      </c>
      <c r="D136" s="760">
        <v>0</v>
      </c>
      <c r="E136" s="761">
        <v>0</v>
      </c>
      <c r="F136" s="759">
        <v>23.9</v>
      </c>
      <c r="H136" s="777" t="s">
        <v>323</v>
      </c>
      <c r="I136" s="766">
        <v>130</v>
      </c>
      <c r="J136" s="784">
        <v>24.659999999999997</v>
      </c>
      <c r="K136" s="784">
        <v>0</v>
      </c>
      <c r="L136" s="784">
        <v>0</v>
      </c>
      <c r="M136" s="784">
        <v>24.659999999999997</v>
      </c>
    </row>
    <row r="137" spans="1:13" ht="15" x14ac:dyDescent="0.25">
      <c r="A137" s="758" t="s">
        <v>325</v>
      </c>
      <c r="B137">
        <v>101</v>
      </c>
      <c r="C137" s="759">
        <v>90.9</v>
      </c>
      <c r="D137" s="760">
        <v>90.9</v>
      </c>
      <c r="E137" s="761">
        <v>0</v>
      </c>
      <c r="F137" s="759">
        <v>0</v>
      </c>
      <c r="H137" s="777" t="s">
        <v>325</v>
      </c>
      <c r="I137" s="766">
        <v>101</v>
      </c>
      <c r="J137" s="784">
        <v>88.039999999999992</v>
      </c>
      <c r="K137" s="784">
        <v>88.039999999999992</v>
      </c>
      <c r="L137" s="784">
        <v>0</v>
      </c>
      <c r="M137" s="784">
        <v>0</v>
      </c>
    </row>
    <row r="138" spans="1:13" ht="15" x14ac:dyDescent="0.25">
      <c r="A138" s="758" t="s">
        <v>325</v>
      </c>
      <c r="B138">
        <v>102</v>
      </c>
      <c r="C138" s="759">
        <v>149.74</v>
      </c>
      <c r="D138" s="760">
        <v>0</v>
      </c>
      <c r="E138" s="761">
        <v>149.74</v>
      </c>
      <c r="F138" s="759">
        <v>0</v>
      </c>
      <c r="H138" s="777" t="s">
        <v>325</v>
      </c>
      <c r="I138" s="766">
        <v>102</v>
      </c>
      <c r="J138" s="784">
        <v>148.94</v>
      </c>
      <c r="K138" s="784">
        <v>0</v>
      </c>
      <c r="L138" s="784">
        <v>148.94</v>
      </c>
      <c r="M138" s="784">
        <v>0</v>
      </c>
    </row>
    <row r="139" spans="1:13" ht="15" x14ac:dyDescent="0.25">
      <c r="A139" s="758" t="s">
        <v>325</v>
      </c>
      <c r="B139">
        <v>111</v>
      </c>
      <c r="C139" s="759">
        <v>13</v>
      </c>
      <c r="D139" s="760">
        <v>13</v>
      </c>
      <c r="E139" s="761">
        <v>0</v>
      </c>
      <c r="F139" s="759">
        <v>0</v>
      </c>
      <c r="H139" s="777" t="s">
        <v>325</v>
      </c>
      <c r="I139" s="766">
        <v>111</v>
      </c>
      <c r="J139" s="784">
        <v>15.059999999999999</v>
      </c>
      <c r="K139" s="784">
        <v>15.059999999999999</v>
      </c>
      <c r="L139" s="784">
        <v>0</v>
      </c>
      <c r="M139" s="784">
        <v>0</v>
      </c>
    </row>
    <row r="140" spans="1:13" ht="15" x14ac:dyDescent="0.25">
      <c r="A140" s="758" t="s">
        <v>325</v>
      </c>
      <c r="B140">
        <v>112</v>
      </c>
      <c r="C140" s="759">
        <v>24</v>
      </c>
      <c r="D140" s="760">
        <v>0</v>
      </c>
      <c r="E140" s="761">
        <v>24</v>
      </c>
      <c r="F140" s="759">
        <v>0</v>
      </c>
      <c r="H140" s="777" t="s">
        <v>325</v>
      </c>
      <c r="I140" s="766">
        <v>112</v>
      </c>
      <c r="J140" s="784">
        <v>23.5</v>
      </c>
      <c r="K140" s="784">
        <v>0</v>
      </c>
      <c r="L140" s="784">
        <v>23.5</v>
      </c>
      <c r="M140" s="784">
        <v>0</v>
      </c>
    </row>
    <row r="141" spans="1:13" ht="15" x14ac:dyDescent="0.25">
      <c r="A141" s="758" t="s">
        <v>325</v>
      </c>
      <c r="B141">
        <v>130</v>
      </c>
      <c r="C141" s="759">
        <v>43.860000000000007</v>
      </c>
      <c r="D141" s="760">
        <v>28.6</v>
      </c>
      <c r="E141" s="761">
        <v>15.260000000000002</v>
      </c>
      <c r="F141" s="759">
        <v>0</v>
      </c>
      <c r="H141" s="777" t="s">
        <v>325</v>
      </c>
      <c r="I141" s="766">
        <v>130</v>
      </c>
      <c r="J141" s="784">
        <v>41.74</v>
      </c>
      <c r="K141" s="784">
        <v>28.16</v>
      </c>
      <c r="L141" s="784">
        <v>13.580000000000002</v>
      </c>
      <c r="M141" s="784">
        <v>0</v>
      </c>
    </row>
    <row r="142" spans="1:13" ht="15" x14ac:dyDescent="0.25">
      <c r="A142" s="758" t="s">
        <v>372</v>
      </c>
      <c r="B142">
        <v>101</v>
      </c>
      <c r="C142" s="759">
        <v>97.49</v>
      </c>
      <c r="D142" s="760">
        <v>97.49</v>
      </c>
      <c r="E142" s="761">
        <v>0</v>
      </c>
      <c r="F142" s="759">
        <v>0</v>
      </c>
      <c r="H142" s="777" t="s">
        <v>372</v>
      </c>
      <c r="I142" s="766">
        <v>101</v>
      </c>
      <c r="J142" s="784">
        <v>93.34</v>
      </c>
      <c r="K142" s="784">
        <v>93.34</v>
      </c>
      <c r="L142" s="784">
        <v>0</v>
      </c>
      <c r="M142" s="784">
        <v>0</v>
      </c>
    </row>
    <row r="143" spans="1:13" ht="15" x14ac:dyDescent="0.25">
      <c r="A143" s="758" t="s">
        <v>372</v>
      </c>
      <c r="B143">
        <v>102</v>
      </c>
      <c r="C143" s="759">
        <v>177.15</v>
      </c>
      <c r="D143" s="760">
        <v>0</v>
      </c>
      <c r="E143" s="761">
        <v>177.15</v>
      </c>
      <c r="F143" s="759">
        <v>0</v>
      </c>
      <c r="H143" s="777" t="s">
        <v>372</v>
      </c>
      <c r="I143" s="766">
        <v>102</v>
      </c>
      <c r="J143" s="784">
        <v>173.72</v>
      </c>
      <c r="K143" s="784">
        <v>0</v>
      </c>
      <c r="L143" s="784">
        <v>173.72</v>
      </c>
      <c r="M143" s="784">
        <v>0</v>
      </c>
    </row>
    <row r="144" spans="1:13" ht="15" x14ac:dyDescent="0.25">
      <c r="A144" s="758" t="s">
        <v>372</v>
      </c>
      <c r="B144">
        <v>111</v>
      </c>
      <c r="C144" s="759">
        <v>14</v>
      </c>
      <c r="D144" s="760">
        <v>14</v>
      </c>
      <c r="E144" s="761">
        <v>0</v>
      </c>
      <c r="F144" s="759">
        <v>0</v>
      </c>
      <c r="H144" s="777" t="s">
        <v>372</v>
      </c>
      <c r="I144" s="766">
        <v>111</v>
      </c>
      <c r="J144" s="784">
        <v>13</v>
      </c>
      <c r="K144" s="784">
        <v>13</v>
      </c>
      <c r="L144" s="784">
        <v>0</v>
      </c>
      <c r="M144" s="784">
        <v>0</v>
      </c>
    </row>
    <row r="145" spans="1:13" ht="15" x14ac:dyDescent="0.25">
      <c r="A145" s="758" t="s">
        <v>372</v>
      </c>
      <c r="B145">
        <v>112</v>
      </c>
      <c r="C145" s="759">
        <v>25.5</v>
      </c>
      <c r="D145" s="760">
        <v>0</v>
      </c>
      <c r="E145" s="761">
        <v>25.5</v>
      </c>
      <c r="F145" s="759">
        <v>0</v>
      </c>
      <c r="H145" s="777" t="s">
        <v>372</v>
      </c>
      <c r="I145" s="766">
        <v>112</v>
      </c>
      <c r="J145" s="784">
        <v>23.939999999999998</v>
      </c>
      <c r="K145" s="784">
        <v>0</v>
      </c>
      <c r="L145" s="784">
        <v>23.939999999999998</v>
      </c>
      <c r="M145" s="784">
        <v>0</v>
      </c>
    </row>
    <row r="146" spans="1:13" ht="15" x14ac:dyDescent="0.25">
      <c r="A146" s="758" t="s">
        <v>372</v>
      </c>
      <c r="B146">
        <v>130</v>
      </c>
      <c r="C146" s="759">
        <v>130.86000000000001</v>
      </c>
      <c r="D146" s="760">
        <v>92.51</v>
      </c>
      <c r="E146" s="761">
        <v>38.35</v>
      </c>
      <c r="F146" s="759">
        <v>0</v>
      </c>
      <c r="H146" s="777" t="s">
        <v>372</v>
      </c>
      <c r="I146" s="766">
        <v>130</v>
      </c>
      <c r="J146" s="784">
        <v>125.47</v>
      </c>
      <c r="K146" s="784">
        <v>87.22</v>
      </c>
      <c r="L146" s="784">
        <v>38.25</v>
      </c>
      <c r="M146" s="784">
        <v>0</v>
      </c>
    </row>
    <row r="147" spans="1:13" ht="15" x14ac:dyDescent="0.25">
      <c r="A147" s="800">
        <v>4013</v>
      </c>
      <c r="B147">
        <v>102</v>
      </c>
      <c r="C147" s="759">
        <v>222.88</v>
      </c>
      <c r="D147" s="760">
        <v>0</v>
      </c>
      <c r="E147" s="761">
        <v>222.88</v>
      </c>
      <c r="F147" s="759">
        <v>0</v>
      </c>
      <c r="H147" s="801">
        <v>4013</v>
      </c>
      <c r="I147" s="766">
        <v>102</v>
      </c>
      <c r="J147" s="784">
        <v>216.48000000000002</v>
      </c>
      <c r="K147" s="784">
        <v>0</v>
      </c>
      <c r="L147" s="784">
        <v>216.48000000000002</v>
      </c>
      <c r="M147" s="784">
        <v>0</v>
      </c>
    </row>
    <row r="148" spans="1:13" ht="15" x14ac:dyDescent="0.25">
      <c r="A148" s="800">
        <v>4013</v>
      </c>
      <c r="B148">
        <v>112</v>
      </c>
      <c r="C148" s="759">
        <v>41.94</v>
      </c>
      <c r="D148" s="760">
        <v>0</v>
      </c>
      <c r="E148" s="761">
        <v>41.94</v>
      </c>
      <c r="F148" s="759">
        <v>0</v>
      </c>
      <c r="H148" s="801">
        <v>4013</v>
      </c>
      <c r="I148" s="766">
        <v>112</v>
      </c>
      <c r="J148" s="784">
        <v>38.440000000000005</v>
      </c>
      <c r="K148" s="784">
        <v>0</v>
      </c>
      <c r="L148" s="784">
        <v>38.440000000000005</v>
      </c>
      <c r="M148" s="784">
        <v>0</v>
      </c>
    </row>
    <row r="149" spans="1:13" ht="15" x14ac:dyDescent="0.25">
      <c r="A149" s="800">
        <v>4013</v>
      </c>
      <c r="B149">
        <v>130</v>
      </c>
      <c r="C149" s="759">
        <v>5.87</v>
      </c>
      <c r="D149" s="760">
        <v>0</v>
      </c>
      <c r="E149" s="761">
        <v>5.87</v>
      </c>
      <c r="F149" s="759">
        <v>0</v>
      </c>
      <c r="H149" s="801">
        <v>4013</v>
      </c>
      <c r="I149" s="766">
        <v>130</v>
      </c>
      <c r="J149" s="784">
        <v>4.99</v>
      </c>
      <c r="K149" s="784">
        <v>0</v>
      </c>
      <c r="L149" s="784">
        <v>4.99</v>
      </c>
      <c r="M149" s="784">
        <v>0</v>
      </c>
    </row>
    <row r="150" spans="1:13" ht="15" x14ac:dyDescent="0.25">
      <c r="A150" s="758" t="s">
        <v>373</v>
      </c>
      <c r="B150">
        <v>103</v>
      </c>
      <c r="C150" s="759">
        <v>429.38</v>
      </c>
      <c r="D150" s="760">
        <v>0</v>
      </c>
      <c r="E150" s="761">
        <v>0</v>
      </c>
      <c r="F150" s="759">
        <v>429.38</v>
      </c>
      <c r="H150" s="777" t="s">
        <v>373</v>
      </c>
      <c r="I150" s="766">
        <v>103</v>
      </c>
      <c r="J150" s="784">
        <v>417.08</v>
      </c>
      <c r="K150" s="784">
        <v>0</v>
      </c>
      <c r="L150" s="784">
        <v>0</v>
      </c>
      <c r="M150" s="784">
        <v>417.08</v>
      </c>
    </row>
    <row r="151" spans="1:13" ht="15" x14ac:dyDescent="0.25">
      <c r="A151" s="758" t="s">
        <v>373</v>
      </c>
      <c r="B151">
        <v>113</v>
      </c>
      <c r="C151" s="759">
        <v>47</v>
      </c>
      <c r="D151" s="760">
        <v>0</v>
      </c>
      <c r="E151" s="761">
        <v>0</v>
      </c>
      <c r="F151" s="759">
        <v>47</v>
      </c>
      <c r="H151" s="777" t="s">
        <v>373</v>
      </c>
      <c r="I151" s="766">
        <v>113</v>
      </c>
      <c r="J151" s="784">
        <v>42.15</v>
      </c>
      <c r="K151" s="784">
        <v>0</v>
      </c>
      <c r="L151" s="784">
        <v>0</v>
      </c>
      <c r="M151" s="784">
        <v>42.15</v>
      </c>
    </row>
    <row r="152" spans="1:13" ht="15" x14ac:dyDescent="0.25">
      <c r="A152" s="758" t="s">
        <v>373</v>
      </c>
      <c r="B152">
        <v>130</v>
      </c>
      <c r="C152" s="759">
        <v>6.09</v>
      </c>
      <c r="D152" s="760">
        <v>0</v>
      </c>
      <c r="E152" s="761">
        <v>0</v>
      </c>
      <c r="F152" s="759">
        <v>6.09</v>
      </c>
      <c r="H152" s="777" t="s">
        <v>373</v>
      </c>
      <c r="I152" s="766">
        <v>130</v>
      </c>
      <c r="J152" s="784">
        <v>5.14</v>
      </c>
      <c r="K152" s="784">
        <v>0</v>
      </c>
      <c r="L152" s="784">
        <v>0</v>
      </c>
      <c r="M152" s="784">
        <v>5.14</v>
      </c>
    </row>
    <row r="153" spans="1:13" ht="15" x14ac:dyDescent="0.25">
      <c r="A153" s="758" t="s">
        <v>373</v>
      </c>
      <c r="B153">
        <v>300</v>
      </c>
      <c r="C153" s="759">
        <v>22.41</v>
      </c>
      <c r="D153" s="760">
        <v>0</v>
      </c>
      <c r="E153" s="761">
        <v>0</v>
      </c>
      <c r="F153" s="759">
        <v>22.41</v>
      </c>
      <c r="H153" s="777" t="s">
        <v>373</v>
      </c>
      <c r="I153" s="766">
        <v>300</v>
      </c>
      <c r="J153" s="784">
        <v>22.080000000000002</v>
      </c>
      <c r="K153" s="784">
        <v>0</v>
      </c>
      <c r="L153" s="784">
        <v>0</v>
      </c>
      <c r="M153" s="784">
        <v>22.080000000000002</v>
      </c>
    </row>
    <row r="154" spans="1:13" ht="15" x14ac:dyDescent="0.25">
      <c r="A154" s="758" t="s">
        <v>360</v>
      </c>
      <c r="B154">
        <v>101</v>
      </c>
      <c r="C154" s="759">
        <v>234.29</v>
      </c>
      <c r="D154" s="760">
        <v>234.29</v>
      </c>
      <c r="E154" s="761">
        <v>0</v>
      </c>
      <c r="F154" s="759">
        <v>0</v>
      </c>
      <c r="H154" s="777" t="s">
        <v>360</v>
      </c>
      <c r="I154" s="766">
        <v>101</v>
      </c>
      <c r="J154" s="784">
        <v>226.73000000000002</v>
      </c>
      <c r="K154" s="784">
        <v>226.73000000000002</v>
      </c>
      <c r="L154" s="784">
        <v>0</v>
      </c>
      <c r="M154" s="784">
        <v>0</v>
      </c>
    </row>
    <row r="155" spans="1:13" ht="15" x14ac:dyDescent="0.25">
      <c r="A155" s="758" t="s">
        <v>360</v>
      </c>
      <c r="B155">
        <v>102</v>
      </c>
      <c r="C155" s="759">
        <v>272.62</v>
      </c>
      <c r="D155" s="760">
        <v>0</v>
      </c>
      <c r="E155" s="761">
        <v>272.62</v>
      </c>
      <c r="F155" s="759">
        <v>0</v>
      </c>
      <c r="H155" s="777" t="s">
        <v>360</v>
      </c>
      <c r="I155" s="766">
        <v>102</v>
      </c>
      <c r="J155" s="784">
        <v>268.62</v>
      </c>
      <c r="K155" s="784">
        <v>0</v>
      </c>
      <c r="L155" s="784">
        <v>268.62</v>
      </c>
      <c r="M155" s="784">
        <v>0</v>
      </c>
    </row>
    <row r="156" spans="1:13" ht="15" x14ac:dyDescent="0.25">
      <c r="A156" s="758" t="s">
        <v>360</v>
      </c>
      <c r="B156">
        <v>111</v>
      </c>
      <c r="C156" s="759">
        <v>30</v>
      </c>
      <c r="D156" s="760">
        <v>30</v>
      </c>
      <c r="E156" s="761">
        <v>0</v>
      </c>
      <c r="F156" s="759">
        <v>0</v>
      </c>
      <c r="H156" s="777" t="s">
        <v>360</v>
      </c>
      <c r="I156" s="766">
        <v>111</v>
      </c>
      <c r="J156" s="784">
        <v>33</v>
      </c>
      <c r="K156" s="784">
        <v>33</v>
      </c>
      <c r="L156" s="784">
        <v>0</v>
      </c>
      <c r="M156" s="784">
        <v>0</v>
      </c>
    </row>
    <row r="157" spans="1:13" ht="15" x14ac:dyDescent="0.25">
      <c r="A157" s="758" t="s">
        <v>360</v>
      </c>
      <c r="B157">
        <v>112</v>
      </c>
      <c r="C157" s="759">
        <v>47.41</v>
      </c>
      <c r="D157" s="760">
        <v>0</v>
      </c>
      <c r="E157" s="761">
        <v>47.41</v>
      </c>
      <c r="F157" s="759">
        <v>0</v>
      </c>
      <c r="H157" s="777" t="s">
        <v>360</v>
      </c>
      <c r="I157" s="766">
        <v>112</v>
      </c>
      <c r="J157" s="784">
        <v>47.72</v>
      </c>
      <c r="K157" s="784">
        <v>0</v>
      </c>
      <c r="L157" s="784">
        <v>47.72</v>
      </c>
      <c r="M157" s="784">
        <v>0</v>
      </c>
    </row>
    <row r="158" spans="1:13" ht="15" x14ac:dyDescent="0.25">
      <c r="A158" s="758" t="s">
        <v>360</v>
      </c>
      <c r="B158">
        <v>130</v>
      </c>
      <c r="C158" s="759">
        <v>37.900000000000006</v>
      </c>
      <c r="D158" s="760">
        <v>25.21</v>
      </c>
      <c r="E158" s="761">
        <v>12.69</v>
      </c>
      <c r="F158" s="759">
        <v>0</v>
      </c>
      <c r="H158" s="777" t="s">
        <v>360</v>
      </c>
      <c r="I158" s="766">
        <v>130</v>
      </c>
      <c r="J158" s="784">
        <v>36.520000000000003</v>
      </c>
      <c r="K158" s="784">
        <v>23.380000000000003</v>
      </c>
      <c r="L158" s="784">
        <v>13.139999999999999</v>
      </c>
      <c r="M158" s="784">
        <v>0</v>
      </c>
    </row>
    <row r="159" spans="1:13" ht="15" x14ac:dyDescent="0.25">
      <c r="A159" s="758" t="s">
        <v>608</v>
      </c>
      <c r="B159">
        <v>101</v>
      </c>
      <c r="C159" s="759">
        <v>51.690000000000005</v>
      </c>
      <c r="D159" s="760">
        <v>51.690000000000005</v>
      </c>
      <c r="E159" s="761">
        <v>0</v>
      </c>
      <c r="F159" s="759">
        <v>0</v>
      </c>
      <c r="H159" s="777" t="s">
        <v>608</v>
      </c>
      <c r="I159" s="766">
        <v>101</v>
      </c>
      <c r="J159" s="784">
        <v>49.23</v>
      </c>
      <c r="K159" s="784">
        <v>49.23</v>
      </c>
      <c r="L159" s="784">
        <v>0</v>
      </c>
      <c r="M159" s="784">
        <v>0</v>
      </c>
    </row>
    <row r="160" spans="1:13" ht="15" x14ac:dyDescent="0.25">
      <c r="A160" s="758" t="s">
        <v>608</v>
      </c>
      <c r="B160">
        <v>102</v>
      </c>
      <c r="C160" s="759">
        <v>89.88</v>
      </c>
      <c r="D160" s="760">
        <v>0</v>
      </c>
      <c r="E160" s="761">
        <v>89.88</v>
      </c>
      <c r="F160" s="759">
        <v>0</v>
      </c>
      <c r="H160" s="777" t="s">
        <v>608</v>
      </c>
      <c r="I160" s="766">
        <v>102</v>
      </c>
      <c r="J160" s="784">
        <v>90.48</v>
      </c>
      <c r="K160" s="784">
        <v>0</v>
      </c>
      <c r="L160" s="784">
        <v>90.48</v>
      </c>
      <c r="M160" s="784">
        <v>0</v>
      </c>
    </row>
    <row r="161" spans="1:13" ht="15" x14ac:dyDescent="0.25">
      <c r="A161" s="758" t="s">
        <v>608</v>
      </c>
      <c r="B161">
        <v>111</v>
      </c>
      <c r="C161" s="759">
        <v>6</v>
      </c>
      <c r="D161" s="760">
        <v>6</v>
      </c>
      <c r="E161" s="761">
        <v>0</v>
      </c>
      <c r="F161" s="759">
        <v>0</v>
      </c>
      <c r="H161" s="777" t="s">
        <v>608</v>
      </c>
      <c r="I161" s="766">
        <v>111</v>
      </c>
      <c r="J161" s="784">
        <v>8.0399999999999991</v>
      </c>
      <c r="K161" s="784">
        <v>8.0399999999999991</v>
      </c>
      <c r="L161" s="784">
        <v>0</v>
      </c>
      <c r="M161" s="784">
        <v>0</v>
      </c>
    </row>
    <row r="162" spans="1:13" ht="15" x14ac:dyDescent="0.25">
      <c r="A162" s="758" t="s">
        <v>608</v>
      </c>
      <c r="B162">
        <v>112</v>
      </c>
      <c r="C162" s="759">
        <v>18.5</v>
      </c>
      <c r="D162" s="760">
        <v>0</v>
      </c>
      <c r="E162" s="761">
        <v>18.5</v>
      </c>
      <c r="F162" s="759">
        <v>0</v>
      </c>
      <c r="H162" s="777" t="s">
        <v>608</v>
      </c>
      <c r="I162" s="766">
        <v>112</v>
      </c>
      <c r="J162" s="784">
        <v>18.07</v>
      </c>
      <c r="K162" s="784">
        <v>0</v>
      </c>
      <c r="L162" s="784">
        <v>18.07</v>
      </c>
      <c r="M162" s="784">
        <v>0</v>
      </c>
    </row>
    <row r="163" spans="1:13" ht="15" x14ac:dyDescent="0.25">
      <c r="A163" s="758" t="s">
        <v>608</v>
      </c>
      <c r="B163">
        <v>130</v>
      </c>
      <c r="C163" s="759">
        <v>34.130000000000003</v>
      </c>
      <c r="D163" s="760">
        <v>20.270000000000003</v>
      </c>
      <c r="E163" s="761">
        <v>13.86</v>
      </c>
      <c r="F163" s="759">
        <v>0</v>
      </c>
      <c r="H163" s="777" t="s">
        <v>608</v>
      </c>
      <c r="I163" s="766">
        <v>130</v>
      </c>
      <c r="J163" s="784">
        <v>31.93</v>
      </c>
      <c r="K163" s="784">
        <v>19.130000000000003</v>
      </c>
      <c r="L163" s="784">
        <v>12.8</v>
      </c>
      <c r="M163" s="784">
        <v>0</v>
      </c>
    </row>
    <row r="164" spans="1:13" ht="15" x14ac:dyDescent="0.25">
      <c r="A164" s="758" t="s">
        <v>374</v>
      </c>
      <c r="B164">
        <v>102</v>
      </c>
      <c r="C164" s="759">
        <v>35.450000000000003</v>
      </c>
      <c r="D164" s="760">
        <v>0</v>
      </c>
      <c r="E164" s="761">
        <v>35.450000000000003</v>
      </c>
      <c r="F164" s="759">
        <v>0</v>
      </c>
      <c r="H164" s="777" t="s">
        <v>374</v>
      </c>
      <c r="I164" s="766">
        <v>102</v>
      </c>
      <c r="J164" s="784">
        <v>35.36</v>
      </c>
      <c r="K164" s="784">
        <v>0</v>
      </c>
      <c r="L164" s="784">
        <v>35.36</v>
      </c>
      <c r="M164" s="784">
        <v>0</v>
      </c>
    </row>
    <row r="165" spans="1:13" ht="15" x14ac:dyDescent="0.25">
      <c r="A165" s="758" t="s">
        <v>374</v>
      </c>
      <c r="B165">
        <v>112</v>
      </c>
      <c r="C165" s="759">
        <v>9.34</v>
      </c>
      <c r="D165" s="760">
        <v>0</v>
      </c>
      <c r="E165" s="761">
        <v>9.34</v>
      </c>
      <c r="F165" s="759">
        <v>0</v>
      </c>
      <c r="H165" s="777" t="s">
        <v>374</v>
      </c>
      <c r="I165" s="766">
        <v>112</v>
      </c>
      <c r="J165" s="784">
        <v>9.57</v>
      </c>
      <c r="K165" s="784">
        <v>0</v>
      </c>
      <c r="L165" s="784">
        <v>9.57</v>
      </c>
      <c r="M165" s="784">
        <v>0</v>
      </c>
    </row>
    <row r="166" spans="1:13" ht="15" x14ac:dyDescent="0.25">
      <c r="A166" s="758" t="s">
        <v>374</v>
      </c>
      <c r="B166">
        <v>130</v>
      </c>
      <c r="C166" s="759">
        <v>2.79</v>
      </c>
      <c r="D166" s="760">
        <v>0</v>
      </c>
      <c r="E166" s="761">
        <v>2.79</v>
      </c>
      <c r="F166" s="759">
        <v>0</v>
      </c>
      <c r="H166" s="777" t="s">
        <v>374</v>
      </c>
      <c r="I166" s="766">
        <v>130</v>
      </c>
      <c r="J166" s="784">
        <v>2.29</v>
      </c>
      <c r="K166" s="784">
        <v>0</v>
      </c>
      <c r="L166" s="784">
        <v>2.29</v>
      </c>
      <c r="M166" s="784">
        <v>0</v>
      </c>
    </row>
    <row r="167" spans="1:13" ht="15" x14ac:dyDescent="0.25">
      <c r="A167" s="758" t="s">
        <v>371</v>
      </c>
      <c r="B167">
        <v>101</v>
      </c>
      <c r="C167" s="759">
        <v>115</v>
      </c>
      <c r="D167" s="760">
        <v>115</v>
      </c>
      <c r="E167" s="761">
        <v>0</v>
      </c>
      <c r="F167" s="759">
        <v>0</v>
      </c>
      <c r="H167" s="777" t="s">
        <v>371</v>
      </c>
      <c r="I167" s="766">
        <v>101</v>
      </c>
      <c r="J167" s="784">
        <v>111.91</v>
      </c>
      <c r="K167" s="784">
        <v>111.91</v>
      </c>
      <c r="L167" s="784">
        <v>0</v>
      </c>
      <c r="M167" s="784">
        <v>0</v>
      </c>
    </row>
    <row r="168" spans="1:13" ht="15" x14ac:dyDescent="0.25">
      <c r="A168" s="758" t="s">
        <v>371</v>
      </c>
      <c r="B168">
        <v>102</v>
      </c>
      <c r="C168" s="759">
        <v>133.49</v>
      </c>
      <c r="D168" s="760">
        <v>0</v>
      </c>
      <c r="E168" s="761">
        <v>133.49</v>
      </c>
      <c r="F168" s="759">
        <v>0</v>
      </c>
      <c r="H168" s="777" t="s">
        <v>371</v>
      </c>
      <c r="I168" s="766">
        <v>102</v>
      </c>
      <c r="J168" s="784">
        <v>133.57</v>
      </c>
      <c r="K168" s="784">
        <v>0</v>
      </c>
      <c r="L168" s="784">
        <v>133.57</v>
      </c>
      <c r="M168" s="784">
        <v>0</v>
      </c>
    </row>
    <row r="169" spans="1:13" ht="15" x14ac:dyDescent="0.25">
      <c r="A169" s="758" t="s">
        <v>371</v>
      </c>
      <c r="B169">
        <v>111</v>
      </c>
      <c r="C169" s="759">
        <v>11.5</v>
      </c>
      <c r="D169" s="760">
        <v>11.5</v>
      </c>
      <c r="E169" s="761">
        <v>0</v>
      </c>
      <c r="F169" s="759">
        <v>0</v>
      </c>
      <c r="H169" s="777" t="s">
        <v>371</v>
      </c>
      <c r="I169" s="766">
        <v>111</v>
      </c>
      <c r="J169" s="784">
        <v>11.5</v>
      </c>
      <c r="K169" s="784">
        <v>11.5</v>
      </c>
      <c r="L169" s="784">
        <v>0</v>
      </c>
      <c r="M169" s="784">
        <v>0</v>
      </c>
    </row>
    <row r="170" spans="1:13" ht="15" x14ac:dyDescent="0.25">
      <c r="A170" s="758" t="s">
        <v>371</v>
      </c>
      <c r="B170">
        <v>112</v>
      </c>
      <c r="C170" s="759">
        <v>21.5</v>
      </c>
      <c r="D170" s="760">
        <v>0</v>
      </c>
      <c r="E170" s="761">
        <v>21.5</v>
      </c>
      <c r="F170" s="759">
        <v>0</v>
      </c>
      <c r="H170" s="777" t="s">
        <v>371</v>
      </c>
      <c r="I170" s="766">
        <v>112</v>
      </c>
      <c r="J170" s="784">
        <v>21</v>
      </c>
      <c r="K170" s="784">
        <v>0</v>
      </c>
      <c r="L170" s="784">
        <v>21</v>
      </c>
      <c r="M170" s="784">
        <v>0</v>
      </c>
    </row>
    <row r="171" spans="1:13" ht="15" x14ac:dyDescent="0.25">
      <c r="A171" s="758" t="s">
        <v>371</v>
      </c>
      <c r="B171">
        <v>130</v>
      </c>
      <c r="C171" s="759">
        <v>37.409999999999997</v>
      </c>
      <c r="D171" s="760">
        <v>15.5</v>
      </c>
      <c r="E171" s="761">
        <v>21.91</v>
      </c>
      <c r="F171" s="759">
        <v>0</v>
      </c>
      <c r="H171" s="777" t="s">
        <v>371</v>
      </c>
      <c r="I171" s="766">
        <v>130</v>
      </c>
      <c r="J171" s="784">
        <v>36.739999999999995</v>
      </c>
      <c r="K171" s="784">
        <v>17.579999999999998</v>
      </c>
      <c r="L171" s="784">
        <v>19.16</v>
      </c>
      <c r="M171" s="784">
        <v>0</v>
      </c>
    </row>
    <row r="172" spans="1:13" ht="15" x14ac:dyDescent="0.25">
      <c r="A172" s="758" t="s">
        <v>368</v>
      </c>
      <c r="B172">
        <v>101</v>
      </c>
      <c r="C172" s="759">
        <v>110.48</v>
      </c>
      <c r="D172" s="760">
        <v>110.48</v>
      </c>
      <c r="E172" s="761">
        <v>0</v>
      </c>
      <c r="F172" s="759">
        <v>0</v>
      </c>
      <c r="H172" s="777" t="s">
        <v>368</v>
      </c>
      <c r="I172" s="766">
        <v>101</v>
      </c>
      <c r="J172" s="784">
        <v>105.96000000000001</v>
      </c>
      <c r="K172" s="784">
        <v>105.96000000000001</v>
      </c>
      <c r="L172" s="784">
        <v>0</v>
      </c>
      <c r="M172" s="784">
        <v>0</v>
      </c>
    </row>
    <row r="173" spans="1:13" ht="15" x14ac:dyDescent="0.25">
      <c r="A173" s="758" t="s">
        <v>368</v>
      </c>
      <c r="B173">
        <v>102</v>
      </c>
      <c r="C173" s="759">
        <v>122.06</v>
      </c>
      <c r="D173" s="760">
        <v>0</v>
      </c>
      <c r="E173" s="761">
        <v>122.06</v>
      </c>
      <c r="F173" s="759">
        <v>0</v>
      </c>
      <c r="H173" s="777" t="s">
        <v>368</v>
      </c>
      <c r="I173" s="766">
        <v>102</v>
      </c>
      <c r="J173" s="784">
        <v>118</v>
      </c>
      <c r="K173" s="784">
        <v>0</v>
      </c>
      <c r="L173" s="784">
        <v>118</v>
      </c>
      <c r="M173" s="784">
        <v>0</v>
      </c>
    </row>
    <row r="174" spans="1:13" ht="15" x14ac:dyDescent="0.25">
      <c r="A174" s="758" t="s">
        <v>368</v>
      </c>
      <c r="B174">
        <v>111</v>
      </c>
      <c r="C174" s="759">
        <v>13.5</v>
      </c>
      <c r="D174" s="760">
        <v>13.5</v>
      </c>
      <c r="E174" s="761">
        <v>0</v>
      </c>
      <c r="F174" s="759">
        <v>0</v>
      </c>
      <c r="H174" s="777" t="s">
        <v>368</v>
      </c>
      <c r="I174" s="766">
        <v>111</v>
      </c>
      <c r="J174" s="784">
        <v>14.5</v>
      </c>
      <c r="K174" s="784">
        <v>14.5</v>
      </c>
      <c r="L174" s="784">
        <v>0</v>
      </c>
      <c r="M174" s="784">
        <v>0</v>
      </c>
    </row>
    <row r="175" spans="1:13" ht="15" x14ac:dyDescent="0.25">
      <c r="A175" s="758" t="s">
        <v>368</v>
      </c>
      <c r="B175">
        <v>112</v>
      </c>
      <c r="C175" s="759">
        <v>19.5</v>
      </c>
      <c r="D175" s="760">
        <v>0</v>
      </c>
      <c r="E175" s="761">
        <v>19.5</v>
      </c>
      <c r="F175" s="759">
        <v>0</v>
      </c>
      <c r="H175" s="777" t="s">
        <v>368</v>
      </c>
      <c r="I175" s="766">
        <v>112</v>
      </c>
      <c r="J175" s="784">
        <v>17</v>
      </c>
      <c r="K175" s="784">
        <v>0</v>
      </c>
      <c r="L175" s="784">
        <v>17</v>
      </c>
      <c r="M175" s="784">
        <v>0</v>
      </c>
    </row>
    <row r="176" spans="1:13" ht="15" x14ac:dyDescent="0.25">
      <c r="A176" s="758" t="s">
        <v>368</v>
      </c>
      <c r="B176">
        <v>130</v>
      </c>
      <c r="C176" s="759">
        <v>48.959999999999994</v>
      </c>
      <c r="D176" s="760">
        <v>28.02</v>
      </c>
      <c r="E176" s="761">
        <v>20.94</v>
      </c>
      <c r="F176" s="759">
        <v>0</v>
      </c>
      <c r="H176" s="777" t="s">
        <v>368</v>
      </c>
      <c r="I176" s="766">
        <v>130</v>
      </c>
      <c r="J176" s="784">
        <v>52.03</v>
      </c>
      <c r="K176" s="784">
        <v>29.58</v>
      </c>
      <c r="L176" s="784">
        <v>22.45</v>
      </c>
      <c r="M176" s="784">
        <v>0</v>
      </c>
    </row>
    <row r="177" spans="1:13" ht="15" x14ac:dyDescent="0.25">
      <c r="A177" s="758" t="s">
        <v>361</v>
      </c>
      <c r="B177">
        <v>101</v>
      </c>
      <c r="C177" s="759">
        <v>164.78</v>
      </c>
      <c r="D177" s="760">
        <v>164.78</v>
      </c>
      <c r="E177" s="761">
        <v>0</v>
      </c>
      <c r="F177" s="759">
        <v>0</v>
      </c>
      <c r="H177" s="777" t="s">
        <v>361</v>
      </c>
      <c r="I177" s="766">
        <v>101</v>
      </c>
      <c r="J177" s="784">
        <v>159.96</v>
      </c>
      <c r="K177" s="784">
        <v>159.96</v>
      </c>
      <c r="L177" s="784">
        <v>0</v>
      </c>
      <c r="M177" s="784">
        <v>0</v>
      </c>
    </row>
    <row r="178" spans="1:13" ht="15" x14ac:dyDescent="0.25">
      <c r="A178" s="758" t="s">
        <v>361</v>
      </c>
      <c r="B178">
        <v>102</v>
      </c>
      <c r="C178" s="759">
        <v>235.26999999999998</v>
      </c>
      <c r="D178" s="760">
        <v>0</v>
      </c>
      <c r="E178" s="761">
        <v>235.26999999999998</v>
      </c>
      <c r="F178" s="759">
        <v>0</v>
      </c>
      <c r="H178" s="777" t="s">
        <v>361</v>
      </c>
      <c r="I178" s="766">
        <v>102</v>
      </c>
      <c r="J178" s="784">
        <v>232.17000000000002</v>
      </c>
      <c r="K178" s="784">
        <v>0</v>
      </c>
      <c r="L178" s="784">
        <v>232.17000000000002</v>
      </c>
      <c r="M178" s="784">
        <v>0</v>
      </c>
    </row>
    <row r="179" spans="1:13" ht="15" x14ac:dyDescent="0.25">
      <c r="A179" s="758" t="s">
        <v>361</v>
      </c>
      <c r="B179">
        <v>111</v>
      </c>
      <c r="C179" s="759">
        <v>14.5</v>
      </c>
      <c r="D179" s="760">
        <v>14.5</v>
      </c>
      <c r="E179" s="761">
        <v>0</v>
      </c>
      <c r="F179" s="759">
        <v>0</v>
      </c>
      <c r="H179" s="777" t="s">
        <v>361</v>
      </c>
      <c r="I179" s="766">
        <v>111</v>
      </c>
      <c r="J179" s="784">
        <v>15.5</v>
      </c>
      <c r="K179" s="784">
        <v>15.5</v>
      </c>
      <c r="L179" s="784">
        <v>0</v>
      </c>
      <c r="M179" s="784">
        <v>0</v>
      </c>
    </row>
    <row r="180" spans="1:13" ht="15" x14ac:dyDescent="0.25">
      <c r="A180" s="758" t="s">
        <v>361</v>
      </c>
      <c r="B180">
        <v>112</v>
      </c>
      <c r="C180" s="759">
        <v>25</v>
      </c>
      <c r="D180" s="760">
        <v>0</v>
      </c>
      <c r="E180" s="761">
        <v>25</v>
      </c>
      <c r="F180" s="759">
        <v>0</v>
      </c>
      <c r="H180" s="777" t="s">
        <v>361</v>
      </c>
      <c r="I180" s="766">
        <v>112</v>
      </c>
      <c r="J180" s="784">
        <v>20.5</v>
      </c>
      <c r="K180" s="784">
        <v>0</v>
      </c>
      <c r="L180" s="784">
        <v>20.5</v>
      </c>
      <c r="M180" s="784">
        <v>0</v>
      </c>
    </row>
    <row r="181" spans="1:13" ht="15" x14ac:dyDescent="0.25">
      <c r="A181" s="758" t="s">
        <v>361</v>
      </c>
      <c r="B181">
        <v>130</v>
      </c>
      <c r="C181" s="759">
        <v>30.159999999999997</v>
      </c>
      <c r="D181" s="760">
        <v>17.72</v>
      </c>
      <c r="E181" s="761">
        <v>12.44</v>
      </c>
      <c r="F181" s="759">
        <v>0</v>
      </c>
      <c r="H181" s="777" t="s">
        <v>361</v>
      </c>
      <c r="I181" s="766">
        <v>130</v>
      </c>
      <c r="J181" s="784">
        <v>27.69</v>
      </c>
      <c r="K181" s="784">
        <v>16.52</v>
      </c>
      <c r="L181" s="784">
        <v>11.169999999999998</v>
      </c>
      <c r="M181" s="784">
        <v>0</v>
      </c>
    </row>
    <row r="182" spans="1:13" ht="15" x14ac:dyDescent="0.25">
      <c r="A182" s="758" t="s">
        <v>359</v>
      </c>
      <c r="B182">
        <v>103</v>
      </c>
      <c r="C182" s="759">
        <v>44.61</v>
      </c>
      <c r="D182" s="760">
        <v>0</v>
      </c>
      <c r="E182" s="761">
        <v>0</v>
      </c>
      <c r="F182" s="759">
        <v>44.61</v>
      </c>
      <c r="H182" s="777" t="s">
        <v>359</v>
      </c>
      <c r="I182" s="766">
        <v>103</v>
      </c>
      <c r="J182" s="784">
        <v>46.680000000000007</v>
      </c>
      <c r="K182" s="784">
        <v>0</v>
      </c>
      <c r="L182" s="784">
        <v>0</v>
      </c>
      <c r="M182" s="784">
        <v>46.680000000000007</v>
      </c>
    </row>
    <row r="183" spans="1:13" ht="15" x14ac:dyDescent="0.25">
      <c r="A183" s="758" t="s">
        <v>359</v>
      </c>
      <c r="B183">
        <v>113</v>
      </c>
      <c r="C183" s="759">
        <v>10.5</v>
      </c>
      <c r="D183" s="760">
        <v>0</v>
      </c>
      <c r="E183" s="761">
        <v>0</v>
      </c>
      <c r="F183" s="759">
        <v>10.5</v>
      </c>
      <c r="H183" s="777" t="s">
        <v>359</v>
      </c>
      <c r="I183" s="766">
        <v>113</v>
      </c>
      <c r="J183" s="784">
        <v>10.96</v>
      </c>
      <c r="K183" s="784">
        <v>0</v>
      </c>
      <c r="L183" s="784">
        <v>0</v>
      </c>
      <c r="M183" s="784">
        <v>10.96</v>
      </c>
    </row>
    <row r="184" spans="1:13" ht="15" x14ac:dyDescent="0.25">
      <c r="A184" s="758" t="s">
        <v>359</v>
      </c>
      <c r="B184">
        <v>130</v>
      </c>
      <c r="C184" s="759">
        <v>4.72</v>
      </c>
      <c r="D184" s="760">
        <v>0</v>
      </c>
      <c r="E184" s="761">
        <v>0</v>
      </c>
      <c r="F184" s="759">
        <v>4.72</v>
      </c>
      <c r="H184" s="777" t="s">
        <v>359</v>
      </c>
      <c r="I184" s="766">
        <v>130</v>
      </c>
      <c r="J184" s="784">
        <v>5.68</v>
      </c>
      <c r="K184" s="784">
        <v>0</v>
      </c>
      <c r="L184" s="784">
        <v>0</v>
      </c>
      <c r="M184" s="784">
        <v>5.68</v>
      </c>
    </row>
    <row r="185" spans="1:13" ht="15" x14ac:dyDescent="0.25">
      <c r="A185" s="758" t="s">
        <v>609</v>
      </c>
      <c r="B185">
        <v>102</v>
      </c>
      <c r="C185" s="759">
        <v>127.51999999999998</v>
      </c>
      <c r="D185" s="760">
        <v>0</v>
      </c>
      <c r="E185" s="761">
        <v>127.51999999999998</v>
      </c>
      <c r="F185" s="759">
        <v>0</v>
      </c>
      <c r="H185" s="777" t="s">
        <v>609</v>
      </c>
      <c r="I185" s="766">
        <v>102</v>
      </c>
      <c r="J185" s="784">
        <v>126.45999999999998</v>
      </c>
      <c r="K185" s="784">
        <v>0</v>
      </c>
      <c r="L185" s="784">
        <v>126.45999999999998</v>
      </c>
      <c r="M185" s="784">
        <v>0</v>
      </c>
    </row>
    <row r="186" spans="1:13" ht="15" x14ac:dyDescent="0.25">
      <c r="A186" s="758" t="s">
        <v>609</v>
      </c>
      <c r="B186">
        <v>112</v>
      </c>
      <c r="C186" s="759">
        <v>20</v>
      </c>
      <c r="D186" s="760">
        <v>0</v>
      </c>
      <c r="E186" s="761">
        <v>20</v>
      </c>
      <c r="F186" s="759">
        <v>0</v>
      </c>
      <c r="H186" s="777" t="s">
        <v>609</v>
      </c>
      <c r="I186" s="766">
        <v>112</v>
      </c>
      <c r="J186" s="784">
        <v>22.91</v>
      </c>
      <c r="K186" s="784">
        <v>0</v>
      </c>
      <c r="L186" s="784">
        <v>22.91</v>
      </c>
      <c r="M186" s="784">
        <v>0</v>
      </c>
    </row>
    <row r="187" spans="1:13" ht="15" x14ac:dyDescent="0.25">
      <c r="A187" s="758" t="s">
        <v>609</v>
      </c>
      <c r="B187">
        <v>130</v>
      </c>
      <c r="C187" s="759">
        <v>8.33</v>
      </c>
      <c r="D187" s="760">
        <v>0</v>
      </c>
      <c r="E187" s="761">
        <v>8.33</v>
      </c>
      <c r="F187" s="759">
        <v>0</v>
      </c>
      <c r="H187" s="777" t="s">
        <v>609</v>
      </c>
      <c r="I187" s="766">
        <v>130</v>
      </c>
      <c r="J187" s="784">
        <v>18.350000000000001</v>
      </c>
      <c r="K187" s="784">
        <v>0</v>
      </c>
      <c r="L187" s="784">
        <v>18.350000000000001</v>
      </c>
      <c r="M187" s="784">
        <v>0</v>
      </c>
    </row>
    <row r="188" spans="1:13" ht="15" x14ac:dyDescent="0.25">
      <c r="A188" s="758" t="s">
        <v>610</v>
      </c>
      <c r="B188">
        <v>101</v>
      </c>
      <c r="C188" s="759">
        <v>80.649999999999991</v>
      </c>
      <c r="D188" s="760">
        <v>80.649999999999991</v>
      </c>
      <c r="E188" s="761">
        <v>0</v>
      </c>
      <c r="F188" s="759">
        <v>0</v>
      </c>
      <c r="H188" s="777" t="s">
        <v>610</v>
      </c>
      <c r="I188" s="766">
        <v>101</v>
      </c>
      <c r="J188" s="784">
        <v>76.97</v>
      </c>
      <c r="K188" s="784">
        <v>76.97</v>
      </c>
      <c r="L188" s="784">
        <v>0</v>
      </c>
      <c r="M188" s="784">
        <v>0</v>
      </c>
    </row>
    <row r="189" spans="1:13" ht="15" x14ac:dyDescent="0.25">
      <c r="A189" s="758" t="s">
        <v>610</v>
      </c>
      <c r="B189">
        <v>102</v>
      </c>
      <c r="C189" s="759">
        <v>41.06</v>
      </c>
      <c r="D189" s="760">
        <v>0</v>
      </c>
      <c r="E189" s="761">
        <v>41.06</v>
      </c>
      <c r="F189" s="759">
        <v>0</v>
      </c>
      <c r="H189" s="777" t="s">
        <v>610</v>
      </c>
      <c r="I189" s="766">
        <v>102</v>
      </c>
      <c r="J189" s="784">
        <v>41.86</v>
      </c>
      <c r="K189" s="784">
        <v>0</v>
      </c>
      <c r="L189" s="784">
        <v>41.86</v>
      </c>
      <c r="M189" s="784">
        <v>0</v>
      </c>
    </row>
    <row r="190" spans="1:13" ht="15" x14ac:dyDescent="0.25">
      <c r="A190" s="758" t="s">
        <v>610</v>
      </c>
      <c r="B190">
        <v>111</v>
      </c>
      <c r="C190" s="759">
        <v>13</v>
      </c>
      <c r="D190" s="760">
        <v>13</v>
      </c>
      <c r="E190" s="761">
        <v>0</v>
      </c>
      <c r="F190" s="759">
        <v>0</v>
      </c>
      <c r="H190" s="777" t="s">
        <v>610</v>
      </c>
      <c r="I190" s="766">
        <v>111</v>
      </c>
      <c r="J190" s="784">
        <v>14</v>
      </c>
      <c r="K190" s="784">
        <v>14</v>
      </c>
      <c r="L190" s="784">
        <v>0</v>
      </c>
      <c r="M190" s="784">
        <v>0</v>
      </c>
    </row>
    <row r="191" spans="1:13" ht="15" x14ac:dyDescent="0.25">
      <c r="A191" s="758" t="s">
        <v>610</v>
      </c>
      <c r="B191">
        <v>112</v>
      </c>
      <c r="C191" s="759">
        <v>7</v>
      </c>
      <c r="D191" s="760">
        <v>0</v>
      </c>
      <c r="E191" s="761">
        <v>7</v>
      </c>
      <c r="F191" s="759">
        <v>0</v>
      </c>
      <c r="H191" s="777" t="s">
        <v>610</v>
      </c>
      <c r="I191" s="766">
        <v>112</v>
      </c>
      <c r="J191" s="784">
        <v>9</v>
      </c>
      <c r="K191" s="784">
        <v>0</v>
      </c>
      <c r="L191" s="784">
        <v>9</v>
      </c>
      <c r="M191" s="784">
        <v>0</v>
      </c>
    </row>
    <row r="192" spans="1:13" ht="15" x14ac:dyDescent="0.25">
      <c r="A192" s="758" t="s">
        <v>610</v>
      </c>
      <c r="B192">
        <v>130</v>
      </c>
      <c r="C192" s="759">
        <v>53.790000000000006</v>
      </c>
      <c r="D192" s="760">
        <v>41.350000000000009</v>
      </c>
      <c r="E192" s="761">
        <v>12.44</v>
      </c>
      <c r="F192" s="759">
        <v>0</v>
      </c>
      <c r="H192" s="777" t="s">
        <v>610</v>
      </c>
      <c r="I192" s="766">
        <v>130</v>
      </c>
      <c r="J192" s="784">
        <v>56.879999999999995</v>
      </c>
      <c r="K192" s="784">
        <v>42.94</v>
      </c>
      <c r="L192" s="784">
        <v>13.94</v>
      </c>
      <c r="M192" s="784">
        <v>0</v>
      </c>
    </row>
    <row r="193" spans="1:13" ht="15" x14ac:dyDescent="0.25">
      <c r="A193" s="758" t="s">
        <v>355</v>
      </c>
      <c r="B193">
        <v>111</v>
      </c>
      <c r="C193" s="759">
        <v>1</v>
      </c>
      <c r="D193" s="760">
        <v>1</v>
      </c>
      <c r="E193" s="761">
        <v>0</v>
      </c>
      <c r="F193" s="759">
        <v>0</v>
      </c>
      <c r="H193" s="777" t="s">
        <v>355</v>
      </c>
      <c r="I193" s="766">
        <v>111</v>
      </c>
      <c r="J193" s="784">
        <v>1</v>
      </c>
      <c r="K193" s="784">
        <v>1</v>
      </c>
      <c r="L193" s="784">
        <v>0</v>
      </c>
      <c r="M193" s="784">
        <v>0</v>
      </c>
    </row>
    <row r="194" spans="1:13" ht="15" x14ac:dyDescent="0.25">
      <c r="A194" s="758" t="s">
        <v>355</v>
      </c>
      <c r="B194">
        <v>112</v>
      </c>
      <c r="C194" s="759">
        <v>1</v>
      </c>
      <c r="D194" s="760">
        <v>0</v>
      </c>
      <c r="E194" s="761">
        <v>1</v>
      </c>
      <c r="F194" s="759">
        <v>0</v>
      </c>
      <c r="H194" s="777" t="s">
        <v>355</v>
      </c>
      <c r="I194" s="766">
        <v>112</v>
      </c>
      <c r="J194" s="784">
        <v>1</v>
      </c>
      <c r="K194" s="784">
        <v>0</v>
      </c>
      <c r="L194" s="784">
        <v>1</v>
      </c>
      <c r="M194" s="784">
        <v>0</v>
      </c>
    </row>
    <row r="195" spans="1:13" ht="15" x14ac:dyDescent="0.25">
      <c r="A195" s="758" t="s">
        <v>355</v>
      </c>
      <c r="B195">
        <v>254</v>
      </c>
      <c r="C195" s="759">
        <v>19.5</v>
      </c>
      <c r="D195" s="760">
        <v>11.5</v>
      </c>
      <c r="E195" s="761">
        <v>8</v>
      </c>
      <c r="F195" s="759">
        <v>0</v>
      </c>
      <c r="H195" s="777" t="s">
        <v>355</v>
      </c>
      <c r="I195" s="766">
        <v>254</v>
      </c>
      <c r="J195" s="784">
        <v>19.5</v>
      </c>
      <c r="K195" s="784">
        <v>11.5</v>
      </c>
      <c r="L195" s="784">
        <v>8</v>
      </c>
      <c r="M195" s="784">
        <v>0</v>
      </c>
    </row>
    <row r="196" spans="1:13" ht="15" x14ac:dyDescent="0.25">
      <c r="A196" s="758" t="s">
        <v>355</v>
      </c>
      <c r="B196">
        <v>255</v>
      </c>
      <c r="C196" s="759">
        <v>34</v>
      </c>
      <c r="D196" s="760">
        <v>12</v>
      </c>
      <c r="E196" s="761">
        <v>22</v>
      </c>
      <c r="F196" s="759">
        <v>0</v>
      </c>
      <c r="H196" s="777" t="s">
        <v>355</v>
      </c>
      <c r="I196" s="766">
        <v>255</v>
      </c>
      <c r="J196" s="784">
        <v>34</v>
      </c>
      <c r="K196" s="784">
        <v>12</v>
      </c>
      <c r="L196" s="784">
        <v>22</v>
      </c>
      <c r="M196" s="784">
        <v>0</v>
      </c>
    </row>
    <row r="197" spans="1:13" ht="15" x14ac:dyDescent="0.25">
      <c r="A197" s="758" t="s">
        <v>353</v>
      </c>
      <c r="B197">
        <v>101</v>
      </c>
      <c r="C197" s="759">
        <v>44.379999999999995</v>
      </c>
      <c r="D197" s="760">
        <v>44.379999999999995</v>
      </c>
      <c r="E197" s="761">
        <v>0</v>
      </c>
      <c r="F197" s="759">
        <v>0</v>
      </c>
      <c r="H197" s="777" t="s">
        <v>353</v>
      </c>
      <c r="I197" s="766">
        <v>101</v>
      </c>
      <c r="J197" s="784">
        <v>40.800000000000004</v>
      </c>
      <c r="K197" s="784">
        <v>40.800000000000004</v>
      </c>
      <c r="L197" s="784">
        <v>0</v>
      </c>
      <c r="M197" s="784">
        <v>0</v>
      </c>
    </row>
    <row r="198" spans="1:13" ht="15" x14ac:dyDescent="0.25">
      <c r="A198" s="758" t="s">
        <v>353</v>
      </c>
      <c r="B198">
        <v>102</v>
      </c>
      <c r="C198" s="759">
        <v>24.67</v>
      </c>
      <c r="D198" s="760">
        <v>0</v>
      </c>
      <c r="E198" s="761">
        <v>24.67</v>
      </c>
      <c r="F198" s="759">
        <v>0</v>
      </c>
      <c r="H198" s="777" t="s">
        <v>353</v>
      </c>
      <c r="I198" s="766">
        <v>102</v>
      </c>
      <c r="J198" s="784">
        <v>25.36</v>
      </c>
      <c r="K198" s="784">
        <v>0</v>
      </c>
      <c r="L198" s="784">
        <v>25.36</v>
      </c>
      <c r="M198" s="784">
        <v>0</v>
      </c>
    </row>
    <row r="199" spans="1:13" ht="15" x14ac:dyDescent="0.25">
      <c r="A199" s="758" t="s">
        <v>353</v>
      </c>
      <c r="B199">
        <v>111</v>
      </c>
      <c r="C199" s="759">
        <v>4</v>
      </c>
      <c r="D199" s="760">
        <v>4</v>
      </c>
      <c r="E199" s="761">
        <v>0</v>
      </c>
      <c r="F199" s="759">
        <v>0</v>
      </c>
      <c r="H199" s="777" t="s">
        <v>353</v>
      </c>
      <c r="I199" s="766">
        <v>111</v>
      </c>
      <c r="J199" s="784">
        <v>5.54</v>
      </c>
      <c r="K199" s="784">
        <v>5.54</v>
      </c>
      <c r="L199" s="784">
        <v>0</v>
      </c>
      <c r="M199" s="784">
        <v>0</v>
      </c>
    </row>
    <row r="200" spans="1:13" ht="15" x14ac:dyDescent="0.25">
      <c r="A200" s="758" t="s">
        <v>353</v>
      </c>
      <c r="B200">
        <v>112</v>
      </c>
      <c r="C200" s="759">
        <v>5.3100000000000005</v>
      </c>
      <c r="D200" s="760">
        <v>0</v>
      </c>
      <c r="E200" s="761">
        <v>5.3100000000000005</v>
      </c>
      <c r="F200" s="759">
        <v>0</v>
      </c>
      <c r="H200" s="777" t="s">
        <v>353</v>
      </c>
      <c r="I200" s="766">
        <v>112</v>
      </c>
      <c r="J200" s="784">
        <v>3.8</v>
      </c>
      <c r="K200" s="784">
        <v>0</v>
      </c>
      <c r="L200" s="784">
        <v>3.8</v>
      </c>
      <c r="M200" s="784">
        <v>0</v>
      </c>
    </row>
    <row r="201" spans="1:13" ht="15" x14ac:dyDescent="0.25">
      <c r="A201" s="758" t="s">
        <v>353</v>
      </c>
      <c r="B201">
        <v>130</v>
      </c>
      <c r="C201" s="759">
        <v>13.350000000000001</v>
      </c>
      <c r="D201" s="760">
        <v>12.120000000000001</v>
      </c>
      <c r="E201" s="761">
        <v>1.23</v>
      </c>
      <c r="F201" s="759">
        <v>0</v>
      </c>
      <c r="H201" s="777" t="s">
        <v>353</v>
      </c>
      <c r="I201" s="766">
        <v>130</v>
      </c>
      <c r="J201" s="784">
        <v>11.68</v>
      </c>
      <c r="K201" s="784">
        <v>10.86</v>
      </c>
      <c r="L201" s="784">
        <v>0.82</v>
      </c>
      <c r="M201" s="784">
        <v>0</v>
      </c>
    </row>
    <row r="202" spans="1:13" ht="15" x14ac:dyDescent="0.25">
      <c r="A202" s="758" t="s">
        <v>377</v>
      </c>
      <c r="B202">
        <v>102</v>
      </c>
      <c r="C202" s="759">
        <v>150.23000000000002</v>
      </c>
      <c r="D202" s="760">
        <v>0</v>
      </c>
      <c r="E202" s="761">
        <v>150.23000000000002</v>
      </c>
      <c r="F202" s="759">
        <v>0</v>
      </c>
      <c r="H202" s="777" t="s">
        <v>377</v>
      </c>
      <c r="I202" s="766">
        <v>102</v>
      </c>
      <c r="J202" s="784">
        <v>149.76</v>
      </c>
      <c r="K202" s="784">
        <v>0</v>
      </c>
      <c r="L202" s="784">
        <v>149.76</v>
      </c>
      <c r="M202" s="784">
        <v>0</v>
      </c>
    </row>
    <row r="203" spans="1:13" ht="15" x14ac:dyDescent="0.25">
      <c r="A203" s="758" t="s">
        <v>377</v>
      </c>
      <c r="B203">
        <v>103</v>
      </c>
      <c r="C203" s="759">
        <v>181.54999999999998</v>
      </c>
      <c r="D203" s="760">
        <v>0</v>
      </c>
      <c r="E203" s="761">
        <v>0</v>
      </c>
      <c r="F203" s="759">
        <v>181.54999999999998</v>
      </c>
      <c r="H203" s="777" t="s">
        <v>377</v>
      </c>
      <c r="I203" s="766">
        <v>103</v>
      </c>
      <c r="J203" s="784">
        <v>182.05999999999997</v>
      </c>
      <c r="K203" s="784">
        <v>0</v>
      </c>
      <c r="L203" s="784">
        <v>0</v>
      </c>
      <c r="M203" s="784">
        <v>182.05999999999997</v>
      </c>
    </row>
    <row r="204" spans="1:13" ht="15" x14ac:dyDescent="0.25">
      <c r="A204" s="758" t="s">
        <v>377</v>
      </c>
      <c r="B204">
        <v>112</v>
      </c>
      <c r="C204" s="759">
        <v>24.54</v>
      </c>
      <c r="D204" s="760">
        <v>0</v>
      </c>
      <c r="E204" s="761">
        <v>24.54</v>
      </c>
      <c r="F204" s="759">
        <v>0</v>
      </c>
      <c r="H204" s="777" t="s">
        <v>377</v>
      </c>
      <c r="I204" s="766">
        <v>112</v>
      </c>
      <c r="J204" s="784">
        <v>25.52</v>
      </c>
      <c r="K204" s="784">
        <v>0</v>
      </c>
      <c r="L204" s="784">
        <v>25.52</v>
      </c>
      <c r="M204" s="784">
        <v>0</v>
      </c>
    </row>
    <row r="205" spans="1:13" ht="15" x14ac:dyDescent="0.25">
      <c r="A205" s="758" t="s">
        <v>377</v>
      </c>
      <c r="B205">
        <v>113</v>
      </c>
      <c r="C205" s="759">
        <v>31.36</v>
      </c>
      <c r="D205" s="760">
        <v>0</v>
      </c>
      <c r="E205" s="761">
        <v>0</v>
      </c>
      <c r="F205" s="759">
        <v>31.36</v>
      </c>
      <c r="H205" s="777" t="s">
        <v>377</v>
      </c>
      <c r="I205" s="766">
        <v>113</v>
      </c>
      <c r="J205" s="784">
        <v>31.16</v>
      </c>
      <c r="K205" s="784">
        <v>0</v>
      </c>
      <c r="L205" s="784">
        <v>0</v>
      </c>
      <c r="M205" s="784">
        <v>31.16</v>
      </c>
    </row>
    <row r="206" spans="1:13" ht="15" x14ac:dyDescent="0.25">
      <c r="A206" s="758" t="s">
        <v>377</v>
      </c>
      <c r="B206">
        <v>130</v>
      </c>
      <c r="C206" s="759">
        <v>72.48</v>
      </c>
      <c r="D206" s="760">
        <v>0</v>
      </c>
      <c r="E206" s="761">
        <v>28.340000000000003</v>
      </c>
      <c r="F206" s="759">
        <v>44.14</v>
      </c>
      <c r="H206" s="777" t="s">
        <v>377</v>
      </c>
      <c r="I206" s="766">
        <v>130</v>
      </c>
      <c r="J206" s="784">
        <v>68.169999999999987</v>
      </c>
      <c r="K206" s="784">
        <v>0</v>
      </c>
      <c r="L206" s="784">
        <v>30.63</v>
      </c>
      <c r="M206" s="784">
        <v>37.540000000000006</v>
      </c>
    </row>
    <row r="207" spans="1:13" ht="15" x14ac:dyDescent="0.25">
      <c r="A207" s="758" t="s">
        <v>377</v>
      </c>
      <c r="B207">
        <v>300</v>
      </c>
      <c r="C207" s="759">
        <v>21.86</v>
      </c>
      <c r="D207" s="760">
        <v>0</v>
      </c>
      <c r="E207" s="761">
        <v>0</v>
      </c>
      <c r="F207" s="759">
        <v>21.86</v>
      </c>
      <c r="H207" s="777" t="s">
        <v>377</v>
      </c>
      <c r="I207" s="766">
        <v>300</v>
      </c>
      <c r="J207" s="784">
        <v>23.03</v>
      </c>
      <c r="K207" s="784">
        <v>0</v>
      </c>
      <c r="L207" s="784">
        <v>0</v>
      </c>
      <c r="M207" s="784">
        <v>23.03</v>
      </c>
    </row>
    <row r="208" spans="1:13" ht="15" x14ac:dyDescent="0.25">
      <c r="A208" s="758" t="s">
        <v>611</v>
      </c>
      <c r="B208">
        <v>103</v>
      </c>
      <c r="C208" s="759">
        <v>111.85000000000001</v>
      </c>
      <c r="D208" s="760">
        <v>0</v>
      </c>
      <c r="E208" s="761">
        <v>0</v>
      </c>
      <c r="F208" s="759">
        <v>111.85000000000001</v>
      </c>
      <c r="H208" s="777" t="s">
        <v>611</v>
      </c>
      <c r="I208" s="766">
        <v>103</v>
      </c>
      <c r="J208" s="784">
        <v>114.36</v>
      </c>
      <c r="K208" s="784">
        <v>0</v>
      </c>
      <c r="L208" s="784">
        <v>0</v>
      </c>
      <c r="M208" s="784">
        <v>114.36</v>
      </c>
    </row>
    <row r="209" spans="1:13" ht="15" x14ac:dyDescent="0.25">
      <c r="A209" s="758" t="s">
        <v>611</v>
      </c>
      <c r="B209">
        <v>113</v>
      </c>
      <c r="C209" s="759">
        <v>18.5</v>
      </c>
      <c r="D209" s="760">
        <v>0</v>
      </c>
      <c r="E209" s="761">
        <v>0</v>
      </c>
      <c r="F209" s="759">
        <v>18.5</v>
      </c>
      <c r="H209" s="777" t="s">
        <v>611</v>
      </c>
      <c r="I209" s="766">
        <v>113</v>
      </c>
      <c r="J209" s="784">
        <v>18.57</v>
      </c>
      <c r="K209" s="784">
        <v>0</v>
      </c>
      <c r="L209" s="784">
        <v>0</v>
      </c>
      <c r="M209" s="784">
        <v>18.57</v>
      </c>
    </row>
    <row r="210" spans="1:13" ht="15" x14ac:dyDescent="0.25">
      <c r="A210" s="758" t="s">
        <v>611</v>
      </c>
      <c r="B210">
        <v>130</v>
      </c>
      <c r="C210" s="759">
        <v>19.57</v>
      </c>
      <c r="D210" s="760">
        <v>0</v>
      </c>
      <c r="E210" s="761">
        <v>0</v>
      </c>
      <c r="F210" s="759">
        <v>19.57</v>
      </c>
      <c r="H210" s="777" t="s">
        <v>611</v>
      </c>
      <c r="I210" s="766">
        <v>130</v>
      </c>
      <c r="J210" s="784">
        <v>20.05</v>
      </c>
      <c r="K210" s="784">
        <v>0</v>
      </c>
      <c r="L210" s="784">
        <v>0</v>
      </c>
      <c r="M210" s="784">
        <v>20.05</v>
      </c>
    </row>
    <row r="211" spans="1:13" ht="15" x14ac:dyDescent="0.25">
      <c r="A211" s="758" t="s">
        <v>611</v>
      </c>
      <c r="B211">
        <v>300</v>
      </c>
      <c r="C211" s="759">
        <v>12.510000000000002</v>
      </c>
      <c r="D211" s="760">
        <v>0</v>
      </c>
      <c r="E211" s="761">
        <v>0</v>
      </c>
      <c r="F211" s="759">
        <v>12.510000000000002</v>
      </c>
      <c r="H211" s="777" t="s">
        <v>611</v>
      </c>
      <c r="I211" s="766">
        <v>300</v>
      </c>
      <c r="J211" s="784">
        <v>12.43</v>
      </c>
      <c r="K211" s="784">
        <v>0</v>
      </c>
      <c r="L211" s="784">
        <v>0</v>
      </c>
      <c r="M211" s="784">
        <v>12.43</v>
      </c>
    </row>
    <row r="212" spans="1:13" ht="15" x14ac:dyDescent="0.25">
      <c r="A212" s="758" t="s">
        <v>375</v>
      </c>
      <c r="B212">
        <v>103</v>
      </c>
      <c r="C212" s="759">
        <v>44.49</v>
      </c>
      <c r="D212" s="760">
        <v>0</v>
      </c>
      <c r="E212" s="761">
        <v>0</v>
      </c>
      <c r="F212" s="759">
        <v>44.49</v>
      </c>
      <c r="H212" s="777" t="s">
        <v>375</v>
      </c>
      <c r="I212" s="766">
        <v>103</v>
      </c>
      <c r="J212" s="784">
        <v>42.11</v>
      </c>
      <c r="K212" s="784">
        <v>0</v>
      </c>
      <c r="L212" s="784">
        <v>0</v>
      </c>
      <c r="M212" s="784">
        <v>42.11</v>
      </c>
    </row>
    <row r="213" spans="1:13" ht="15" x14ac:dyDescent="0.25">
      <c r="A213" s="758" t="s">
        <v>375</v>
      </c>
      <c r="B213">
        <v>113</v>
      </c>
      <c r="C213" s="759">
        <v>7</v>
      </c>
      <c r="D213" s="760">
        <v>0</v>
      </c>
      <c r="E213" s="761">
        <v>0</v>
      </c>
      <c r="F213" s="759">
        <v>7</v>
      </c>
      <c r="H213" s="777" t="s">
        <v>375</v>
      </c>
      <c r="I213" s="766">
        <v>113</v>
      </c>
      <c r="J213" s="784">
        <v>4.9700000000000006</v>
      </c>
      <c r="K213" s="784">
        <v>0</v>
      </c>
      <c r="L213" s="784">
        <v>0</v>
      </c>
      <c r="M213" s="784">
        <v>4.9700000000000006</v>
      </c>
    </row>
    <row r="214" spans="1:13" ht="15" x14ac:dyDescent="0.25">
      <c r="A214" s="758" t="s">
        <v>375</v>
      </c>
      <c r="B214">
        <v>130</v>
      </c>
      <c r="C214" s="759">
        <v>7.9200000000000008</v>
      </c>
      <c r="D214" s="760">
        <v>0</v>
      </c>
      <c r="E214" s="761">
        <v>0</v>
      </c>
      <c r="F214" s="759">
        <v>7.9200000000000008</v>
      </c>
      <c r="H214" s="777" t="s">
        <v>375</v>
      </c>
      <c r="I214" s="766">
        <v>130</v>
      </c>
      <c r="J214" s="784">
        <v>7.3100000000000005</v>
      </c>
      <c r="K214" s="784">
        <v>0</v>
      </c>
      <c r="L214" s="784">
        <v>0</v>
      </c>
      <c r="M214" s="784">
        <v>7.3100000000000005</v>
      </c>
    </row>
    <row r="215" spans="1:13" ht="15" x14ac:dyDescent="0.25">
      <c r="A215" s="758" t="s">
        <v>375</v>
      </c>
      <c r="B215">
        <v>300</v>
      </c>
      <c r="C215" s="759">
        <v>3.87</v>
      </c>
      <c r="D215" s="760">
        <v>0</v>
      </c>
      <c r="E215" s="761">
        <v>0</v>
      </c>
      <c r="F215" s="759">
        <v>3.87</v>
      </c>
      <c r="H215" s="777" t="s">
        <v>375</v>
      </c>
      <c r="I215" s="766">
        <v>300</v>
      </c>
      <c r="J215" s="784">
        <v>3.7700000000000005</v>
      </c>
      <c r="K215" s="784">
        <v>0</v>
      </c>
      <c r="L215" s="784">
        <v>0</v>
      </c>
      <c r="M215" s="784">
        <v>3.7700000000000005</v>
      </c>
    </row>
    <row r="216" spans="1:13" ht="15" x14ac:dyDescent="0.25">
      <c r="A216" s="762" t="s">
        <v>612</v>
      </c>
      <c r="B216" s="762" t="s">
        <v>612</v>
      </c>
      <c r="C216" s="763">
        <f>SUM(C3:C215)</f>
        <v>10590.239999999998</v>
      </c>
      <c r="D216" s="763">
        <f>SUM(D3:D215)</f>
        <v>2902.4700000000003</v>
      </c>
      <c r="E216" s="763">
        <f>SUM(E3:E215)</f>
        <v>4285.5</v>
      </c>
      <c r="F216" s="763">
        <f>SUM(F3:F215)</f>
        <v>3402.27</v>
      </c>
      <c r="H216" s="762" t="s">
        <v>612</v>
      </c>
      <c r="I216" s="762" t="s">
        <v>612</v>
      </c>
      <c r="J216" s="763">
        <f>SUM(J3:J215)</f>
        <v>10531.679999999997</v>
      </c>
      <c r="K216" s="763">
        <f>SUM(K3:K215)</f>
        <v>2863.86</v>
      </c>
      <c r="L216" s="763">
        <f>SUM(L3:L215)</f>
        <v>4229.5500000000011</v>
      </c>
      <c r="M216" s="763">
        <f>SUM(M3:M215)</f>
        <v>3438.2699999999995</v>
      </c>
    </row>
    <row r="217" spans="1:13" ht="15" x14ac:dyDescent="0.25">
      <c r="A217" s="850"/>
      <c r="B217" s="762"/>
      <c r="C217" s="763"/>
      <c r="D217" s="851"/>
      <c r="E217" s="851"/>
      <c r="F217" s="851"/>
      <c r="H217" s="850"/>
      <c r="I217" s="850"/>
      <c r="J217" s="851"/>
      <c r="K217" s="851"/>
      <c r="L217" s="851"/>
      <c r="M217" s="851"/>
    </row>
    <row r="218" spans="1:13" ht="15" x14ac:dyDescent="0.25">
      <c r="B218" s="779" t="b">
        <f>C218=Consolidated!E32</f>
        <v>1</v>
      </c>
      <c r="C218" s="780">
        <f>C216+J216</f>
        <v>21121.919999999995</v>
      </c>
    </row>
    <row r="219" spans="1:13" ht="15" x14ac:dyDescent="0.25"/>
    <row r="220" spans="1:13" ht="15" x14ac:dyDescent="0.25"/>
    <row r="221" spans="1:13" ht="15" x14ac:dyDescent="0.25"/>
    <row r="222" spans="1:13" ht="15" x14ac:dyDescent="0.25"/>
    <row r="223" spans="1:13" ht="15" x14ac:dyDescent="0.25"/>
    <row r="224" spans="1:13" ht="15" x14ac:dyDescent="0.25"/>
    <row r="225" ht="15" x14ac:dyDescent="0.25"/>
    <row r="226" ht="15" x14ac:dyDescent="0.25"/>
    <row r="227" ht="15" x14ac:dyDescent="0.25"/>
    <row r="228" ht="15" x14ac:dyDescent="0.25"/>
    <row r="229" ht="15" x14ac:dyDescent="0.25"/>
    <row r="230" ht="15" x14ac:dyDescent="0.25"/>
    <row r="231" ht="15" x14ac:dyDescent="0.25"/>
    <row r="232" ht="15" x14ac:dyDescent="0.25"/>
    <row r="233" ht="15" x14ac:dyDescent="0.25"/>
    <row r="234" ht="15" x14ac:dyDescent="0.25"/>
    <row r="235" ht="15" x14ac:dyDescent="0.25"/>
    <row r="236" ht="15" x14ac:dyDescent="0.25"/>
    <row r="237" ht="15" x14ac:dyDescent="0.25"/>
    <row r="238" ht="15" x14ac:dyDescent="0.25"/>
    <row r="239" ht="15" x14ac:dyDescent="0.25"/>
    <row r="240" ht="15" x14ac:dyDescent="0.25"/>
    <row r="241" ht="15" x14ac:dyDescent="0.25"/>
    <row r="242" ht="15" x14ac:dyDescent="0.25"/>
    <row r="243" ht="15" x14ac:dyDescent="0.25"/>
    <row r="244" ht="15" x14ac:dyDescent="0.25"/>
    <row r="245" ht="15" x14ac:dyDescent="0.25"/>
    <row r="246" ht="15" x14ac:dyDescent="0.25"/>
    <row r="247" ht="15" x14ac:dyDescent="0.25"/>
    <row r="248" ht="15" x14ac:dyDescent="0.25"/>
    <row r="249" ht="15" x14ac:dyDescent="0.25"/>
    <row r="250" ht="15" x14ac:dyDescent="0.25"/>
    <row r="251" ht="15" x14ac:dyDescent="0.25"/>
    <row r="252" ht="15" x14ac:dyDescent="0.25"/>
    <row r="253" ht="15" x14ac:dyDescent="0.25"/>
    <row r="254" ht="15" x14ac:dyDescent="0.25"/>
    <row r="255" ht="15" x14ac:dyDescent="0.25"/>
    <row r="256" ht="15" x14ac:dyDescent="0.25"/>
    <row r="257" ht="15" x14ac:dyDescent="0.25"/>
    <row r="258" ht="15" x14ac:dyDescent="0.25"/>
    <row r="259" ht="15" x14ac:dyDescent="0.25"/>
    <row r="260" ht="15" x14ac:dyDescent="0.25"/>
    <row r="261" ht="15" x14ac:dyDescent="0.25"/>
    <row r="262" ht="15" x14ac:dyDescent="0.25"/>
    <row r="263" ht="15" x14ac:dyDescent="0.25"/>
    <row r="264" ht="15" x14ac:dyDescent="0.25"/>
    <row r="265" ht="15" x14ac:dyDescent="0.25"/>
    <row r="266" ht="15" x14ac:dyDescent="0.25"/>
    <row r="267" ht="15" x14ac:dyDescent="0.25"/>
    <row r="268" ht="15" x14ac:dyDescent="0.25"/>
    <row r="269" ht="15" x14ac:dyDescent="0.25"/>
    <row r="270" ht="15" x14ac:dyDescent="0.25"/>
    <row r="271" ht="15" x14ac:dyDescent="0.25"/>
    <row r="272" ht="15" x14ac:dyDescent="0.25"/>
    <row r="273" ht="15" x14ac:dyDescent="0.25"/>
    <row r="274" ht="15" x14ac:dyDescent="0.25"/>
    <row r="275" ht="15" x14ac:dyDescent="0.25"/>
    <row r="276" ht="15" x14ac:dyDescent="0.25"/>
    <row r="277" ht="15" x14ac:dyDescent="0.25"/>
    <row r="278" ht="15" x14ac:dyDescent="0.25"/>
    <row r="279" ht="15" x14ac:dyDescent="0.25"/>
    <row r="280" ht="15" x14ac:dyDescent="0.25"/>
    <row r="281" ht="15" x14ac:dyDescent="0.25"/>
    <row r="282" ht="15" x14ac:dyDescent="0.25"/>
    <row r="283" ht="15" x14ac:dyDescent="0.25"/>
    <row r="284" ht="15" x14ac:dyDescent="0.25"/>
    <row r="285" ht="15" x14ac:dyDescent="0.25"/>
    <row r="286" ht="15" x14ac:dyDescent="0.25"/>
    <row r="287" ht="15" x14ac:dyDescent="0.25"/>
    <row r="288" ht="15" x14ac:dyDescent="0.25"/>
    <row r="289" ht="15" x14ac:dyDescent="0.25"/>
    <row r="290" ht="15" x14ac:dyDescent="0.25"/>
    <row r="291" ht="15" x14ac:dyDescent="0.25"/>
    <row r="292" ht="15" x14ac:dyDescent="0.25"/>
    <row r="293" ht="15" x14ac:dyDescent="0.25"/>
    <row r="294" ht="15" x14ac:dyDescent="0.25"/>
    <row r="295" ht="15" x14ac:dyDescent="0.25"/>
    <row r="296" ht="15" x14ac:dyDescent="0.25"/>
    <row r="297" ht="15" x14ac:dyDescent="0.25"/>
    <row r="298" ht="15" x14ac:dyDescent="0.25"/>
    <row r="299" ht="15" x14ac:dyDescent="0.25"/>
    <row r="300" ht="15" x14ac:dyDescent="0.25"/>
    <row r="301" ht="15" x14ac:dyDescent="0.25"/>
    <row r="302" ht="15" x14ac:dyDescent="0.25"/>
    <row r="303" ht="15" x14ac:dyDescent="0.25"/>
    <row r="304" ht="15" x14ac:dyDescent="0.25"/>
    <row r="305" ht="15" x14ac:dyDescent="0.25"/>
    <row r="306" ht="15" x14ac:dyDescent="0.25"/>
    <row r="307" ht="15" x14ac:dyDescent="0.25"/>
    <row r="308" ht="15" x14ac:dyDescent="0.25"/>
    <row r="309" ht="15" x14ac:dyDescent="0.25"/>
    <row r="310" ht="15" x14ac:dyDescent="0.25"/>
    <row r="311" ht="15" x14ac:dyDescent="0.25"/>
    <row r="312" ht="15" x14ac:dyDescent="0.25"/>
    <row r="313" ht="15" x14ac:dyDescent="0.25"/>
    <row r="314" ht="15" x14ac:dyDescent="0.25"/>
    <row r="315" ht="15" x14ac:dyDescent="0.25"/>
    <row r="316" ht="15" x14ac:dyDescent="0.25"/>
    <row r="317" ht="15" x14ac:dyDescent="0.25"/>
    <row r="318" ht="15" x14ac:dyDescent="0.25"/>
    <row r="319" ht="15" x14ac:dyDescent="0.25"/>
    <row r="320" ht="15" x14ac:dyDescent="0.25"/>
    <row r="321" ht="15" x14ac:dyDescent="0.25"/>
    <row r="322" ht="15" x14ac:dyDescent="0.25"/>
    <row r="323" ht="15" x14ac:dyDescent="0.25"/>
    <row r="324" ht="15" x14ac:dyDescent="0.25"/>
    <row r="325" ht="15" x14ac:dyDescent="0.25"/>
    <row r="326" ht="15" x14ac:dyDescent="0.25"/>
    <row r="327" ht="15" x14ac:dyDescent="0.25"/>
    <row r="328" ht="15" x14ac:dyDescent="0.25"/>
    <row r="329" ht="15" x14ac:dyDescent="0.25"/>
    <row r="330" ht="15" x14ac:dyDescent="0.25"/>
    <row r="331" ht="15" x14ac:dyDescent="0.25"/>
    <row r="332" ht="15" x14ac:dyDescent="0.25"/>
    <row r="333" ht="15" x14ac:dyDescent="0.25"/>
    <row r="334" ht="15" x14ac:dyDescent="0.25"/>
    <row r="335" ht="15" x14ac:dyDescent="0.25"/>
    <row r="336" ht="15" x14ac:dyDescent="0.25"/>
    <row r="337" ht="15" x14ac:dyDescent="0.25"/>
    <row r="338" ht="15" x14ac:dyDescent="0.25"/>
    <row r="339" ht="15" x14ac:dyDescent="0.25"/>
    <row r="340" ht="15" x14ac:dyDescent="0.25"/>
    <row r="341" ht="15" x14ac:dyDescent="0.25"/>
    <row r="342" ht="15" x14ac:dyDescent="0.25"/>
    <row r="343" ht="15" x14ac:dyDescent="0.25"/>
    <row r="344" ht="15" x14ac:dyDescent="0.25"/>
    <row r="345" ht="15" x14ac:dyDescent="0.25"/>
    <row r="346" ht="15" x14ac:dyDescent="0.25"/>
    <row r="347" ht="15" x14ac:dyDescent="0.25"/>
    <row r="348" ht="15" x14ac:dyDescent="0.25"/>
    <row r="349" ht="15" x14ac:dyDescent="0.25"/>
    <row r="350" ht="15" x14ac:dyDescent="0.25"/>
    <row r="351" ht="15" x14ac:dyDescent="0.25"/>
    <row r="352" ht="15" x14ac:dyDescent="0.25"/>
    <row r="353" ht="15" x14ac:dyDescent="0.25"/>
    <row r="354" ht="15" x14ac:dyDescent="0.25"/>
    <row r="355" ht="15" x14ac:dyDescent="0.25"/>
    <row r="356" ht="15" x14ac:dyDescent="0.25"/>
    <row r="357" ht="15" x14ac:dyDescent="0.25"/>
    <row r="358" ht="15" x14ac:dyDescent="0.25"/>
    <row r="359" ht="15" x14ac:dyDescent="0.25"/>
    <row r="360" ht="15" x14ac:dyDescent="0.25"/>
    <row r="361" ht="15" x14ac:dyDescent="0.25"/>
    <row r="362" ht="15" x14ac:dyDescent="0.25"/>
    <row r="363" ht="15" x14ac:dyDescent="0.25"/>
    <row r="364" ht="15" x14ac:dyDescent="0.25"/>
    <row r="365" ht="15" x14ac:dyDescent="0.25"/>
    <row r="366" ht="15" x14ac:dyDescent="0.25"/>
    <row r="367" ht="15" x14ac:dyDescent="0.25"/>
    <row r="368" ht="15" x14ac:dyDescent="0.25"/>
    <row r="369" ht="15" x14ac:dyDescent="0.25"/>
    <row r="370" ht="15" x14ac:dyDescent="0.25"/>
    <row r="371" ht="15" x14ac:dyDescent="0.25"/>
    <row r="372" ht="15" x14ac:dyDescent="0.25"/>
    <row r="373" ht="15" x14ac:dyDescent="0.25"/>
    <row r="374" ht="15" x14ac:dyDescent="0.25"/>
    <row r="375" ht="15" x14ac:dyDescent="0.25"/>
    <row r="376" ht="15" x14ac:dyDescent="0.25"/>
    <row r="377" ht="15" x14ac:dyDescent="0.25"/>
    <row r="378" ht="15" x14ac:dyDescent="0.25"/>
    <row r="379" ht="15" x14ac:dyDescent="0.25"/>
    <row r="380" ht="15" x14ac:dyDescent="0.25"/>
    <row r="381" ht="15" x14ac:dyDescent="0.25"/>
    <row r="382" ht="15" x14ac:dyDescent="0.25"/>
    <row r="383" ht="15" x14ac:dyDescent="0.25"/>
    <row r="384" ht="15" x14ac:dyDescent="0.25"/>
    <row r="385" ht="15" x14ac:dyDescent="0.25"/>
    <row r="386" ht="15" x14ac:dyDescent="0.25"/>
    <row r="387" ht="15" x14ac:dyDescent="0.25"/>
    <row r="388" ht="15" x14ac:dyDescent="0.25"/>
    <row r="389" ht="15" x14ac:dyDescent="0.25"/>
    <row r="390" ht="15" x14ac:dyDescent="0.25"/>
    <row r="391" ht="15" x14ac:dyDescent="0.25"/>
    <row r="392" ht="15" x14ac:dyDescent="0.25"/>
    <row r="393" ht="15" x14ac:dyDescent="0.25"/>
    <row r="394" ht="15" x14ac:dyDescent="0.25"/>
    <row r="395" ht="15" x14ac:dyDescent="0.25"/>
    <row r="396" ht="15" x14ac:dyDescent="0.25"/>
    <row r="397" ht="15" x14ac:dyDescent="0.25"/>
    <row r="398" ht="15" x14ac:dyDescent="0.25"/>
    <row r="399" ht="15" x14ac:dyDescent="0.25"/>
    <row r="400" ht="15" x14ac:dyDescent="0.25"/>
    <row r="401" ht="15" x14ac:dyDescent="0.25"/>
    <row r="402" ht="15" x14ac:dyDescent="0.25"/>
    <row r="403" ht="15" x14ac:dyDescent="0.25"/>
    <row r="404" ht="15" x14ac:dyDescent="0.25"/>
    <row r="405" ht="15" x14ac:dyDescent="0.25"/>
    <row r="406" ht="15" x14ac:dyDescent="0.25"/>
    <row r="407" ht="15" x14ac:dyDescent="0.25"/>
    <row r="408" ht="15" x14ac:dyDescent="0.25"/>
    <row r="409" ht="15" x14ac:dyDescent="0.25"/>
    <row r="410" ht="15" x14ac:dyDescent="0.25"/>
    <row r="411" ht="15" x14ac:dyDescent="0.25"/>
    <row r="412" ht="15" x14ac:dyDescent="0.25"/>
    <row r="413" ht="15" x14ac:dyDescent="0.25"/>
    <row r="414" ht="15" x14ac:dyDescent="0.25"/>
    <row r="415" ht="15" x14ac:dyDescent="0.25"/>
    <row r="416" ht="15" x14ac:dyDescent="0.25"/>
    <row r="417" ht="15" x14ac:dyDescent="0.25"/>
    <row r="418" ht="15" x14ac:dyDescent="0.25"/>
    <row r="419" ht="15" x14ac:dyDescent="0.25"/>
    <row r="420" ht="15" x14ac:dyDescent="0.25"/>
    <row r="421" ht="15" x14ac:dyDescent="0.25"/>
    <row r="422" ht="15" x14ac:dyDescent="0.25"/>
    <row r="423" ht="15" x14ac:dyDescent="0.25"/>
    <row r="424" ht="15" x14ac:dyDescent="0.25"/>
    <row r="425" ht="15" x14ac:dyDescent="0.25"/>
    <row r="426" ht="15" x14ac:dyDescent="0.25"/>
    <row r="427" ht="15" x14ac:dyDescent="0.25"/>
    <row r="428" ht="15" x14ac:dyDescent="0.25"/>
    <row r="429" ht="15" x14ac:dyDescent="0.25"/>
    <row r="430" ht="15" x14ac:dyDescent="0.25"/>
    <row r="431" ht="15" x14ac:dyDescent="0.25"/>
    <row r="432" ht="15" x14ac:dyDescent="0.25"/>
    <row r="433" ht="15" x14ac:dyDescent="0.25"/>
    <row r="434" ht="15" x14ac:dyDescent="0.25"/>
    <row r="435" ht="15" x14ac:dyDescent="0.25"/>
    <row r="436" ht="15" x14ac:dyDescent="0.25"/>
    <row r="437" ht="15" x14ac:dyDescent="0.25"/>
    <row r="438" ht="15" x14ac:dyDescent="0.25"/>
    <row r="439" ht="15" x14ac:dyDescent="0.25"/>
    <row r="440" ht="15" x14ac:dyDescent="0.25"/>
    <row r="441" ht="15" x14ac:dyDescent="0.25"/>
    <row r="442" ht="15" x14ac:dyDescent="0.25"/>
    <row r="443" ht="15" x14ac:dyDescent="0.25"/>
    <row r="444" ht="15" x14ac:dyDescent="0.25"/>
    <row r="445" ht="15" x14ac:dyDescent="0.25"/>
    <row r="446" ht="15" x14ac:dyDescent="0.25"/>
    <row r="447" ht="15" x14ac:dyDescent="0.25"/>
    <row r="448" ht="15" x14ac:dyDescent="0.25"/>
    <row r="449" ht="15" x14ac:dyDescent="0.25"/>
    <row r="450" ht="15" x14ac:dyDescent="0.25"/>
    <row r="451" ht="15" x14ac:dyDescent="0.25"/>
    <row r="452" ht="15" x14ac:dyDescent="0.25"/>
    <row r="453" ht="15" x14ac:dyDescent="0.25"/>
    <row r="454" ht="15" x14ac:dyDescent="0.25"/>
    <row r="455" ht="15" x14ac:dyDescent="0.25"/>
    <row r="456" ht="15" x14ac:dyDescent="0.25"/>
    <row r="457" ht="15" x14ac:dyDescent="0.25"/>
    <row r="458" ht="15" x14ac:dyDescent="0.25"/>
    <row r="459" ht="15" x14ac:dyDescent="0.25"/>
    <row r="460" ht="15" x14ac:dyDescent="0.25"/>
    <row r="461" ht="15" x14ac:dyDescent="0.25"/>
    <row r="462" ht="15" x14ac:dyDescent="0.25"/>
    <row r="463" ht="15" x14ac:dyDescent="0.25"/>
    <row r="464" ht="15" x14ac:dyDescent="0.25"/>
    <row r="465" ht="15" x14ac:dyDescent="0.25"/>
    <row r="466" ht="15" x14ac:dyDescent="0.25"/>
    <row r="467" ht="15" x14ac:dyDescent="0.25"/>
    <row r="468" ht="15" x14ac:dyDescent="0.25"/>
    <row r="469" ht="15" x14ac:dyDescent="0.25"/>
    <row r="470" ht="15" x14ac:dyDescent="0.25"/>
    <row r="471" ht="15" x14ac:dyDescent="0.25"/>
    <row r="472" ht="15" x14ac:dyDescent="0.25"/>
    <row r="473" ht="15" x14ac:dyDescent="0.25"/>
    <row r="474" ht="15" x14ac:dyDescent="0.25"/>
    <row r="475" ht="15" x14ac:dyDescent="0.25"/>
    <row r="476" ht="15" x14ac:dyDescent="0.25"/>
    <row r="477" ht="15" x14ac:dyDescent="0.25"/>
    <row r="478" ht="15" x14ac:dyDescent="0.25"/>
    <row r="479" ht="15" x14ac:dyDescent="0.25"/>
    <row r="480" ht="15" x14ac:dyDescent="0.25"/>
    <row r="481" ht="15" x14ac:dyDescent="0.25"/>
    <row r="482" ht="15" x14ac:dyDescent="0.25"/>
    <row r="483" ht="15" x14ac:dyDescent="0.25"/>
    <row r="484" ht="15" x14ac:dyDescent="0.25"/>
    <row r="485" ht="15" x14ac:dyDescent="0.25"/>
    <row r="486" ht="15" x14ac:dyDescent="0.25"/>
    <row r="487" ht="15" x14ac:dyDescent="0.25"/>
    <row r="488" ht="15" x14ac:dyDescent="0.25"/>
    <row r="489" ht="15" x14ac:dyDescent="0.25"/>
    <row r="490" ht="15" x14ac:dyDescent="0.25"/>
    <row r="491" ht="15" x14ac:dyDescent="0.25"/>
    <row r="492" ht="15" x14ac:dyDescent="0.25"/>
    <row r="493" ht="15" x14ac:dyDescent="0.25"/>
    <row r="494" ht="15" x14ac:dyDescent="0.25"/>
    <row r="495" ht="15" x14ac:dyDescent="0.25"/>
    <row r="496" ht="15" x14ac:dyDescent="0.25"/>
    <row r="497" ht="15" x14ac:dyDescent="0.25"/>
    <row r="498" ht="15" x14ac:dyDescent="0.25"/>
    <row r="499" ht="15" x14ac:dyDescent="0.25"/>
    <row r="500" ht="15" x14ac:dyDescent="0.25"/>
    <row r="501" ht="15" x14ac:dyDescent="0.25"/>
    <row r="502" ht="15" x14ac:dyDescent="0.25"/>
    <row r="503" ht="15" x14ac:dyDescent="0.25"/>
    <row r="504" ht="15" x14ac:dyDescent="0.25"/>
    <row r="505" ht="15" x14ac:dyDescent="0.25"/>
    <row r="506" ht="15" x14ac:dyDescent="0.25"/>
    <row r="507" ht="15" x14ac:dyDescent="0.25"/>
    <row r="508" ht="15" x14ac:dyDescent="0.25"/>
    <row r="509" ht="15" x14ac:dyDescent="0.25"/>
    <row r="510" ht="15" x14ac:dyDescent="0.25"/>
    <row r="511" ht="15" x14ac:dyDescent="0.25"/>
    <row r="512" ht="15" x14ac:dyDescent="0.25"/>
    <row r="513" ht="15" x14ac:dyDescent="0.25"/>
    <row r="514" ht="15" x14ac:dyDescent="0.25"/>
    <row r="515" ht="15" x14ac:dyDescent="0.25"/>
    <row r="516" ht="15" x14ac:dyDescent="0.25"/>
    <row r="517" ht="15" x14ac:dyDescent="0.25"/>
    <row r="518" ht="15" x14ac:dyDescent="0.25"/>
    <row r="519" ht="15" x14ac:dyDescent="0.25"/>
    <row r="520" ht="15" x14ac:dyDescent="0.25"/>
    <row r="521" ht="15" x14ac:dyDescent="0.25"/>
    <row r="522" ht="15" x14ac:dyDescent="0.25"/>
    <row r="523" ht="15" x14ac:dyDescent="0.25"/>
    <row r="524" ht="15" x14ac:dyDescent="0.25"/>
    <row r="525" ht="15" x14ac:dyDescent="0.25"/>
    <row r="526" ht="15" x14ac:dyDescent="0.25"/>
    <row r="527" ht="15" x14ac:dyDescent="0.25"/>
    <row r="528" ht="15" x14ac:dyDescent="0.25"/>
    <row r="529" ht="15" x14ac:dyDescent="0.25"/>
    <row r="530" ht="15" x14ac:dyDescent="0.25"/>
    <row r="531" ht="15" x14ac:dyDescent="0.25"/>
    <row r="532" ht="15" x14ac:dyDescent="0.25"/>
    <row r="533" ht="15" x14ac:dyDescent="0.25"/>
    <row r="534" ht="15" x14ac:dyDescent="0.25"/>
    <row r="535" ht="15" x14ac:dyDescent="0.25"/>
    <row r="536" ht="15" x14ac:dyDescent="0.25"/>
    <row r="537" ht="15" x14ac:dyDescent="0.25"/>
    <row r="538" ht="15" x14ac:dyDescent="0.25"/>
    <row r="539" ht="15" x14ac:dyDescent="0.25"/>
    <row r="540" ht="15" x14ac:dyDescent="0.25"/>
    <row r="541" ht="15" x14ac:dyDescent="0.25"/>
    <row r="542" ht="15" x14ac:dyDescent="0.25"/>
    <row r="543" ht="15" x14ac:dyDescent="0.25"/>
    <row r="544" ht="15" x14ac:dyDescent="0.25"/>
    <row r="545" ht="15" x14ac:dyDescent="0.25"/>
    <row r="546" ht="15" x14ac:dyDescent="0.25"/>
    <row r="547" ht="15" x14ac:dyDescent="0.25"/>
    <row r="548" ht="15" x14ac:dyDescent="0.25"/>
    <row r="549" ht="15" x14ac:dyDescent="0.25"/>
    <row r="550" ht="15" x14ac:dyDescent="0.25"/>
    <row r="551" ht="15" x14ac:dyDescent="0.25"/>
    <row r="552" ht="15" x14ac:dyDescent="0.25"/>
    <row r="553" ht="15" x14ac:dyDescent="0.25"/>
    <row r="554" ht="15" x14ac:dyDescent="0.25"/>
    <row r="555" ht="15"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2" ht="15" x14ac:dyDescent="0.25"/>
    <row r="583" ht="15" x14ac:dyDescent="0.25"/>
    <row r="584" ht="15" x14ac:dyDescent="0.25"/>
    <row r="585" ht="15" x14ac:dyDescent="0.25"/>
    <row r="586" ht="15" x14ac:dyDescent="0.25"/>
    <row r="587" ht="15" x14ac:dyDescent="0.25"/>
    <row r="588" ht="15" x14ac:dyDescent="0.25"/>
    <row r="589" ht="15" x14ac:dyDescent="0.25"/>
    <row r="590" ht="15" x14ac:dyDescent="0.25"/>
    <row r="591" ht="15" x14ac:dyDescent="0.25"/>
    <row r="592" ht="15" x14ac:dyDescent="0.25"/>
    <row r="593" ht="15" x14ac:dyDescent="0.25"/>
    <row r="594" ht="15" x14ac:dyDescent="0.25"/>
    <row r="595" ht="15" x14ac:dyDescent="0.25"/>
    <row r="596" ht="15" x14ac:dyDescent="0.25"/>
    <row r="597" ht="15" x14ac:dyDescent="0.25"/>
    <row r="598" ht="15" x14ac:dyDescent="0.25"/>
    <row r="599" ht="15" x14ac:dyDescent="0.25"/>
    <row r="600" ht="15" x14ac:dyDescent="0.25"/>
    <row r="601" ht="15" x14ac:dyDescent="0.25"/>
    <row r="602" ht="15" x14ac:dyDescent="0.25"/>
    <row r="603" ht="15" x14ac:dyDescent="0.25"/>
    <row r="604" ht="15" x14ac:dyDescent="0.25"/>
    <row r="605" ht="15" x14ac:dyDescent="0.25"/>
    <row r="606" ht="15" x14ac:dyDescent="0.25"/>
    <row r="607" ht="15" x14ac:dyDescent="0.25"/>
    <row r="608" ht="15" x14ac:dyDescent="0.25"/>
    <row r="609" ht="15" x14ac:dyDescent="0.25"/>
    <row r="610" ht="15" x14ac:dyDescent="0.25"/>
    <row r="611" ht="15" x14ac:dyDescent="0.25"/>
    <row r="612" ht="15" x14ac:dyDescent="0.25"/>
    <row r="613" ht="15" x14ac:dyDescent="0.25"/>
    <row r="614" ht="15" x14ac:dyDescent="0.25"/>
    <row r="615" ht="15" x14ac:dyDescent="0.25"/>
    <row r="616" ht="15" x14ac:dyDescent="0.25"/>
    <row r="617" ht="15" x14ac:dyDescent="0.25"/>
    <row r="618" ht="15" x14ac:dyDescent="0.25"/>
    <row r="619" ht="15" x14ac:dyDescent="0.25"/>
    <row r="620" ht="15" x14ac:dyDescent="0.25"/>
    <row r="621" ht="15" x14ac:dyDescent="0.25"/>
    <row r="622" ht="15" x14ac:dyDescent="0.25"/>
    <row r="623" ht="15" x14ac:dyDescent="0.25"/>
    <row r="624" ht="15" x14ac:dyDescent="0.25"/>
    <row r="625" ht="15" x14ac:dyDescent="0.25"/>
    <row r="626" ht="15" x14ac:dyDescent="0.25"/>
    <row r="627" ht="15" x14ac:dyDescent="0.25"/>
    <row r="628" ht="15" x14ac:dyDescent="0.25"/>
    <row r="629" ht="15" x14ac:dyDescent="0.25"/>
    <row r="630" ht="15" x14ac:dyDescent="0.25"/>
    <row r="631" ht="15" x14ac:dyDescent="0.25"/>
    <row r="632" ht="15" x14ac:dyDescent="0.25"/>
    <row r="633" ht="15" x14ac:dyDescent="0.25"/>
    <row r="634" ht="15" x14ac:dyDescent="0.25"/>
    <row r="635" ht="15" x14ac:dyDescent="0.25"/>
    <row r="636" ht="15" x14ac:dyDescent="0.25"/>
    <row r="637" ht="15" x14ac:dyDescent="0.25"/>
    <row r="638" ht="15" x14ac:dyDescent="0.25"/>
    <row r="639" ht="15" x14ac:dyDescent="0.25"/>
    <row r="640" ht="15" x14ac:dyDescent="0.25"/>
    <row r="641" ht="15" x14ac:dyDescent="0.25"/>
    <row r="642" ht="15" x14ac:dyDescent="0.25"/>
    <row r="643" ht="15" x14ac:dyDescent="0.25"/>
    <row r="644" ht="15" x14ac:dyDescent="0.25"/>
    <row r="645" ht="15" x14ac:dyDescent="0.25"/>
    <row r="646" ht="15" x14ac:dyDescent="0.25"/>
    <row r="647" ht="15" x14ac:dyDescent="0.25"/>
    <row r="648" ht="15" x14ac:dyDescent="0.25"/>
    <row r="649" ht="15" x14ac:dyDescent="0.25"/>
    <row r="650" ht="15" x14ac:dyDescent="0.25"/>
    <row r="651" ht="15" x14ac:dyDescent="0.25"/>
    <row r="652" ht="15" x14ac:dyDescent="0.25"/>
    <row r="653" ht="15" x14ac:dyDescent="0.25"/>
    <row r="654" ht="15" x14ac:dyDescent="0.25"/>
    <row r="655" ht="15" x14ac:dyDescent="0.25"/>
    <row r="656" ht="15" x14ac:dyDescent="0.25"/>
    <row r="657" ht="15" x14ac:dyDescent="0.25"/>
    <row r="658" ht="15" x14ac:dyDescent="0.25"/>
    <row r="659" ht="15" x14ac:dyDescent="0.25"/>
    <row r="660" ht="15" x14ac:dyDescent="0.25"/>
    <row r="661" ht="15" x14ac:dyDescent="0.25"/>
    <row r="662" ht="15" x14ac:dyDescent="0.25"/>
    <row r="663" ht="15" x14ac:dyDescent="0.25"/>
    <row r="664" ht="15" x14ac:dyDescent="0.25"/>
    <row r="665" ht="15" x14ac:dyDescent="0.25"/>
    <row r="666" ht="15" x14ac:dyDescent="0.25"/>
    <row r="667" ht="15" x14ac:dyDescent="0.25"/>
    <row r="668" ht="15" x14ac:dyDescent="0.25"/>
    <row r="669" ht="15" x14ac:dyDescent="0.25"/>
    <row r="670" ht="15" x14ac:dyDescent="0.25"/>
    <row r="671" ht="15" x14ac:dyDescent="0.25"/>
    <row r="672" ht="15" x14ac:dyDescent="0.25"/>
    <row r="673" ht="15" x14ac:dyDescent="0.25"/>
    <row r="674" ht="15" x14ac:dyDescent="0.25"/>
    <row r="675" ht="15" x14ac:dyDescent="0.25"/>
    <row r="676" ht="15" x14ac:dyDescent="0.25"/>
    <row r="677" ht="15" x14ac:dyDescent="0.25"/>
    <row r="678" ht="15" x14ac:dyDescent="0.25"/>
    <row r="679" ht="15" x14ac:dyDescent="0.25"/>
    <row r="680" ht="15" x14ac:dyDescent="0.25"/>
    <row r="681" ht="15" x14ac:dyDescent="0.25"/>
    <row r="682" ht="15" x14ac:dyDescent="0.25"/>
    <row r="683" ht="15" x14ac:dyDescent="0.25"/>
    <row r="684" ht="15" x14ac:dyDescent="0.25"/>
    <row r="685" ht="15" x14ac:dyDescent="0.25"/>
    <row r="686" ht="15" x14ac:dyDescent="0.25"/>
    <row r="687" ht="15" x14ac:dyDescent="0.25"/>
    <row r="688" ht="15" x14ac:dyDescent="0.25"/>
    <row r="689" ht="15" x14ac:dyDescent="0.25"/>
    <row r="690" ht="15" x14ac:dyDescent="0.25"/>
    <row r="691" ht="15" x14ac:dyDescent="0.25"/>
    <row r="692" ht="15" x14ac:dyDescent="0.25"/>
    <row r="693" ht="15" x14ac:dyDescent="0.25"/>
    <row r="694" ht="15" x14ac:dyDescent="0.25"/>
    <row r="695" ht="15" x14ac:dyDescent="0.25"/>
    <row r="696" ht="15" x14ac:dyDescent="0.25"/>
    <row r="697" ht="15" x14ac:dyDescent="0.25"/>
    <row r="698" ht="15" x14ac:dyDescent="0.25"/>
    <row r="699" ht="15" x14ac:dyDescent="0.25"/>
    <row r="700" ht="15" x14ac:dyDescent="0.25"/>
    <row r="701" ht="15" x14ac:dyDescent="0.25"/>
    <row r="702" ht="15" x14ac:dyDescent="0.25"/>
    <row r="703" ht="15" x14ac:dyDescent="0.25"/>
    <row r="704" ht="15" x14ac:dyDescent="0.25"/>
    <row r="705" ht="15" x14ac:dyDescent="0.25"/>
    <row r="706" ht="15" x14ac:dyDescent="0.25"/>
    <row r="707" ht="15" x14ac:dyDescent="0.25"/>
    <row r="708" ht="15" x14ac:dyDescent="0.25"/>
    <row r="709" ht="15" x14ac:dyDescent="0.25"/>
    <row r="710" ht="15" x14ac:dyDescent="0.25"/>
    <row r="711" ht="15" x14ac:dyDescent="0.25"/>
    <row r="712" ht="15" x14ac:dyDescent="0.25"/>
    <row r="713" ht="15" x14ac:dyDescent="0.25"/>
    <row r="714" ht="15" x14ac:dyDescent="0.25"/>
    <row r="715" ht="15" x14ac:dyDescent="0.25"/>
    <row r="716" ht="15" x14ac:dyDescent="0.25"/>
    <row r="717" ht="15" x14ac:dyDescent="0.25"/>
    <row r="718" ht="15" x14ac:dyDescent="0.25"/>
    <row r="719" ht="15" x14ac:dyDescent="0.25"/>
    <row r="720" ht="15" x14ac:dyDescent="0.25"/>
    <row r="721" ht="15" x14ac:dyDescent="0.25"/>
    <row r="722" ht="15" x14ac:dyDescent="0.25"/>
    <row r="723" ht="15" x14ac:dyDescent="0.25"/>
    <row r="724" ht="15" x14ac:dyDescent="0.25"/>
    <row r="725" ht="15" x14ac:dyDescent="0.25"/>
    <row r="726" ht="15" x14ac:dyDescent="0.25"/>
    <row r="727" ht="15" x14ac:dyDescent="0.25"/>
    <row r="728" ht="15" x14ac:dyDescent="0.25"/>
    <row r="729" ht="15" x14ac:dyDescent="0.25"/>
    <row r="730" ht="15" x14ac:dyDescent="0.25"/>
    <row r="731" ht="15" x14ac:dyDescent="0.25"/>
    <row r="732" ht="15" x14ac:dyDescent="0.25"/>
    <row r="733" ht="15" x14ac:dyDescent="0.25"/>
    <row r="734" ht="15" x14ac:dyDescent="0.25"/>
    <row r="735" ht="15" x14ac:dyDescent="0.25"/>
    <row r="736" ht="15" x14ac:dyDescent="0.25"/>
    <row r="737" ht="15" x14ac:dyDescent="0.25"/>
    <row r="738" ht="15" x14ac:dyDescent="0.25"/>
    <row r="739" ht="15" x14ac:dyDescent="0.25"/>
    <row r="740" ht="15" x14ac:dyDescent="0.25"/>
    <row r="741" ht="15" x14ac:dyDescent="0.25"/>
    <row r="742" ht="15" x14ac:dyDescent="0.25"/>
    <row r="743" ht="15" x14ac:dyDescent="0.25"/>
    <row r="744" ht="15" x14ac:dyDescent="0.25"/>
    <row r="745" ht="15" x14ac:dyDescent="0.25"/>
    <row r="746" ht="15" x14ac:dyDescent="0.25"/>
    <row r="747" ht="15" x14ac:dyDescent="0.25"/>
    <row r="748" ht="15" x14ac:dyDescent="0.25"/>
    <row r="749" ht="15" x14ac:dyDescent="0.25"/>
    <row r="750" ht="15" x14ac:dyDescent="0.25"/>
    <row r="751" ht="15" x14ac:dyDescent="0.25"/>
    <row r="752" ht="15" x14ac:dyDescent="0.25"/>
    <row r="753" ht="15" x14ac:dyDescent="0.25"/>
    <row r="754" ht="15" x14ac:dyDescent="0.25"/>
    <row r="755" ht="15" x14ac:dyDescent="0.25"/>
    <row r="756" ht="15" x14ac:dyDescent="0.25"/>
    <row r="757" ht="15" x14ac:dyDescent="0.25"/>
    <row r="758" ht="15" x14ac:dyDescent="0.25"/>
    <row r="759" ht="15" x14ac:dyDescent="0.25"/>
    <row r="760" ht="15" x14ac:dyDescent="0.25"/>
    <row r="761" ht="15" x14ac:dyDescent="0.25"/>
    <row r="762" ht="15" x14ac:dyDescent="0.25"/>
    <row r="763" ht="15" x14ac:dyDescent="0.25"/>
    <row r="764" ht="15" x14ac:dyDescent="0.25"/>
    <row r="765" ht="15" x14ac:dyDescent="0.25"/>
    <row r="766" ht="15" x14ac:dyDescent="0.25"/>
    <row r="767" ht="15" x14ac:dyDescent="0.25"/>
    <row r="768" ht="15" x14ac:dyDescent="0.25"/>
    <row r="769" ht="15" x14ac:dyDescent="0.25"/>
    <row r="770" ht="15" x14ac:dyDescent="0.25"/>
    <row r="771" ht="15" x14ac:dyDescent="0.25"/>
    <row r="772" ht="15" x14ac:dyDescent="0.25"/>
    <row r="773" ht="15" x14ac:dyDescent="0.25"/>
    <row r="774" ht="15" x14ac:dyDescent="0.25"/>
    <row r="775" ht="15" x14ac:dyDescent="0.25"/>
    <row r="776" ht="15" x14ac:dyDescent="0.25"/>
    <row r="777" ht="15" x14ac:dyDescent="0.25"/>
    <row r="778" ht="15" x14ac:dyDescent="0.25"/>
    <row r="779" ht="15" x14ac:dyDescent="0.25"/>
    <row r="780" ht="15" x14ac:dyDescent="0.25"/>
    <row r="781" ht="15" x14ac:dyDescent="0.25"/>
    <row r="782" ht="15" x14ac:dyDescent="0.25"/>
    <row r="783" ht="15" x14ac:dyDescent="0.25"/>
    <row r="784" ht="15" x14ac:dyDescent="0.25"/>
    <row r="785" ht="15" x14ac:dyDescent="0.25"/>
    <row r="786" ht="15" x14ac:dyDescent="0.25"/>
    <row r="787" ht="15" x14ac:dyDescent="0.25"/>
    <row r="788" ht="15" x14ac:dyDescent="0.25"/>
    <row r="789" ht="15" x14ac:dyDescent="0.25"/>
    <row r="790" ht="15" x14ac:dyDescent="0.25"/>
    <row r="791" ht="15" x14ac:dyDescent="0.25"/>
    <row r="792" ht="15" x14ac:dyDescent="0.25"/>
    <row r="793" ht="15" x14ac:dyDescent="0.25"/>
    <row r="794" ht="15" x14ac:dyDescent="0.25"/>
    <row r="795" ht="15" x14ac:dyDescent="0.25"/>
    <row r="796" ht="15" x14ac:dyDescent="0.25"/>
    <row r="797" ht="15" x14ac:dyDescent="0.25"/>
    <row r="798" ht="15" x14ac:dyDescent="0.25"/>
    <row r="799" ht="15" x14ac:dyDescent="0.25"/>
    <row r="800" ht="15" x14ac:dyDescent="0.25"/>
    <row r="801" ht="15" x14ac:dyDescent="0.25"/>
    <row r="802" ht="15" x14ac:dyDescent="0.25"/>
    <row r="803" ht="15" x14ac:dyDescent="0.25"/>
    <row r="804" ht="15" x14ac:dyDescent="0.25"/>
    <row r="805" ht="15" x14ac:dyDescent="0.25"/>
    <row r="806" ht="15" x14ac:dyDescent="0.25"/>
    <row r="807" ht="15" x14ac:dyDescent="0.25"/>
    <row r="808" ht="15" x14ac:dyDescent="0.25"/>
    <row r="809" ht="15" x14ac:dyDescent="0.25"/>
    <row r="810" ht="15" x14ac:dyDescent="0.25"/>
    <row r="811" ht="15" x14ac:dyDescent="0.25"/>
    <row r="812" ht="15" x14ac:dyDescent="0.25"/>
    <row r="813" ht="15" x14ac:dyDescent="0.25"/>
    <row r="814" ht="15" x14ac:dyDescent="0.25"/>
    <row r="815" ht="15" x14ac:dyDescent="0.25"/>
    <row r="816" ht="15" x14ac:dyDescent="0.25"/>
    <row r="817" ht="15" x14ac:dyDescent="0.25"/>
    <row r="818" ht="15" x14ac:dyDescent="0.25"/>
    <row r="819" ht="15" x14ac:dyDescent="0.25"/>
    <row r="820" ht="15" x14ac:dyDescent="0.25"/>
    <row r="821" ht="15" x14ac:dyDescent="0.25"/>
    <row r="822" ht="15" x14ac:dyDescent="0.25"/>
    <row r="823" ht="15" x14ac:dyDescent="0.25"/>
    <row r="824" ht="15" x14ac:dyDescent="0.25"/>
    <row r="825" ht="15" x14ac:dyDescent="0.25"/>
    <row r="826" ht="15" x14ac:dyDescent="0.25"/>
    <row r="827" ht="15" x14ac:dyDescent="0.25"/>
    <row r="828" ht="15" x14ac:dyDescent="0.25"/>
    <row r="829" ht="15" x14ac:dyDescent="0.25"/>
    <row r="830" ht="15" x14ac:dyDescent="0.25"/>
    <row r="831" ht="15" x14ac:dyDescent="0.25"/>
    <row r="832" ht="15" x14ac:dyDescent="0.25"/>
    <row r="833" ht="15" x14ac:dyDescent="0.25"/>
    <row r="834" ht="15" x14ac:dyDescent="0.25"/>
    <row r="835" ht="15" x14ac:dyDescent="0.25"/>
    <row r="836" ht="15" x14ac:dyDescent="0.25"/>
    <row r="837" ht="15" x14ac:dyDescent="0.25"/>
    <row r="838" ht="15" x14ac:dyDescent="0.25"/>
    <row r="839" ht="15" x14ac:dyDescent="0.25"/>
    <row r="840" ht="15" x14ac:dyDescent="0.25"/>
    <row r="841" ht="15" x14ac:dyDescent="0.25"/>
    <row r="842" ht="15" x14ac:dyDescent="0.25"/>
    <row r="843" ht="15" x14ac:dyDescent="0.25"/>
    <row r="844" ht="15" x14ac:dyDescent="0.25"/>
    <row r="845" ht="15" x14ac:dyDescent="0.25"/>
    <row r="846" ht="15" x14ac:dyDescent="0.25"/>
    <row r="847" ht="15" x14ac:dyDescent="0.25"/>
    <row r="848" ht="15" x14ac:dyDescent="0.25"/>
    <row r="849" ht="15" x14ac:dyDescent="0.25"/>
    <row r="850" ht="15" x14ac:dyDescent="0.25"/>
    <row r="851" ht="15" x14ac:dyDescent="0.25"/>
    <row r="852" ht="15" x14ac:dyDescent="0.25"/>
    <row r="853" ht="15" x14ac:dyDescent="0.25"/>
    <row r="854" ht="15" x14ac:dyDescent="0.25"/>
    <row r="855" ht="15" x14ac:dyDescent="0.25"/>
    <row r="856" ht="15" x14ac:dyDescent="0.25"/>
    <row r="857" ht="15" x14ac:dyDescent="0.25"/>
    <row r="858" ht="15" x14ac:dyDescent="0.25"/>
    <row r="859" ht="15" x14ac:dyDescent="0.25"/>
    <row r="860" ht="15" x14ac:dyDescent="0.25"/>
    <row r="861" ht="15" x14ac:dyDescent="0.25"/>
    <row r="862" ht="15" x14ac:dyDescent="0.25"/>
    <row r="863" ht="15" x14ac:dyDescent="0.25"/>
    <row r="864" ht="15" x14ac:dyDescent="0.25"/>
    <row r="865" ht="15" x14ac:dyDescent="0.25"/>
    <row r="866" ht="15" x14ac:dyDescent="0.25"/>
    <row r="867" ht="15" x14ac:dyDescent="0.25"/>
    <row r="868" ht="15" x14ac:dyDescent="0.25"/>
    <row r="869" ht="15" x14ac:dyDescent="0.25"/>
    <row r="870" ht="15" x14ac:dyDescent="0.25"/>
    <row r="871" ht="15" x14ac:dyDescent="0.25"/>
    <row r="872" ht="15" x14ac:dyDescent="0.25"/>
    <row r="873" ht="15" x14ac:dyDescent="0.25"/>
    <row r="874" ht="15" x14ac:dyDescent="0.25"/>
    <row r="875" ht="15" x14ac:dyDescent="0.25"/>
    <row r="876" ht="15" x14ac:dyDescent="0.25"/>
    <row r="877" ht="15" x14ac:dyDescent="0.25"/>
    <row r="878" ht="15" x14ac:dyDescent="0.25"/>
    <row r="879" ht="15" x14ac:dyDescent="0.25"/>
    <row r="880" ht="15" x14ac:dyDescent="0.25"/>
    <row r="881" ht="15" x14ac:dyDescent="0.25"/>
    <row r="882" ht="15" x14ac:dyDescent="0.25"/>
    <row r="883" ht="15" x14ac:dyDescent="0.25"/>
    <row r="884" ht="15" x14ac:dyDescent="0.25"/>
    <row r="885" ht="15" x14ac:dyDescent="0.25"/>
    <row r="886" ht="15" x14ac:dyDescent="0.25"/>
    <row r="887" ht="15" x14ac:dyDescent="0.25"/>
    <row r="888" ht="15" x14ac:dyDescent="0.25"/>
    <row r="889" ht="15" x14ac:dyDescent="0.25"/>
    <row r="890" ht="15" x14ac:dyDescent="0.25"/>
    <row r="891" ht="15" x14ac:dyDescent="0.25"/>
    <row r="892" ht="15" x14ac:dyDescent="0.25"/>
    <row r="893" ht="15" x14ac:dyDescent="0.25"/>
    <row r="894" ht="15" x14ac:dyDescent="0.25"/>
    <row r="895" ht="15" x14ac:dyDescent="0.25"/>
    <row r="896" ht="15" x14ac:dyDescent="0.25"/>
    <row r="897" ht="15" x14ac:dyDescent="0.25"/>
    <row r="898" ht="15" x14ac:dyDescent="0.25"/>
    <row r="899" ht="15" x14ac:dyDescent="0.25"/>
    <row r="900" ht="15" x14ac:dyDescent="0.25"/>
    <row r="901" ht="15" x14ac:dyDescent="0.25"/>
    <row r="902" ht="15" x14ac:dyDescent="0.25"/>
    <row r="903" ht="15" x14ac:dyDescent="0.25"/>
    <row r="904" ht="15" x14ac:dyDescent="0.25"/>
    <row r="905" ht="15" x14ac:dyDescent="0.25"/>
    <row r="906" ht="15" x14ac:dyDescent="0.25"/>
    <row r="907" ht="15" x14ac:dyDescent="0.25"/>
    <row r="908" ht="15" x14ac:dyDescent="0.25"/>
    <row r="909" ht="15" x14ac:dyDescent="0.25"/>
    <row r="910" ht="15" x14ac:dyDescent="0.25"/>
    <row r="911" ht="15" x14ac:dyDescent="0.25"/>
    <row r="912" ht="15" x14ac:dyDescent="0.25"/>
    <row r="913" ht="15" x14ac:dyDescent="0.25"/>
    <row r="914" ht="15" x14ac:dyDescent="0.25"/>
    <row r="915" ht="15" x14ac:dyDescent="0.25"/>
    <row r="916" ht="15" x14ac:dyDescent="0.25"/>
    <row r="917" ht="15" x14ac:dyDescent="0.25"/>
    <row r="918" ht="15" x14ac:dyDescent="0.25"/>
    <row r="919" ht="15" x14ac:dyDescent="0.25"/>
    <row r="920" ht="15" x14ac:dyDescent="0.25"/>
    <row r="921" ht="15" x14ac:dyDescent="0.25"/>
    <row r="922" ht="15" x14ac:dyDescent="0.25"/>
    <row r="923" ht="15" x14ac:dyDescent="0.25"/>
    <row r="924" ht="15" x14ac:dyDescent="0.25"/>
    <row r="925" ht="15" x14ac:dyDescent="0.25"/>
    <row r="926" ht="15" x14ac:dyDescent="0.25"/>
    <row r="927" ht="15" x14ac:dyDescent="0.25"/>
    <row r="928" ht="15" x14ac:dyDescent="0.25"/>
    <row r="929" ht="15" x14ac:dyDescent="0.25"/>
    <row r="930" ht="15" x14ac:dyDescent="0.25"/>
    <row r="931" ht="15" x14ac:dyDescent="0.25"/>
    <row r="932" ht="15" x14ac:dyDescent="0.25"/>
    <row r="933" ht="15" x14ac:dyDescent="0.25"/>
    <row r="934" ht="15" x14ac:dyDescent="0.25"/>
    <row r="935" ht="15" x14ac:dyDescent="0.25"/>
    <row r="936" ht="15" x14ac:dyDescent="0.25"/>
    <row r="937" ht="15" x14ac:dyDescent="0.25"/>
    <row r="938" ht="15" x14ac:dyDescent="0.25"/>
    <row r="939" ht="15" x14ac:dyDescent="0.25"/>
    <row r="940" ht="15" x14ac:dyDescent="0.25"/>
    <row r="941" ht="15" x14ac:dyDescent="0.25"/>
    <row r="942" ht="15" x14ac:dyDescent="0.25"/>
    <row r="943" ht="15" x14ac:dyDescent="0.25"/>
    <row r="944" ht="15" x14ac:dyDescent="0.25"/>
    <row r="945" ht="15" x14ac:dyDescent="0.25"/>
    <row r="946" ht="15" x14ac:dyDescent="0.25"/>
    <row r="947" ht="15" x14ac:dyDescent="0.25"/>
    <row r="948" ht="15" x14ac:dyDescent="0.25"/>
    <row r="949" ht="15" x14ac:dyDescent="0.25"/>
    <row r="950" ht="15" x14ac:dyDescent="0.25"/>
    <row r="951" ht="15" x14ac:dyDescent="0.25"/>
    <row r="952" ht="15" x14ac:dyDescent="0.25"/>
    <row r="953" ht="15" x14ac:dyDescent="0.25"/>
    <row r="954" ht="15" x14ac:dyDescent="0.25"/>
    <row r="955" ht="15" x14ac:dyDescent="0.25"/>
    <row r="956" ht="15" x14ac:dyDescent="0.25"/>
    <row r="957" ht="15" x14ac:dyDescent="0.25"/>
    <row r="958" ht="15" x14ac:dyDescent="0.25"/>
    <row r="959" ht="15" x14ac:dyDescent="0.25"/>
    <row r="960" ht="15" x14ac:dyDescent="0.25"/>
    <row r="961" ht="15" x14ac:dyDescent="0.25"/>
    <row r="962" ht="15" x14ac:dyDescent="0.25"/>
    <row r="963" ht="15" x14ac:dyDescent="0.25"/>
    <row r="964" ht="15" x14ac:dyDescent="0.25"/>
    <row r="965" ht="15" x14ac:dyDescent="0.25"/>
    <row r="966" ht="15" x14ac:dyDescent="0.25"/>
    <row r="967" ht="15" x14ac:dyDescent="0.25"/>
    <row r="968" ht="15" x14ac:dyDescent="0.25"/>
    <row r="969" ht="15" x14ac:dyDescent="0.25"/>
    <row r="970" ht="15" x14ac:dyDescent="0.25"/>
    <row r="971" ht="15" x14ac:dyDescent="0.25"/>
    <row r="972" ht="15" x14ac:dyDescent="0.25"/>
    <row r="973" ht="15" x14ac:dyDescent="0.25"/>
    <row r="974" ht="15" x14ac:dyDescent="0.25"/>
    <row r="975" ht="15" x14ac:dyDescent="0.25"/>
    <row r="976" ht="15" x14ac:dyDescent="0.25"/>
    <row r="977" ht="15" x14ac:dyDescent="0.25"/>
    <row r="978" ht="15" x14ac:dyDescent="0.25"/>
    <row r="979" ht="15" x14ac:dyDescent="0.25"/>
    <row r="980" ht="15" x14ac:dyDescent="0.25"/>
    <row r="981" ht="15" x14ac:dyDescent="0.25"/>
    <row r="982" ht="15" x14ac:dyDescent="0.25"/>
    <row r="983" ht="15" x14ac:dyDescent="0.25"/>
    <row r="984" ht="15" x14ac:dyDescent="0.25"/>
    <row r="985" ht="15" x14ac:dyDescent="0.25"/>
    <row r="986" ht="15" x14ac:dyDescent="0.25"/>
    <row r="987" ht="15" x14ac:dyDescent="0.25"/>
    <row r="988" ht="15" x14ac:dyDescent="0.25"/>
    <row r="989" ht="15" x14ac:dyDescent="0.25"/>
    <row r="990" ht="15" x14ac:dyDescent="0.25"/>
    <row r="991" ht="15" x14ac:dyDescent="0.25"/>
    <row r="992" ht="15" x14ac:dyDescent="0.25"/>
    <row r="993" ht="15" x14ac:dyDescent="0.25"/>
    <row r="994" ht="15" x14ac:dyDescent="0.25"/>
    <row r="995" ht="15" x14ac:dyDescent="0.25"/>
    <row r="996" ht="15" x14ac:dyDescent="0.25"/>
    <row r="997" ht="15" x14ac:dyDescent="0.25"/>
    <row r="998" ht="15" x14ac:dyDescent="0.25"/>
    <row r="999" ht="15" x14ac:dyDescent="0.25"/>
    <row r="1000" ht="15" x14ac:dyDescent="0.25"/>
    <row r="1001" ht="15" x14ac:dyDescent="0.25"/>
    <row r="1002" ht="15" x14ac:dyDescent="0.25"/>
    <row r="1003" ht="15" x14ac:dyDescent="0.25"/>
    <row r="1004" ht="15" x14ac:dyDescent="0.25"/>
    <row r="1005" ht="15" x14ac:dyDescent="0.25"/>
    <row r="1006" ht="15" x14ac:dyDescent="0.25"/>
    <row r="1007" ht="15" x14ac:dyDescent="0.25"/>
    <row r="1008" ht="15" x14ac:dyDescent="0.25"/>
    <row r="1009" ht="15" x14ac:dyDescent="0.25"/>
    <row r="1010" ht="15" x14ac:dyDescent="0.25"/>
    <row r="1011" ht="15" x14ac:dyDescent="0.25"/>
    <row r="1012" ht="15" x14ac:dyDescent="0.25"/>
    <row r="1013" ht="15" x14ac:dyDescent="0.25"/>
    <row r="1014" ht="15" x14ac:dyDescent="0.25"/>
    <row r="1015" ht="15" x14ac:dyDescent="0.25"/>
    <row r="1016" ht="15" x14ac:dyDescent="0.25"/>
    <row r="1017" ht="15" x14ac:dyDescent="0.25"/>
    <row r="1018" ht="15" x14ac:dyDescent="0.25"/>
    <row r="1019" ht="15" x14ac:dyDescent="0.25"/>
    <row r="1020" ht="15" x14ac:dyDescent="0.25"/>
    <row r="1021" ht="15" x14ac:dyDescent="0.25"/>
    <row r="1022" ht="15" x14ac:dyDescent="0.25"/>
    <row r="1023" ht="15" x14ac:dyDescent="0.25"/>
    <row r="1024" ht="15" x14ac:dyDescent="0.25"/>
    <row r="1025" ht="15" x14ac:dyDescent="0.25"/>
    <row r="1026" ht="15" x14ac:dyDescent="0.25"/>
    <row r="1027" ht="15" x14ac:dyDescent="0.25"/>
    <row r="1028" ht="15" x14ac:dyDescent="0.25"/>
    <row r="1029" ht="15" x14ac:dyDescent="0.25"/>
    <row r="1030" ht="15" x14ac:dyDescent="0.25"/>
    <row r="1031" ht="15" x14ac:dyDescent="0.25"/>
    <row r="1032" ht="15" x14ac:dyDescent="0.25"/>
    <row r="1033" ht="15" x14ac:dyDescent="0.25"/>
    <row r="1034" ht="15" x14ac:dyDescent="0.25"/>
    <row r="1035" ht="15" x14ac:dyDescent="0.25"/>
    <row r="1036" ht="15" x14ac:dyDescent="0.25"/>
    <row r="1037" ht="15" x14ac:dyDescent="0.25"/>
    <row r="1038" ht="15" x14ac:dyDescent="0.25"/>
    <row r="1039" ht="15" x14ac:dyDescent="0.25"/>
    <row r="1040" ht="15" x14ac:dyDescent="0.25"/>
    <row r="1041" ht="15" x14ac:dyDescent="0.25"/>
    <row r="1042" ht="15" x14ac:dyDescent="0.25"/>
    <row r="1043" ht="15" x14ac:dyDescent="0.25"/>
    <row r="1044" ht="15" x14ac:dyDescent="0.25"/>
    <row r="1045" ht="15" x14ac:dyDescent="0.25"/>
    <row r="1046" ht="15" x14ac:dyDescent="0.25"/>
    <row r="1047" ht="15" x14ac:dyDescent="0.25"/>
    <row r="1048" ht="15" x14ac:dyDescent="0.25"/>
    <row r="1049" ht="15" x14ac:dyDescent="0.25"/>
    <row r="1050" ht="15" x14ac:dyDescent="0.25"/>
    <row r="1051" ht="15" x14ac:dyDescent="0.25"/>
    <row r="1052" ht="15" x14ac:dyDescent="0.25"/>
    <row r="1053" ht="15" x14ac:dyDescent="0.25"/>
    <row r="1054" ht="15" x14ac:dyDescent="0.25"/>
    <row r="1055" ht="15" x14ac:dyDescent="0.25"/>
    <row r="1056" ht="15" x14ac:dyDescent="0.25"/>
    <row r="1057" ht="15" x14ac:dyDescent="0.25"/>
    <row r="1058" ht="15" x14ac:dyDescent="0.25"/>
    <row r="1059" ht="15" x14ac:dyDescent="0.25"/>
    <row r="1060" ht="15" x14ac:dyDescent="0.25"/>
    <row r="1061" ht="15" x14ac:dyDescent="0.25"/>
    <row r="1062" ht="15" x14ac:dyDescent="0.25"/>
    <row r="1063" ht="15" x14ac:dyDescent="0.25"/>
    <row r="1064" ht="15" x14ac:dyDescent="0.25"/>
    <row r="1065" ht="15" x14ac:dyDescent="0.25"/>
    <row r="1066" ht="15" x14ac:dyDescent="0.25"/>
    <row r="1067" ht="15" x14ac:dyDescent="0.25"/>
    <row r="1068" ht="15" x14ac:dyDescent="0.25"/>
    <row r="1069" ht="15" x14ac:dyDescent="0.25"/>
    <row r="1070" ht="15" x14ac:dyDescent="0.25"/>
    <row r="1071" ht="15" x14ac:dyDescent="0.25"/>
    <row r="1072" ht="15" x14ac:dyDescent="0.25"/>
    <row r="1073" ht="15" x14ac:dyDescent="0.25"/>
    <row r="1074" ht="15" x14ac:dyDescent="0.25"/>
    <row r="1075" ht="15" x14ac:dyDescent="0.25"/>
    <row r="1076" ht="15" x14ac:dyDescent="0.25"/>
    <row r="1077" ht="15" x14ac:dyDescent="0.25"/>
    <row r="1078" ht="15" x14ac:dyDescent="0.25"/>
    <row r="1079" ht="15" x14ac:dyDescent="0.25"/>
    <row r="1080" ht="15" x14ac:dyDescent="0.25"/>
    <row r="1081" ht="15" x14ac:dyDescent="0.25"/>
    <row r="1082" ht="15" x14ac:dyDescent="0.25"/>
    <row r="1083" ht="15" x14ac:dyDescent="0.25"/>
    <row r="1084" ht="15" x14ac:dyDescent="0.25"/>
    <row r="1085" ht="15" x14ac:dyDescent="0.25"/>
    <row r="1086" ht="15" x14ac:dyDescent="0.25"/>
    <row r="1087" ht="15" x14ac:dyDescent="0.25"/>
    <row r="1088" ht="15" x14ac:dyDescent="0.25"/>
    <row r="1089" ht="15" x14ac:dyDescent="0.25"/>
    <row r="1090" ht="15" x14ac:dyDescent="0.25"/>
    <row r="1091" ht="15" x14ac:dyDescent="0.25"/>
    <row r="1092" ht="15" x14ac:dyDescent="0.25"/>
    <row r="1093" ht="15" x14ac:dyDescent="0.25"/>
    <row r="1094" ht="15" x14ac:dyDescent="0.25"/>
    <row r="1095" ht="15" x14ac:dyDescent="0.25"/>
    <row r="1096" ht="15" x14ac:dyDescent="0.25"/>
    <row r="1097" ht="15" x14ac:dyDescent="0.25"/>
    <row r="1098" ht="15" x14ac:dyDescent="0.25"/>
    <row r="1099" ht="15" x14ac:dyDescent="0.25"/>
    <row r="1100" ht="15" x14ac:dyDescent="0.25"/>
    <row r="1101" ht="15" x14ac:dyDescent="0.25"/>
    <row r="1102" ht="15" x14ac:dyDescent="0.25"/>
    <row r="1103" ht="15" x14ac:dyDescent="0.25"/>
    <row r="1104" ht="15" x14ac:dyDescent="0.25"/>
    <row r="1105" ht="15" x14ac:dyDescent="0.25"/>
    <row r="1106" ht="15" x14ac:dyDescent="0.25"/>
    <row r="1107" ht="15" x14ac:dyDescent="0.25"/>
    <row r="1108" ht="15" x14ac:dyDescent="0.25"/>
    <row r="1109" ht="15" x14ac:dyDescent="0.25"/>
    <row r="1110" ht="15" x14ac:dyDescent="0.25"/>
    <row r="1111" ht="15" x14ac:dyDescent="0.25"/>
    <row r="1112" ht="15" x14ac:dyDescent="0.25"/>
    <row r="1113" ht="15" x14ac:dyDescent="0.25"/>
    <row r="1114" ht="15" x14ac:dyDescent="0.25"/>
    <row r="1115" ht="15" x14ac:dyDescent="0.25"/>
    <row r="1116" ht="15" x14ac:dyDescent="0.25"/>
    <row r="1117" ht="15" x14ac:dyDescent="0.25"/>
    <row r="1118" ht="15" x14ac:dyDescent="0.25"/>
    <row r="1119" ht="15" x14ac:dyDescent="0.25"/>
    <row r="1120" ht="15" x14ac:dyDescent="0.25"/>
    <row r="1121" ht="15" x14ac:dyDescent="0.25"/>
    <row r="1122" ht="15" x14ac:dyDescent="0.25"/>
    <row r="1123" ht="15" x14ac:dyDescent="0.25"/>
    <row r="1124" ht="15" x14ac:dyDescent="0.25"/>
    <row r="1125" ht="15" x14ac:dyDescent="0.25"/>
    <row r="1126" ht="15" x14ac:dyDescent="0.25"/>
    <row r="1127" ht="15" x14ac:dyDescent="0.25"/>
    <row r="1128" ht="15" x14ac:dyDescent="0.25"/>
    <row r="1129" ht="15" x14ac:dyDescent="0.25"/>
    <row r="1130" ht="15" x14ac:dyDescent="0.25"/>
    <row r="1131" ht="15" x14ac:dyDescent="0.25"/>
    <row r="1132" ht="15" x14ac:dyDescent="0.25"/>
    <row r="1133" ht="15" x14ac:dyDescent="0.25"/>
    <row r="1134" ht="15" x14ac:dyDescent="0.25"/>
    <row r="1135" ht="15" x14ac:dyDescent="0.25"/>
    <row r="1136" ht="15" x14ac:dyDescent="0.25"/>
    <row r="1137" ht="15" x14ac:dyDescent="0.25"/>
    <row r="1138" ht="15" x14ac:dyDescent="0.25"/>
    <row r="1139" ht="15" x14ac:dyDescent="0.25"/>
    <row r="1140" ht="15" x14ac:dyDescent="0.25"/>
    <row r="1141" ht="15" x14ac:dyDescent="0.25"/>
    <row r="1142" ht="15" x14ac:dyDescent="0.25"/>
    <row r="1143" ht="15" x14ac:dyDescent="0.25"/>
    <row r="1144" ht="15" x14ac:dyDescent="0.25"/>
    <row r="1145" ht="15" x14ac:dyDescent="0.25"/>
    <row r="1146" ht="15" x14ac:dyDescent="0.25"/>
    <row r="1147" ht="15" x14ac:dyDescent="0.25"/>
    <row r="1148" ht="15" x14ac:dyDescent="0.25"/>
    <row r="1149" ht="15" x14ac:dyDescent="0.25"/>
    <row r="1150" ht="15" x14ac:dyDescent="0.25"/>
    <row r="1151" ht="15" x14ac:dyDescent="0.25"/>
    <row r="1152" ht="15" x14ac:dyDescent="0.25"/>
    <row r="1153" ht="15" x14ac:dyDescent="0.25"/>
    <row r="1154" ht="15" x14ac:dyDescent="0.25"/>
    <row r="1155" ht="15" x14ac:dyDescent="0.25"/>
    <row r="1156" ht="15" x14ac:dyDescent="0.25"/>
    <row r="1157" ht="15" x14ac:dyDescent="0.25"/>
    <row r="1158" ht="15" x14ac:dyDescent="0.25"/>
    <row r="1159" ht="15" x14ac:dyDescent="0.25"/>
    <row r="1160" ht="15" x14ac:dyDescent="0.25"/>
    <row r="1161" ht="15" x14ac:dyDescent="0.25"/>
    <row r="1162" ht="15" x14ac:dyDescent="0.25"/>
    <row r="1163" ht="15" x14ac:dyDescent="0.25"/>
    <row r="1164" ht="15" x14ac:dyDescent="0.25"/>
    <row r="1165" ht="15" x14ac:dyDescent="0.25"/>
    <row r="1166" ht="15" x14ac:dyDescent="0.25"/>
    <row r="1167" ht="15" x14ac:dyDescent="0.25"/>
    <row r="1168" ht="15" x14ac:dyDescent="0.25"/>
    <row r="1169" ht="15" x14ac:dyDescent="0.25"/>
    <row r="1170" ht="15" x14ac:dyDescent="0.25"/>
    <row r="1171" ht="15" x14ac:dyDescent="0.25"/>
    <row r="1172" ht="15" x14ac:dyDescent="0.25"/>
    <row r="1173" ht="15" x14ac:dyDescent="0.25"/>
    <row r="1174" ht="15" x14ac:dyDescent="0.25"/>
    <row r="1175" ht="15" x14ac:dyDescent="0.25"/>
    <row r="1176" ht="15" x14ac:dyDescent="0.25"/>
    <row r="1177" ht="15" x14ac:dyDescent="0.25"/>
    <row r="1178" ht="15" x14ac:dyDescent="0.25"/>
    <row r="1179" ht="15" x14ac:dyDescent="0.25"/>
    <row r="1180" ht="15" x14ac:dyDescent="0.25"/>
    <row r="1181" ht="15" x14ac:dyDescent="0.25"/>
    <row r="1182" ht="15" x14ac:dyDescent="0.25"/>
    <row r="1183" ht="15" x14ac:dyDescent="0.25"/>
    <row r="1184" ht="15" x14ac:dyDescent="0.25"/>
    <row r="1185" ht="15" x14ac:dyDescent="0.25"/>
    <row r="1186" ht="15" x14ac:dyDescent="0.25"/>
    <row r="1187" ht="15" x14ac:dyDescent="0.25"/>
    <row r="1188" ht="15" x14ac:dyDescent="0.25"/>
    <row r="1189" ht="15" x14ac:dyDescent="0.25"/>
    <row r="1190" ht="15" x14ac:dyDescent="0.25"/>
    <row r="1191" ht="15" x14ac:dyDescent="0.25"/>
    <row r="1192" ht="15" x14ac:dyDescent="0.25"/>
    <row r="1193" ht="15" x14ac:dyDescent="0.25"/>
    <row r="1194" ht="15" x14ac:dyDescent="0.25"/>
    <row r="1195" ht="15" x14ac:dyDescent="0.25"/>
    <row r="1196" ht="15" x14ac:dyDescent="0.25"/>
    <row r="1197" ht="15" x14ac:dyDescent="0.25"/>
    <row r="1198" ht="15" x14ac:dyDescent="0.25"/>
    <row r="1199" ht="15" x14ac:dyDescent="0.25"/>
    <row r="1200" ht="15" x14ac:dyDescent="0.25"/>
    <row r="1201" ht="15" x14ac:dyDescent="0.25"/>
    <row r="1202" ht="15" x14ac:dyDescent="0.25"/>
    <row r="1203" ht="15" x14ac:dyDescent="0.25"/>
    <row r="1204" ht="15" x14ac:dyDescent="0.25"/>
    <row r="1205" ht="15" x14ac:dyDescent="0.25"/>
    <row r="1206" ht="15" x14ac:dyDescent="0.25"/>
    <row r="1207" ht="15" x14ac:dyDescent="0.25"/>
    <row r="1208" ht="15" x14ac:dyDescent="0.25"/>
    <row r="1209" ht="15" x14ac:dyDescent="0.25"/>
    <row r="1210" ht="15" x14ac:dyDescent="0.25"/>
    <row r="1211" ht="15" x14ac:dyDescent="0.25"/>
    <row r="1212" ht="15" x14ac:dyDescent="0.25"/>
  </sheetData>
  <hyperlinks>
    <hyperlink ref="R1" r:id="rId1" xr:uid="{4E6D4818-A209-458A-AC51-353E01044AB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sheetPr>
    <tabColor theme="0" tint="-0.249977111117893"/>
  </sheetPr>
  <dimension ref="A1:Z207"/>
  <sheetViews>
    <sheetView workbookViewId="0">
      <selection activeCell="J4" sqref="J4"/>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8" width="19.28515625" style="2" customWidth="1"/>
    <col min="9" max="9" width="17" style="2" customWidth="1"/>
    <col min="10" max="10" width="31" style="2" customWidth="1"/>
    <col min="11" max="11" width="1.28515625" style="2" customWidth="1"/>
    <col min="12" max="12" width="22.85546875" style="2" customWidth="1"/>
    <col min="13" max="13" width="5.5703125" style="3"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4" t="s">
        <v>153</v>
      </c>
      <c r="B2" s="101"/>
      <c r="C2" s="101"/>
      <c r="D2" s="101"/>
      <c r="E2" s="6"/>
      <c r="F2" s="6"/>
      <c r="G2" s="6"/>
      <c r="H2" s="6"/>
      <c r="I2" s="685" t="str">
        <f>RIGHT(A2,4)</f>
        <v>0040</v>
      </c>
      <c r="J2" s="6"/>
      <c r="K2" s="6"/>
      <c r="L2" s="6"/>
      <c r="M2" s="6"/>
      <c r="N2" s="6"/>
      <c r="O2" s="6"/>
      <c r="P2" s="6"/>
      <c r="Q2" s="6"/>
      <c r="R2" s="987" t="str">
        <f>Revenue_Estimate_Worksheet_for___________Charter_School</f>
        <v>Revenue Estimate Worksheet: Palm Beach Preparatory Middle School 0040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629"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7">
        <f>SUMIFS('Surv2-3'!D:D,'Surv2-3'!$A:$A,$I$2,'Surv2-3'!$B:$B,$O12)</f>
        <v>0</v>
      </c>
      <c r="D12" s="697">
        <f>SUMIFS('Surv2-3'!K:K,'Surv2-3'!$H:$H,$I$2,'Surv2-3'!$I:$I,$O12)</f>
        <v>0</v>
      </c>
      <c r="E12" s="1081">
        <f t="shared" ref="E12:E27" si="0">IF($D$28=0,C12*2,C12+D12)</f>
        <v>0</v>
      </c>
      <c r="F12" s="1081"/>
      <c r="G12" s="1096">
        <f>Consolidated!$F14</f>
        <v>1.107</v>
      </c>
      <c r="H12" s="1096">
        <f>Consolidated!$H$9</f>
        <v>1</v>
      </c>
      <c r="I12" s="22">
        <f>ROUND(E12*G12,4)</f>
        <v>0</v>
      </c>
      <c r="J12" s="116">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630">
        <f>SUMIFS('Surv2-3'!D:D,'Surv2-3'!$A:$A,$I$2,'Surv2-3'!$B:$B,$O13)</f>
        <v>0</v>
      </c>
      <c r="D13" s="630">
        <f>SUMIFS('Surv2-3'!K:K,'Surv2-3'!$H:$H,$I$2,'Surv2-3'!$I:$I,$O13)</f>
        <v>0</v>
      </c>
      <c r="E13" s="1080">
        <f t="shared" si="0"/>
        <v>0</v>
      </c>
      <c r="F13" s="1080"/>
      <c r="G13" s="1086">
        <f>Consolidated!$F15</f>
        <v>1.107</v>
      </c>
      <c r="H13" s="1086">
        <f>Consolidated!$H$9</f>
        <v>1</v>
      </c>
      <c r="I13" s="22">
        <f t="shared" ref="I13:I27" si="3">ROUND(E13*G13,4)</f>
        <v>0</v>
      </c>
      <c r="J13" s="116">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630">
        <f>SUMIFS('Surv2-3'!E:E,'Surv2-3'!$A:$A,$I$2,'Surv2-3'!$B:$B,$O14)</f>
        <v>0</v>
      </c>
      <c r="D14" s="630">
        <f>SUMIFS('Surv2-3'!L:L,'Surv2-3'!$H:$H,$I$2,'Surv2-3'!$I:$I,$O14)</f>
        <v>0</v>
      </c>
      <c r="E14" s="1080">
        <f t="shared" si="0"/>
        <v>0</v>
      </c>
      <c r="F14" s="1080"/>
      <c r="G14" s="1086">
        <f>Consolidated!$F16</f>
        <v>1</v>
      </c>
      <c r="H14" s="1086">
        <f>Consolidated!$H$9</f>
        <v>1</v>
      </c>
      <c r="I14" s="22">
        <f t="shared" si="3"/>
        <v>0</v>
      </c>
      <c r="J14" s="116">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630">
        <f>SUMIFS('Surv2-3'!E:E,'Surv2-3'!$A:$A,$I$2,'Surv2-3'!$B:$B,$O15)</f>
        <v>0</v>
      </c>
      <c r="D15" s="630">
        <f>SUMIFS('Surv2-3'!L:L,'Surv2-3'!$H:$H,$I$2,'Surv2-3'!$I:$I,$O15)</f>
        <v>0</v>
      </c>
      <c r="E15" s="1080">
        <f t="shared" si="0"/>
        <v>0</v>
      </c>
      <c r="F15" s="1080"/>
      <c r="G15" s="1086">
        <f>Consolidated!$F17</f>
        <v>1</v>
      </c>
      <c r="H15" s="1086">
        <f>Consolidated!$H$9</f>
        <v>1</v>
      </c>
      <c r="I15" s="22">
        <f t="shared" si="3"/>
        <v>0</v>
      </c>
      <c r="J15" s="116">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630">
        <f>SUMIFS('Surv2-3'!F:F,'Surv2-3'!$A:$A,$I$2,'Surv2-3'!$B:$B,$O16)</f>
        <v>0</v>
      </c>
      <c r="D16" s="630">
        <f>SUMIFS('Surv2-3'!M:M,'Surv2-3'!$H:$H,$I$2,'Surv2-3'!$I:$I,$O16)</f>
        <v>0</v>
      </c>
      <c r="E16" s="1080">
        <f t="shared" si="0"/>
        <v>0</v>
      </c>
      <c r="F16" s="1080"/>
      <c r="G16" s="1086">
        <f>Consolidated!$F18</f>
        <v>0.96499999999999997</v>
      </c>
      <c r="H16" s="1086">
        <f>Consolidated!$H$9</f>
        <v>1</v>
      </c>
      <c r="I16" s="22">
        <f t="shared" si="3"/>
        <v>0</v>
      </c>
      <c r="J16" s="116">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630">
        <f>SUMIFS('Surv2-3'!F:F,'Surv2-3'!$A:$A,$I$2,'Surv2-3'!$B:$B,$O17)</f>
        <v>0</v>
      </c>
      <c r="D17" s="771">
        <f>SUMIFS('Surv2-3'!M:M,'Surv2-3'!$H:$H,$I$2,'Surv2-3'!$I:$I,$O17)</f>
        <v>0</v>
      </c>
      <c r="E17" s="1080">
        <f t="shared" si="0"/>
        <v>0</v>
      </c>
      <c r="F17" s="1080"/>
      <c r="G17" s="1086">
        <f>Consolidated!$F19</f>
        <v>0.96499999999999997</v>
      </c>
      <c r="H17" s="1086">
        <f>Consolidated!$H$9</f>
        <v>1</v>
      </c>
      <c r="I17" s="22">
        <f t="shared" si="3"/>
        <v>0</v>
      </c>
      <c r="J17" s="116">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630">
        <f>SUMIFS('Surv2-3'!D:D,'Surv2-3'!$A:$A,$I$2,'Surv2-3'!$B:$B,$O18)</f>
        <v>0</v>
      </c>
      <c r="D18" s="771">
        <f>SUMIFS('Surv2-3'!K:K,'Surv2-3'!$H:$H,$I$2,'Surv2-3'!$I:$I,$O18)</f>
        <v>0</v>
      </c>
      <c r="E18" s="1080">
        <f t="shared" si="0"/>
        <v>0</v>
      </c>
      <c r="F18" s="1080"/>
      <c r="G18" s="1086">
        <f>Consolidated!$F20</f>
        <v>3.5150000000000001</v>
      </c>
      <c r="H18" s="1086">
        <f>Consolidated!$H$9</f>
        <v>1</v>
      </c>
      <c r="I18" s="22">
        <f t="shared" si="3"/>
        <v>0</v>
      </c>
      <c r="J18" s="116">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630">
        <f>SUMIFS('Surv2-3'!E:E,'Surv2-3'!$A:$A,$I$2,'Surv2-3'!$B:$B,$O19)</f>
        <v>0</v>
      </c>
      <c r="D19" s="630">
        <f>SUMIFS('Surv2-3'!L:L,'Surv2-3'!$H:$H,$I$2,'Surv2-3'!$I:$I,$O19)</f>
        <v>0</v>
      </c>
      <c r="E19" s="1080">
        <f t="shared" si="0"/>
        <v>0</v>
      </c>
      <c r="F19" s="1080"/>
      <c r="G19" s="1086">
        <f>Consolidated!$F21</f>
        <v>3.5150000000000001</v>
      </c>
      <c r="H19" s="1086">
        <f>Consolidated!$H$9</f>
        <v>1</v>
      </c>
      <c r="I19" s="22">
        <f t="shared" si="3"/>
        <v>0</v>
      </c>
      <c r="J19" s="116">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630">
        <f>SUMIFS('Surv2-3'!F:F,'Surv2-3'!$A:$A,$I$2,'Surv2-3'!$B:$B,$O20)</f>
        <v>0</v>
      </c>
      <c r="D20" s="630">
        <f>SUMIFS('Surv2-3'!M:M,'Surv2-3'!$H:$H,$I$2,'Surv2-3'!$I:$I,$O20)</f>
        <v>0</v>
      </c>
      <c r="E20" s="1080">
        <f t="shared" si="0"/>
        <v>0</v>
      </c>
      <c r="F20" s="1080"/>
      <c r="G20" s="1086">
        <f>Consolidated!$F22</f>
        <v>3.5150000000000001</v>
      </c>
      <c r="H20" s="1086">
        <f>Consolidated!$H$9</f>
        <v>1</v>
      </c>
      <c r="I20" s="22">
        <f t="shared" si="3"/>
        <v>0</v>
      </c>
      <c r="J20" s="116">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630">
        <f>SUMIFS('Surv2-3'!D:D,'Surv2-3'!$A:$A,$I$2,'Surv2-3'!$B:$B,$O21)</f>
        <v>0</v>
      </c>
      <c r="D21" s="771">
        <f>SUMIFS('Surv2-3'!K:K,'Surv2-3'!$H:$H,$I$2,'Surv2-3'!$I:$I,$O21)</f>
        <v>0</v>
      </c>
      <c r="E21" s="1080">
        <f t="shared" si="0"/>
        <v>0</v>
      </c>
      <c r="F21" s="1080"/>
      <c r="G21" s="1086">
        <f>Consolidated!$F23</f>
        <v>5.9059999999999997</v>
      </c>
      <c r="H21" s="1086">
        <f>Consolidated!$H$9</f>
        <v>1</v>
      </c>
      <c r="I21" s="22">
        <f t="shared" si="3"/>
        <v>0</v>
      </c>
      <c r="J21" s="116">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630">
        <f>SUMIFS('Surv2-3'!E:E,'Surv2-3'!$A:$A,$I$2,'Surv2-3'!$B:$B,$O22)</f>
        <v>0</v>
      </c>
      <c r="D22" s="630">
        <f>SUMIFS('Surv2-3'!L:L,'Surv2-3'!$H:$H,$I$2,'Surv2-3'!$I:$I,$O22)</f>
        <v>0</v>
      </c>
      <c r="E22" s="1080">
        <f t="shared" si="0"/>
        <v>0</v>
      </c>
      <c r="F22" s="1080"/>
      <c r="G22" s="1086">
        <f>Consolidated!$F24</f>
        <v>5.9059999999999997</v>
      </c>
      <c r="H22" s="1086">
        <f>Consolidated!$H$9</f>
        <v>1</v>
      </c>
      <c r="I22" s="22">
        <f t="shared" si="3"/>
        <v>0</v>
      </c>
      <c r="J22" s="116">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630">
        <f>SUMIFS('Surv2-3'!F:F,'Surv2-3'!$A:$A,$I$2,'Surv2-3'!$B:$B,$O23)</f>
        <v>0</v>
      </c>
      <c r="D23" s="630">
        <f>SUMIFS('Surv2-3'!M:M,'Surv2-3'!$H:$H,$I$2,'Surv2-3'!$I:$I,$O23)</f>
        <v>0</v>
      </c>
      <c r="E23" s="1080">
        <f t="shared" si="0"/>
        <v>0</v>
      </c>
      <c r="F23" s="1080"/>
      <c r="G23" s="1086">
        <f>Consolidated!$F25</f>
        <v>5.9059999999999997</v>
      </c>
      <c r="H23" s="1086">
        <f>Consolidated!$H$9</f>
        <v>1</v>
      </c>
      <c r="I23" s="22">
        <f t="shared" si="3"/>
        <v>0</v>
      </c>
      <c r="J23" s="116">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630">
        <f>SUMIFS('Surv2-3'!D:D,'Surv2-3'!$A:$A,$I$2,'Surv2-3'!$B:$B,$O24)</f>
        <v>0</v>
      </c>
      <c r="D24" s="771">
        <f>SUMIFS('Surv2-3'!K:K,'Surv2-3'!$H:$H,$I$2,'Surv2-3'!$I:$I,$O24)</f>
        <v>0</v>
      </c>
      <c r="E24" s="1080">
        <f t="shared" si="0"/>
        <v>0</v>
      </c>
      <c r="F24" s="1080"/>
      <c r="G24" s="1086">
        <f>Consolidated!$F26</f>
        <v>1.161</v>
      </c>
      <c r="H24" s="1086">
        <f>Consolidated!$H$9</f>
        <v>1</v>
      </c>
      <c r="I24" s="22">
        <f t="shared" si="3"/>
        <v>0</v>
      </c>
      <c r="J24" s="116">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630">
        <f>SUMIFS('Surv2-3'!E:E,'Surv2-3'!$A:$A,$I$2,'Surv2-3'!$B:$B,$O25)</f>
        <v>0</v>
      </c>
      <c r="D25" s="630">
        <f>SUMIFS('Surv2-3'!L:L,'Surv2-3'!$H:$H,$I$2,'Surv2-3'!$I:$I,$O25)</f>
        <v>0</v>
      </c>
      <c r="E25" s="1080">
        <f t="shared" si="0"/>
        <v>0</v>
      </c>
      <c r="F25" s="1080"/>
      <c r="G25" s="1086">
        <f>Consolidated!$F27</f>
        <v>1.161</v>
      </c>
      <c r="H25" s="1086">
        <f>Consolidated!$H$9</f>
        <v>1</v>
      </c>
      <c r="I25" s="22">
        <f t="shared" si="3"/>
        <v>0</v>
      </c>
      <c r="J25" s="116">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630">
        <f>SUMIFS('Surv2-3'!F:F,'Surv2-3'!$A:$A,$I$2,'Surv2-3'!$B:$B,$O26)</f>
        <v>0</v>
      </c>
      <c r="D26" s="630">
        <f>SUMIFS('Surv2-3'!M:M,'Surv2-3'!$H:$H,$I$2,'Surv2-3'!$I:$I,$O26)</f>
        <v>0</v>
      </c>
      <c r="E26" s="1080">
        <f t="shared" si="0"/>
        <v>0</v>
      </c>
      <c r="F26" s="1080"/>
      <c r="G26" s="1086">
        <f>Consolidated!$F28</f>
        <v>1.161</v>
      </c>
      <c r="H26" s="1086">
        <f>Consolidated!$H$9</f>
        <v>1</v>
      </c>
      <c r="I26" s="22">
        <f t="shared" si="3"/>
        <v>0</v>
      </c>
      <c r="J26" s="116">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768">
        <f>SUMIFS('Surv2-3'!C:C,'Surv2-3'!$A:$A,$I$2,'Surv2-3'!$B:$B,$O27)</f>
        <v>0</v>
      </c>
      <c r="D27" s="768">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631">
        <f>SUM(C12:C27)</f>
        <v>0</v>
      </c>
      <c r="D28" s="631">
        <f>SUM(D12:D27)</f>
        <v>0</v>
      </c>
      <c r="E28" s="1085">
        <f>SUM(E12:E27)</f>
        <v>0</v>
      </c>
      <c r="F28" s="1085"/>
      <c r="G28" s="1080"/>
      <c r="H28" s="1080"/>
      <c r="I28" s="23">
        <f>SUM(I12:I27)</f>
        <v>0</v>
      </c>
      <c r="J28" s="909">
        <f>SUM(J12:J27)</f>
        <v>0</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v>0</v>
      </c>
      <c r="W32" s="1025" t="s">
        <v>43</v>
      </c>
      <c r="X32" s="1025"/>
      <c r="Y32" s="152">
        <f>SUM(Y31:Y31)</f>
        <v>0</v>
      </c>
    </row>
    <row r="33" spans="1:25" ht="20.25" hidden="1" customHeight="1" thickBot="1" x14ac:dyDescent="0.3">
      <c r="A33" s="1030" t="s">
        <v>44</v>
      </c>
      <c r="B33" s="1030"/>
      <c r="C33" s="1030"/>
      <c r="D33" s="1030"/>
      <c r="E33" s="1030"/>
      <c r="F33" s="1030"/>
      <c r="G33" s="31">
        <f>G32+I28</f>
        <v>0</v>
      </c>
      <c r="H33" s="1080" t="s">
        <v>45</v>
      </c>
      <c r="I33" s="1080"/>
      <c r="J33" s="32">
        <f>SUM(J32,J28)</f>
        <v>0</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f>135867.18*0</f>
        <v>0</v>
      </c>
      <c r="H36" s="37" t="s">
        <v>48</v>
      </c>
      <c r="I36" s="38">
        <f>Consolidated!H53</f>
        <v>7.1400000000000005E-2</v>
      </c>
      <c r="J36" s="120">
        <f>ROUND(G36*I36,2)</f>
        <v>0</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f>135867.18*0</f>
        <v>0</v>
      </c>
      <c r="H37" s="37" t="s">
        <v>48</v>
      </c>
      <c r="I37" s="38">
        <f>Consolidated!H54</f>
        <v>1.06E-2</v>
      </c>
      <c r="J37" s="120">
        <f>ROUND(G37*I37,2)</f>
        <v>0</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0</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632"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 t="shared" ref="X41:X49" si="10">I41</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 t="shared" si="10"/>
        <v>3380</v>
      </c>
      <c r="Y42" s="213">
        <f t="shared" ref="Y42:Y49" si="11">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 t="shared" si="10"/>
        <v>6896</v>
      </c>
      <c r="Y43" s="213">
        <f t="shared" si="11"/>
        <v>0</v>
      </c>
    </row>
    <row r="44" spans="1:25" ht="20.25" customHeight="1" x14ac:dyDescent="0.25">
      <c r="A44" s="1079"/>
      <c r="B44" s="1079"/>
      <c r="C44" s="122">
        <f>SUMIFS('ESE FTE'!F:F,'ESE FTE'!$A:$A,$I$2,'ESE FTE'!$E:$E,9)</f>
        <v>0</v>
      </c>
      <c r="D44" s="122">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 t="shared" si="10"/>
        <v>1173</v>
      </c>
      <c r="Y44" s="213">
        <f t="shared" si="11"/>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 t="shared" si="10"/>
        <v>3506</v>
      </c>
      <c r="Y45" s="213">
        <f t="shared" si="11"/>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 t="shared" si="10"/>
        <v>7023</v>
      </c>
      <c r="Y46" s="213">
        <f t="shared" si="11"/>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 t="shared" si="10"/>
        <v>835</v>
      </c>
      <c r="Y47" s="213">
        <f t="shared" si="11"/>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 t="shared" si="10"/>
        <v>3168</v>
      </c>
      <c r="Y48" s="213">
        <f t="shared" si="11"/>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 t="shared" si="10"/>
        <v>6685</v>
      </c>
      <c r="Y49" s="213">
        <f t="shared" si="11"/>
        <v>0</v>
      </c>
    </row>
    <row r="50" spans="1:25" ht="15.75" customHeight="1" thickBot="1" x14ac:dyDescent="0.3">
      <c r="A50" s="1030" t="s">
        <v>60</v>
      </c>
      <c r="B50" s="1030"/>
      <c r="C50" s="769">
        <f>SUM(C41:C49)</f>
        <v>0</v>
      </c>
      <c r="D50" s="770">
        <f>SUM(D41:D49)</f>
        <v>0</v>
      </c>
      <c r="E50" s="1075">
        <f>SUM(E41:E49)</f>
        <v>0</v>
      </c>
      <c r="F50" s="1075"/>
      <c r="G50" s="1030" t="s">
        <v>61</v>
      </c>
      <c r="H50" s="1030"/>
      <c r="I50" s="1030"/>
      <c r="J50" s="220">
        <f>SUM(J41:J49)</f>
        <v>0</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910"/>
      <c r="D53" s="49"/>
      <c r="E53" s="48">
        <f>E$28</f>
        <v>0</v>
      </c>
      <c r="F53" s="49" t="s">
        <v>64</v>
      </c>
      <c r="G53" s="1087" t="s">
        <v>65</v>
      </c>
      <c r="H53" s="1087"/>
      <c r="I53" s="634">
        <f>Consolidated!H$71</f>
        <v>208856.94000000003</v>
      </c>
      <c r="J53" s="633"/>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0</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Y33</f>
        <v>0</v>
      </c>
      <c r="U55" s="173" t="s">
        <v>64</v>
      </c>
      <c r="V55" s="174"/>
      <c r="W55" s="175" t="s">
        <v>69</v>
      </c>
      <c r="X55" s="1037">
        <f>I56</f>
        <v>221542.28000000003</v>
      </c>
      <c r="Y55" s="1037"/>
    </row>
    <row r="56" spans="1:25" ht="16.5" customHeight="1" x14ac:dyDescent="0.25">
      <c r="A56" s="1013" t="s">
        <v>68</v>
      </c>
      <c r="B56" s="1013"/>
      <c r="C56" s="910"/>
      <c r="D56" s="49"/>
      <c r="E56" s="48">
        <f>$I28</f>
        <v>0</v>
      </c>
      <c r="F56" s="49" t="s">
        <v>64</v>
      </c>
      <c r="G56" s="1087" t="s">
        <v>69</v>
      </c>
      <c r="H56" s="1087"/>
      <c r="I56" s="634">
        <f>Consolidated!H$74</f>
        <v>221542.28000000003</v>
      </c>
      <c r="J56" s="633"/>
      <c r="M56" s="2"/>
      <c r="R56" s="176"/>
      <c r="S56" s="159"/>
      <c r="T56" s="159"/>
      <c r="U56" s="159"/>
      <c r="V56" s="159"/>
      <c r="W56" s="178" t="s">
        <v>66</v>
      </c>
      <c r="X56" s="1038">
        <f>ROUND(T55/X55,6)</f>
        <v>0</v>
      </c>
      <c r="Y56" s="1038"/>
    </row>
    <row r="57" spans="1:25" ht="18.75" customHeight="1" x14ac:dyDescent="0.25">
      <c r="A57" s="51"/>
      <c r="H57" s="53" t="s">
        <v>66</v>
      </c>
      <c r="I57" s="1064">
        <f>IFERROR(ROUND(E56/I56,6),0)</f>
        <v>0</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910"/>
      <c r="D59" s="49"/>
      <c r="E59" s="48">
        <f>E$28</f>
        <v>0</v>
      </c>
      <c r="F59" s="49" t="s">
        <v>64</v>
      </c>
      <c r="G59" s="50"/>
      <c r="H59" s="50" t="s">
        <v>72</v>
      </c>
      <c r="I59" s="634">
        <f>Consolidated!H$77</f>
        <v>175905.69000000003</v>
      </c>
      <c r="J59" s="633"/>
      <c r="M59" s="2"/>
      <c r="R59" s="176"/>
      <c r="S59" s="159"/>
      <c r="T59" s="159"/>
      <c r="U59" s="159"/>
      <c r="V59" s="159"/>
      <c r="W59" s="178" t="s">
        <v>66</v>
      </c>
      <c r="X59" s="1038">
        <f>ROUND(T58/X58,6)</f>
        <v>0</v>
      </c>
      <c r="Y59" s="1038"/>
    </row>
    <row r="60" spans="1:25" ht="18" customHeight="1" x14ac:dyDescent="0.25">
      <c r="A60" s="51"/>
      <c r="H60" s="53" t="s">
        <v>66</v>
      </c>
      <c r="I60" s="1064">
        <f>IFERROR(ROUND(E59/I59,6),0)</f>
        <v>0</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x14ac:dyDescent="0.25">
      <c r="A62" s="1013" t="s">
        <v>71</v>
      </c>
      <c r="B62" s="1013"/>
      <c r="C62" s="910"/>
      <c r="D62" s="49"/>
      <c r="E62" s="48">
        <f>E$28</f>
        <v>0</v>
      </c>
      <c r="F62" s="49" t="s">
        <v>64</v>
      </c>
      <c r="G62" s="50"/>
      <c r="H62" s="50" t="s">
        <v>74</v>
      </c>
      <c r="I62" s="634">
        <f>Consolidated!H$80</f>
        <v>208541.94000000003</v>
      </c>
      <c r="J62" s="633"/>
      <c r="M62" s="2"/>
      <c r="R62" s="176"/>
      <c r="S62" s="159"/>
      <c r="T62" s="159"/>
      <c r="U62" s="159"/>
      <c r="V62" s="159"/>
      <c r="W62" s="178" t="s">
        <v>66</v>
      </c>
      <c r="X62" s="1038">
        <f>ROUND(T61/X61,6)</f>
        <v>0</v>
      </c>
      <c r="Y62" s="1038"/>
    </row>
    <row r="63" spans="1:25" ht="19.5" customHeight="1" x14ac:dyDescent="0.25">
      <c r="A63" s="51"/>
      <c r="H63" s="53" t="s">
        <v>66</v>
      </c>
      <c r="I63" s="1064">
        <f>IFERROR(ROUND(E62/I62,6),0)</f>
        <v>0</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31.5" customHeight="1" x14ac:dyDescent="0.25">
      <c r="A65" s="1013" t="s">
        <v>71</v>
      </c>
      <c r="B65" s="1013"/>
      <c r="C65" s="910"/>
      <c r="D65" s="896"/>
      <c r="E65" s="48">
        <f>E$28</f>
        <v>0</v>
      </c>
      <c r="F65" s="49" t="s">
        <v>64</v>
      </c>
      <c r="G65" s="978" t="s">
        <v>712</v>
      </c>
      <c r="H65" s="978"/>
      <c r="I65" s="634">
        <f>Consolidated!H$83</f>
        <v>175590.69000000003</v>
      </c>
      <c r="J65" s="633"/>
      <c r="M65" s="2"/>
      <c r="R65" s="179"/>
      <c r="S65" s="159"/>
      <c r="T65" s="159"/>
      <c r="U65" s="159"/>
      <c r="V65" s="159"/>
      <c r="W65" s="178" t="s">
        <v>66</v>
      </c>
      <c r="X65" s="1038">
        <f>ROUND(T64/X64,6)</f>
        <v>0</v>
      </c>
      <c r="Y65" s="1038"/>
    </row>
    <row r="66" spans="1:26" ht="19.5" customHeight="1" x14ac:dyDescent="0.25">
      <c r="A66" s="51"/>
      <c r="H66" s="53" t="s">
        <v>66</v>
      </c>
      <c r="I66" s="1064">
        <f>IFERROR(ROUND(E65/I65,6),0)</f>
        <v>0</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0</v>
      </c>
      <c r="J68" s="127">
        <f>ROUND(G68*I68,2)</f>
        <v>0</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2">ROUND(V69*X69,2)</f>
        <v>0</v>
      </c>
    </row>
    <row r="70" spans="1:26" ht="17.25" customHeight="1" x14ac:dyDescent="0.25">
      <c r="A70" s="1067" t="s">
        <v>81</v>
      </c>
      <c r="B70" s="1067"/>
      <c r="C70" s="1067"/>
      <c r="D70" s="1067"/>
      <c r="E70" s="1067"/>
      <c r="F70" s="36" t="s">
        <v>82</v>
      </c>
      <c r="G70" s="221">
        <f>Consolidated!F$89</f>
        <v>0</v>
      </c>
      <c r="H70" s="37" t="s">
        <v>79</v>
      </c>
      <c r="I70" s="41">
        <f>I54</f>
        <v>0</v>
      </c>
      <c r="J70" s="127">
        <f>ROUND(G70*I70,2)</f>
        <v>0</v>
      </c>
      <c r="M70" s="2"/>
      <c r="R70" s="1015" t="s">
        <v>161</v>
      </c>
      <c r="S70" s="1015"/>
      <c r="T70" s="1015"/>
      <c r="U70" s="158"/>
      <c r="V70" s="182">
        <f>G71</f>
        <v>18834423</v>
      </c>
      <c r="W70" s="162" t="s">
        <v>79</v>
      </c>
      <c r="X70" s="165">
        <f>X65</f>
        <v>0</v>
      </c>
      <c r="Y70" s="212">
        <f t="shared" si="12"/>
        <v>0</v>
      </c>
    </row>
    <row r="71" spans="1:26" ht="19.5" customHeight="1" x14ac:dyDescent="0.25">
      <c r="A71" s="1012" t="s">
        <v>83</v>
      </c>
      <c r="B71" s="1012"/>
      <c r="C71" s="1012"/>
      <c r="D71" s="1012"/>
      <c r="E71" s="1012"/>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2"/>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0</v>
      </c>
      <c r="J85" s="127">
        <f>ROUND(G85*I85,2)</f>
        <v>0</v>
      </c>
      <c r="K85" s="70"/>
      <c r="L85" s="70"/>
      <c r="M85" s="71"/>
      <c r="N85" s="70"/>
      <c r="O85" s="70"/>
      <c r="P85" s="70"/>
      <c r="Q85" s="70"/>
      <c r="R85" s="1015" t="s">
        <v>166</v>
      </c>
      <c r="S85" s="1015"/>
      <c r="T85" s="1015"/>
      <c r="U85" s="158"/>
      <c r="V85" s="160">
        <f>G85</f>
        <v>283895192</v>
      </c>
      <c r="W85" s="162" t="s">
        <v>79</v>
      </c>
      <c r="X85" s="165">
        <f>X56</f>
        <v>0</v>
      </c>
      <c r="Y85" s="212">
        <f t="shared" ref="Y85:Y87" si="13">ROUND(V85*X85,2)</f>
        <v>0</v>
      </c>
    </row>
    <row r="86" spans="1:26" ht="14.25" customHeight="1" x14ac:dyDescent="0.25">
      <c r="A86" s="1012" t="s">
        <v>102</v>
      </c>
      <c r="B86" s="1012"/>
      <c r="C86" s="1012"/>
      <c r="D86" s="1012"/>
      <c r="E86" s="1012"/>
      <c r="F86" s="36" t="s">
        <v>101</v>
      </c>
      <c r="G86" s="128">
        <v>0</v>
      </c>
      <c r="H86" s="37" t="s">
        <v>79</v>
      </c>
      <c r="I86" s="41">
        <f>I57</f>
        <v>0</v>
      </c>
      <c r="J86" s="127">
        <f>ROUND(G86*I86,2)</f>
        <v>0</v>
      </c>
      <c r="K86" s="70"/>
      <c r="L86" s="71"/>
      <c r="M86" s="76"/>
      <c r="N86" s="76"/>
      <c r="O86" s="76"/>
      <c r="P86" s="76"/>
      <c r="Q86" s="70"/>
      <c r="R86" s="1015" t="s">
        <v>167</v>
      </c>
      <c r="S86" s="1015"/>
      <c r="T86" s="1015"/>
      <c r="U86" s="158"/>
      <c r="V86" s="192">
        <v>0</v>
      </c>
      <c r="W86" s="162" t="s">
        <v>79</v>
      </c>
      <c r="X86" s="165">
        <f>X56</f>
        <v>0</v>
      </c>
      <c r="Y86" s="212">
        <f t="shared" si="13"/>
        <v>0</v>
      </c>
    </row>
    <row r="87" spans="1:26" ht="18" customHeight="1" x14ac:dyDescent="0.25">
      <c r="A87" s="1012" t="s">
        <v>103</v>
      </c>
      <c r="B87" s="1012"/>
      <c r="C87" s="1012"/>
      <c r="D87" s="1012"/>
      <c r="E87" s="1012"/>
      <c r="F87" s="36" t="s">
        <v>82</v>
      </c>
      <c r="G87" s="128">
        <v>0</v>
      </c>
      <c r="H87" s="37" t="s">
        <v>79</v>
      </c>
      <c r="I87" s="41">
        <f>I54</f>
        <v>0</v>
      </c>
      <c r="J87" s="62">
        <f>ROUND(G87*I87,2)</f>
        <v>0</v>
      </c>
      <c r="K87" s="77"/>
      <c r="L87" s="70"/>
      <c r="M87" s="71"/>
      <c r="N87" s="70"/>
      <c r="O87" s="70"/>
      <c r="P87" s="70"/>
      <c r="Q87" s="70"/>
      <c r="R87" s="166" t="s">
        <v>168</v>
      </c>
      <c r="S87" s="166"/>
      <c r="T87" s="166"/>
      <c r="U87" s="158"/>
      <c r="V87" s="192">
        <v>0</v>
      </c>
      <c r="W87" s="162" t="s">
        <v>79</v>
      </c>
      <c r="X87" s="165">
        <f>X53</f>
        <v>0</v>
      </c>
      <c r="Y87" s="212">
        <f t="shared" si="13"/>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635" t="s">
        <v>107</v>
      </c>
      <c r="H89" s="635"/>
      <c r="I89" s="635"/>
      <c r="J89" s="635"/>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636">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4">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130">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0</v>
      </c>
      <c r="C93" s="80"/>
      <c r="D93" s="80"/>
      <c r="E93" s="1059" t="s">
        <v>110</v>
      </c>
      <c r="F93" s="1059"/>
      <c r="G93" s="1059"/>
      <c r="H93" s="1059"/>
      <c r="I93" s="1059"/>
      <c r="J93" s="116">
        <f>IF(A1=75,0,I92+I91+I90)</f>
        <v>0</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f>4*0</f>
        <v>0</v>
      </c>
      <c r="D97" s="223">
        <f>9*0</f>
        <v>0</v>
      </c>
      <c r="E97" s="974">
        <f>IF(D97&gt;0,(C97+D97)/2,C97)</f>
        <v>0</v>
      </c>
      <c r="F97" s="974"/>
      <c r="G97" s="974"/>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53.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8">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95">
        <f>SUM(J106,J105,J98,J97,J93,J86,J85,J71,J70,J68,J33,J72,J50,J87,J84)</f>
        <v>0</v>
      </c>
      <c r="R107" s="1029" t="s">
        <v>123</v>
      </c>
      <c r="S107" s="1029"/>
      <c r="T107" s="1029"/>
      <c r="U107" s="1029"/>
      <c r="V107" s="1029"/>
      <c r="W107" s="1029"/>
      <c r="X107" s="1029"/>
      <c r="Y107" s="208">
        <f>SUM(Y106,Y105,Y97,Y96,Y93,Y86,Y85,Y84,Y70,Y69,Y67,Y33,Y71,Y50,Y87,Y83)</f>
        <v>0</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96">
        <f>J107-J38</f>
        <v>0</v>
      </c>
      <c r="R109" s="159" t="s">
        <v>174</v>
      </c>
      <c r="S109" s="159"/>
      <c r="T109" s="159"/>
      <c r="U109" s="159"/>
      <c r="V109" s="159"/>
      <c r="W109" s="159"/>
      <c r="X109" s="159"/>
      <c r="Y109" s="209">
        <f>Y107-Y38</f>
        <v>0</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97"/>
      <c r="J111" s="4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38">
        <v>0</v>
      </c>
      <c r="I114" s="639">
        <f>IF(I111=1,J111,J109)</f>
        <v>0</v>
      </c>
      <c r="J114" s="640">
        <f>ROUND(IF(E28=0,0,IF(E28&gt;250,-(((250/E28)*I114)*IF(H114="H",0.02,0.05)),IF(H114="H",-0.02*I114,-0.05*I114))),2)</f>
        <v>0</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Payments'!R73</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8">
    <mergeCell ref="G53:H53"/>
    <mergeCell ref="G56:H56"/>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 ref="G15:H15"/>
    <mergeCell ref="A16:B16"/>
    <mergeCell ref="E16:F16"/>
    <mergeCell ref="G16:H16"/>
    <mergeCell ref="A13:B13"/>
    <mergeCell ref="E13:F13"/>
    <mergeCell ref="G13:H13"/>
    <mergeCell ref="A14:B14"/>
    <mergeCell ref="E14:F14"/>
    <mergeCell ref="G14:H14"/>
    <mergeCell ref="A19:B19"/>
    <mergeCell ref="E19:F19"/>
    <mergeCell ref="G19:H19"/>
    <mergeCell ref="A20:B20"/>
    <mergeCell ref="E20:F20"/>
    <mergeCell ref="G20:H20"/>
    <mergeCell ref="A17:B17"/>
    <mergeCell ref="E17:F17"/>
    <mergeCell ref="G17:H17"/>
    <mergeCell ref="A18:B18"/>
    <mergeCell ref="E18:F18"/>
    <mergeCell ref="G18:H18"/>
    <mergeCell ref="A23:B23"/>
    <mergeCell ref="E23:F23"/>
    <mergeCell ref="G23:H23"/>
    <mergeCell ref="A24:B24"/>
    <mergeCell ref="E24:F24"/>
    <mergeCell ref="G24:H24"/>
    <mergeCell ref="A21:B21"/>
    <mergeCell ref="E21:F21"/>
    <mergeCell ref="G21:H21"/>
    <mergeCell ref="A22:B22"/>
    <mergeCell ref="E22:F22"/>
    <mergeCell ref="G22:H22"/>
    <mergeCell ref="A27:B27"/>
    <mergeCell ref="E27:F27"/>
    <mergeCell ref="G27:H27"/>
    <mergeCell ref="A28:B28"/>
    <mergeCell ref="E28:F28"/>
    <mergeCell ref="G28:H28"/>
    <mergeCell ref="A25:B25"/>
    <mergeCell ref="E25:F25"/>
    <mergeCell ref="G25:H25"/>
    <mergeCell ref="A26:B26"/>
    <mergeCell ref="E26:F26"/>
    <mergeCell ref="G26:H26"/>
    <mergeCell ref="A33:F33"/>
    <mergeCell ref="H33:I33"/>
    <mergeCell ref="A35:F35"/>
    <mergeCell ref="A36:E36"/>
    <mergeCell ref="A37:E37"/>
    <mergeCell ref="A38:E38"/>
    <mergeCell ref="A29:I29"/>
    <mergeCell ref="A30:B30"/>
    <mergeCell ref="E30:I30"/>
    <mergeCell ref="A31:B31"/>
    <mergeCell ref="A32:F32"/>
    <mergeCell ref="H32:I32"/>
    <mergeCell ref="A40:B40"/>
    <mergeCell ref="E40:F40"/>
    <mergeCell ref="A41:B49"/>
    <mergeCell ref="E41:F41"/>
    <mergeCell ref="E42:F42"/>
    <mergeCell ref="E43:F43"/>
    <mergeCell ref="E44:F44"/>
    <mergeCell ref="E45:F45"/>
    <mergeCell ref="E46:F46"/>
    <mergeCell ref="E47:F47"/>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96:S96"/>
    <mergeCell ref="T96:V96"/>
    <mergeCell ref="R97:S97"/>
    <mergeCell ref="R84:T84"/>
    <mergeCell ref="R85:T85"/>
    <mergeCell ref="R86:T86"/>
    <mergeCell ref="R88:Y88"/>
    <mergeCell ref="R89:S89"/>
    <mergeCell ref="T89:U89"/>
    <mergeCell ref="V89:Y89"/>
    <mergeCell ref="X65:Y65"/>
    <mergeCell ref="R67:T67"/>
    <mergeCell ref="R68:S68"/>
    <mergeCell ref="R69:T69"/>
    <mergeCell ref="R70:T70"/>
    <mergeCell ref="R73:S73"/>
    <mergeCell ref="T73:X73"/>
    <mergeCell ref="R74:S74"/>
    <mergeCell ref="R75:S75"/>
    <mergeCell ref="X53:Y53"/>
    <mergeCell ref="R54:Y54"/>
    <mergeCell ref="R55:S55"/>
    <mergeCell ref="X55:Y55"/>
    <mergeCell ref="X56:Y56"/>
    <mergeCell ref="R63:Y63"/>
    <mergeCell ref="R64:S64"/>
    <mergeCell ref="V64:W64"/>
    <mergeCell ref="X64:Y64"/>
    <mergeCell ref="R29:X29"/>
    <mergeCell ref="T30:X30"/>
    <mergeCell ref="R31:S31"/>
    <mergeCell ref="T31:X31"/>
    <mergeCell ref="R32:U32"/>
    <mergeCell ref="W32:X32"/>
    <mergeCell ref="R33:U33"/>
    <mergeCell ref="W33:X33"/>
    <mergeCell ref="A107:I107"/>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V25:W25"/>
    <mergeCell ref="R26:S26"/>
    <mergeCell ref="T26:U26"/>
    <mergeCell ref="V26:W26"/>
    <mergeCell ref="R27:S27"/>
    <mergeCell ref="T27:U27"/>
    <mergeCell ref="V27:W27"/>
    <mergeCell ref="R28:S28"/>
    <mergeCell ref="T28:U28"/>
    <mergeCell ref="V28:W28"/>
    <mergeCell ref="R40:S40"/>
    <mergeCell ref="T40:U40"/>
    <mergeCell ref="R41:S49"/>
    <mergeCell ref="T42:U42"/>
    <mergeCell ref="T43:U43"/>
    <mergeCell ref="T44:U44"/>
    <mergeCell ref="T45:U45"/>
    <mergeCell ref="T46:U46"/>
    <mergeCell ref="A131:J131"/>
    <mergeCell ref="A108:J108"/>
    <mergeCell ref="A109:E10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15:S15"/>
    <mergeCell ref="T15:U15"/>
    <mergeCell ref="V15:W15"/>
    <mergeCell ref="R16:S16"/>
    <mergeCell ref="T16:U16"/>
    <mergeCell ref="V16:W16"/>
    <mergeCell ref="R17:S17"/>
    <mergeCell ref="T17:U17"/>
    <mergeCell ref="V17:W17"/>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V13:W13"/>
    <mergeCell ref="R14:S14"/>
    <mergeCell ref="T14:U14"/>
    <mergeCell ref="V14:W14"/>
    <mergeCell ref="V9:W9"/>
    <mergeCell ref="R10:S10"/>
    <mergeCell ref="T10:U10"/>
    <mergeCell ref="V10:W10"/>
    <mergeCell ref="R11:S11"/>
    <mergeCell ref="T11:U11"/>
    <mergeCell ref="V11:W11"/>
    <mergeCell ref="R12:S12"/>
    <mergeCell ref="T12:U12"/>
    <mergeCell ref="V12:W12"/>
    <mergeCell ref="S1:Y1"/>
    <mergeCell ref="R2:Y2"/>
    <mergeCell ref="R3:Y3"/>
    <mergeCell ref="R4:S4"/>
    <mergeCell ref="T4:U4"/>
    <mergeCell ref="R5:Y5"/>
    <mergeCell ref="R6:S6"/>
    <mergeCell ref="T6:U6"/>
    <mergeCell ref="V6:W6"/>
    <mergeCell ref="X6:Y6"/>
    <mergeCell ref="G65:H65"/>
    <mergeCell ref="T41:U41"/>
    <mergeCell ref="D89:F89"/>
    <mergeCell ref="D90:F90"/>
    <mergeCell ref="D91:F91"/>
    <mergeCell ref="D92:F92"/>
    <mergeCell ref="D101:F101"/>
    <mergeCell ref="A147:J147"/>
    <mergeCell ref="E96:G96"/>
    <mergeCell ref="A144:J144"/>
    <mergeCell ref="A145:J145"/>
    <mergeCell ref="A146:J146"/>
    <mergeCell ref="A132:J132"/>
    <mergeCell ref="A133:J133"/>
    <mergeCell ref="R76:S76"/>
    <mergeCell ref="R78:S78"/>
    <mergeCell ref="R79:S79"/>
    <mergeCell ref="R83:S83"/>
    <mergeCell ref="A98:B98"/>
    <mergeCell ref="T92:U92"/>
    <mergeCell ref="T93:X93"/>
    <mergeCell ref="R94:Y94"/>
    <mergeCell ref="R95:T95"/>
    <mergeCell ref="V95:Y9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47" workbookViewId="0">
      <selection activeCell="I54" sqref="I54:J54"/>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28515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581</v>
      </c>
      <c r="B2" s="101"/>
      <c r="C2" s="101"/>
      <c r="D2" s="101"/>
      <c r="E2" s="6"/>
      <c r="F2" s="6"/>
      <c r="G2" s="6"/>
      <c r="H2" s="6"/>
      <c r="I2" s="685" t="str">
        <f>RIGHT(A2,4)</f>
        <v>0571</v>
      </c>
      <c r="J2" s="6"/>
      <c r="K2" s="6"/>
      <c r="L2" s="6"/>
      <c r="M2" s="6"/>
      <c r="N2" s="6"/>
      <c r="O2" s="6"/>
      <c r="P2" s="6"/>
      <c r="Q2" s="6"/>
      <c r="R2" s="987" t="str">
        <f>Revenue_Estimate_Worksheet_for___________Charter_School</f>
        <v>Revenue Estimate Worksheet: Palmetto Park - 0571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7">
        <f>SUMIFS('Surv2-3'!D:D,'Surv2-3'!$A:$A,$I$2,'Surv2-3'!$B:$B,$O12)</f>
        <v>0</v>
      </c>
      <c r="D12" s="697">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630">
        <f>SUMIFS('Surv2-3'!D:D,'Surv2-3'!$A:$A,$I$2,'Surv2-3'!$B:$B,$O13)</f>
        <v>0</v>
      </c>
      <c r="D13" s="630">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630">
        <f>SUMIFS('Surv2-3'!E:E,'Surv2-3'!$A:$A,$I$2,'Surv2-3'!$B:$B,$O14)</f>
        <v>2.9000000000000004</v>
      </c>
      <c r="D14" s="630">
        <f>SUMIFS('Surv2-3'!L:L,'Surv2-3'!$H:$H,$I$2,'Surv2-3'!$I:$I,$O14)</f>
        <v>2.56</v>
      </c>
      <c r="E14" s="1080">
        <f t="shared" si="0"/>
        <v>5.4600000000000009</v>
      </c>
      <c r="F14" s="1080"/>
      <c r="G14" s="1086">
        <f>Consolidated!$F16</f>
        <v>1</v>
      </c>
      <c r="H14" s="1086">
        <f>Consolidated!$H$9</f>
        <v>1</v>
      </c>
      <c r="I14" s="534">
        <f t="shared" si="3"/>
        <v>5.46</v>
      </c>
      <c r="J14" s="535">
        <f>ROUND(ROUND(ROUND(I14*$E$6,4)*($I$6),2)*(MAX($I$7,1)),2)</f>
        <v>30722.25</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630">
        <f>SUMIFS('Surv2-3'!E:E,'Surv2-3'!$A:$A,$I$2,'Surv2-3'!$B:$B,$O15)</f>
        <v>0.5</v>
      </c>
      <c r="D15" s="630">
        <f>SUMIFS('Surv2-3'!L:L,'Surv2-3'!$H:$H,$I$2,'Surv2-3'!$I:$I,$O15)</f>
        <v>0.48</v>
      </c>
      <c r="E15" s="1080">
        <f t="shared" si="0"/>
        <v>0.98</v>
      </c>
      <c r="F15" s="1080"/>
      <c r="G15" s="1086">
        <f>Consolidated!$F17</f>
        <v>1</v>
      </c>
      <c r="H15" s="1086">
        <f>Consolidated!$H$9</f>
        <v>1</v>
      </c>
      <c r="I15" s="534">
        <f t="shared" si="3"/>
        <v>0.98</v>
      </c>
      <c r="J15" s="535">
        <f t="shared" si="1"/>
        <v>5514.25</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630">
        <f>SUMIFS('Surv2-3'!F:F,'Surv2-3'!$A:$A,$I$2,'Surv2-3'!$B:$B,$O16)</f>
        <v>26.72</v>
      </c>
      <c r="D16" s="630">
        <f>SUMIFS('Surv2-3'!M:M,'Surv2-3'!$H:$H,$I$2,'Surv2-3'!$I:$I,$O16)</f>
        <v>54.84</v>
      </c>
      <c r="E16" s="1080">
        <f t="shared" si="0"/>
        <v>81.56</v>
      </c>
      <c r="F16" s="1080"/>
      <c r="G16" s="1086">
        <f>Consolidated!$F18</f>
        <v>0.96499999999999997</v>
      </c>
      <c r="H16" s="1086">
        <f>Consolidated!$H$9</f>
        <v>1</v>
      </c>
      <c r="I16" s="534">
        <f t="shared" si="3"/>
        <v>78.705399999999997</v>
      </c>
      <c r="J16" s="535">
        <f t="shared" si="1"/>
        <v>442858.41</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630">
        <f>SUMIFS('Surv2-3'!F:F,'Surv2-3'!$A:$A,$I$2,'Surv2-3'!$B:$B,$O17)</f>
        <v>9.43</v>
      </c>
      <c r="D17" s="771">
        <f>SUMIFS('Surv2-3'!M:M,'Surv2-3'!$H:$H,$I$2,'Surv2-3'!$I:$I,$O17)</f>
        <v>20.599999999999998</v>
      </c>
      <c r="E17" s="1080">
        <f t="shared" si="0"/>
        <v>30.029999999999998</v>
      </c>
      <c r="F17" s="1080"/>
      <c r="G17" s="1086">
        <f>Consolidated!$F19</f>
        <v>0.96499999999999997</v>
      </c>
      <c r="H17" s="1086">
        <f>Consolidated!$H$9</f>
        <v>1</v>
      </c>
      <c r="I17" s="534">
        <f t="shared" si="3"/>
        <v>28.978999999999999</v>
      </c>
      <c r="J17" s="535">
        <f t="shared" si="1"/>
        <v>163058.62</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630">
        <f>SUMIFS('Surv2-3'!D:D,'Surv2-3'!$A:$A,$I$2,'Surv2-3'!$B:$B,$O18)</f>
        <v>0</v>
      </c>
      <c r="D18" s="771">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630">
        <f>SUMIFS('Surv2-3'!E:E,'Surv2-3'!$A:$A,$I$2,'Surv2-3'!$B:$B,$O19)</f>
        <v>0</v>
      </c>
      <c r="D19" s="630">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630">
        <f>SUMIFS('Surv2-3'!F:F,'Surv2-3'!$A:$A,$I$2,'Surv2-3'!$B:$B,$O20)</f>
        <v>0</v>
      </c>
      <c r="D20" s="630">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630">
        <f>SUMIFS('Surv2-3'!D:D,'Surv2-3'!$A:$A,$I$2,'Surv2-3'!$B:$B,$O21)</f>
        <v>0</v>
      </c>
      <c r="D21" s="771">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630">
        <f>SUMIFS('Surv2-3'!E:E,'Surv2-3'!$A:$A,$I$2,'Surv2-3'!$B:$B,$O22)</f>
        <v>0</v>
      </c>
      <c r="D22" s="630">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630">
        <f>SUMIFS('Surv2-3'!F:F,'Surv2-3'!$A:$A,$I$2,'Surv2-3'!$B:$B,$O23)</f>
        <v>0</v>
      </c>
      <c r="D23" s="630">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630">
        <f>SUMIFS('Surv2-3'!D:D,'Surv2-3'!$A:$A,$I$2,'Surv2-3'!$B:$B,$O24)</f>
        <v>0</v>
      </c>
      <c r="D24" s="771">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630">
        <f>SUMIFS('Surv2-3'!E:E,'Surv2-3'!$A:$A,$I$2,'Surv2-3'!$B:$B,$O25)</f>
        <v>0.6</v>
      </c>
      <c r="D25" s="630">
        <f>SUMIFS('Surv2-3'!L:L,'Surv2-3'!$H:$H,$I$2,'Surv2-3'!$I:$I,$O25)</f>
        <v>0.4</v>
      </c>
      <c r="E25" s="1080">
        <f t="shared" si="0"/>
        <v>1</v>
      </c>
      <c r="F25" s="1080"/>
      <c r="G25" s="1086">
        <f>Consolidated!$F27</f>
        <v>1.161</v>
      </c>
      <c r="H25" s="1086">
        <f>Consolidated!$H$9</f>
        <v>1</v>
      </c>
      <c r="I25" s="534">
        <f t="shared" si="3"/>
        <v>1.161</v>
      </c>
      <c r="J25" s="535">
        <f t="shared" si="1"/>
        <v>6532.7</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630">
        <f>SUMIFS('Surv2-3'!F:F,'Surv2-3'!$A:$A,$I$2,'Surv2-3'!$B:$B,$O26)</f>
        <v>0.9</v>
      </c>
      <c r="D26" s="630">
        <f>SUMIFS('Surv2-3'!M:M,'Surv2-3'!$H:$H,$I$2,'Surv2-3'!$I:$I,$O26)</f>
        <v>4.8499999999999996</v>
      </c>
      <c r="E26" s="1080">
        <f t="shared" si="0"/>
        <v>5.75</v>
      </c>
      <c r="F26" s="1080"/>
      <c r="G26" s="1086">
        <f>Consolidated!$F28</f>
        <v>1.161</v>
      </c>
      <c r="H26" s="1086">
        <f>Consolidated!$H$9</f>
        <v>1</v>
      </c>
      <c r="I26" s="534">
        <f t="shared" si="3"/>
        <v>6.6757999999999997</v>
      </c>
      <c r="J26" s="535">
        <f t="shared" si="1"/>
        <v>37563.300000000003</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768">
        <f>SUMIFS('Surv2-3'!C:C,'Surv2-3'!$A:$A,$I$2,'Surv2-3'!$B:$B,$O27)</f>
        <v>0</v>
      </c>
      <c r="D27" s="768">
        <f>SUMIFS('Surv2-3'!J:J,'Surv2-3'!$H:$H,$I$2,'Surv2-3'!$I:$I,$O27)</f>
        <v>0.76</v>
      </c>
      <c r="E27" s="1082">
        <f t="shared" si="0"/>
        <v>0.76</v>
      </c>
      <c r="F27" s="1082"/>
      <c r="G27" s="1083">
        <f>Consolidated!$F29</f>
        <v>1.0900000000000001</v>
      </c>
      <c r="H27" s="1083">
        <f>Consolidated!$H$9</f>
        <v>1</v>
      </c>
      <c r="I27" s="22">
        <f t="shared" si="3"/>
        <v>0.82840000000000003</v>
      </c>
      <c r="J27" s="116">
        <f t="shared" si="1"/>
        <v>4661.2299999999996</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631">
        <f>SUM(C12:C27)</f>
        <v>41.05</v>
      </c>
      <c r="D28" s="700">
        <f>SUM(D12:D27)</f>
        <v>84.490000000000009</v>
      </c>
      <c r="E28" s="1085">
        <f>SUM(E12:E27)</f>
        <v>125.54</v>
      </c>
      <c r="F28" s="1085"/>
      <c r="G28" s="1080"/>
      <c r="H28" s="1080"/>
      <c r="I28" s="23">
        <f>SUM(I12:I27)</f>
        <v>122.78959999999999</v>
      </c>
      <c r="J28" s="116">
        <f>SUM(J12:J27)</f>
        <v>690910.76</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122.78959999999999</v>
      </c>
      <c r="H33" s="1080" t="s">
        <v>45</v>
      </c>
      <c r="I33" s="1080"/>
      <c r="J33" s="32">
        <f>SUM(J32,J28)</f>
        <v>690910.76</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690910.76</v>
      </c>
      <c r="H36" s="37" t="s">
        <v>48</v>
      </c>
      <c r="I36" s="38">
        <f>Consolidated!H53</f>
        <v>7.1400000000000005E-2</v>
      </c>
      <c r="J36" s="120">
        <f>ROUND(G36*I36,2)</f>
        <v>49331.03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690910.76</v>
      </c>
      <c r="H37" s="37" t="s">
        <v>48</v>
      </c>
      <c r="I37" s="38">
        <f>Consolidated!H54</f>
        <v>1.06E-2</v>
      </c>
      <c r="J37" s="120">
        <f>ROUND(G37*I37,2)</f>
        <v>7323.65</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56654.68</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632"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106">
        <f t="shared" ref="E41:E49" si="8">IF($D$50=0,C41*2,C41+D41)</f>
        <v>0</v>
      </c>
      <c r="F41" s="1106"/>
      <c r="G41" s="756" t="s">
        <v>57</v>
      </c>
      <c r="H41" s="756">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756" t="s">
        <v>57</v>
      </c>
      <c r="H42" s="756">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0.5</v>
      </c>
      <c r="D44" s="776">
        <f>SUMIFS('ESE FTE'!G:G,'ESE FTE'!$A:$A,$I$2,'ESE FTE'!$E:$E,9)</f>
        <v>0.48</v>
      </c>
      <c r="E44" s="1073">
        <f t="shared" si="8"/>
        <v>0.98</v>
      </c>
      <c r="F44" s="1073"/>
      <c r="G44" s="47" t="s">
        <v>58</v>
      </c>
      <c r="H44" s="37">
        <v>251</v>
      </c>
      <c r="I44" s="125">
        <f>Consolidated!$H62</f>
        <v>1173</v>
      </c>
      <c r="J44" s="126">
        <f t="shared" si="9"/>
        <v>1149.54</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8.93</v>
      </c>
      <c r="D47" s="122">
        <f>SUMIFS('ESE FTE'!G:G,'ESE FTE'!$A:$A,$I$2,'ESE FTE'!$E:$E,12)</f>
        <v>19.5</v>
      </c>
      <c r="E47" s="1073">
        <f t="shared" si="8"/>
        <v>28.43</v>
      </c>
      <c r="F47" s="1073"/>
      <c r="G47" s="47" t="s">
        <v>59</v>
      </c>
      <c r="H47" s="37">
        <v>251</v>
      </c>
      <c r="I47" s="125">
        <f>Consolidated!$H65</f>
        <v>835</v>
      </c>
      <c r="J47" s="46">
        <f t="shared" si="9"/>
        <v>23739.05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0.5</v>
      </c>
      <c r="D48" s="122">
        <f>SUMIFS('ESE FTE'!G:G,'ESE FTE'!$A:$A,$I$2,'ESE FTE'!$E:$E,13)</f>
        <v>1.1000000000000001</v>
      </c>
      <c r="E48" s="1073">
        <f t="shared" si="8"/>
        <v>1.6</v>
      </c>
      <c r="F48" s="1073"/>
      <c r="G48" s="47" t="s">
        <v>59</v>
      </c>
      <c r="H48" s="37">
        <v>252</v>
      </c>
      <c r="I48" s="125">
        <f>Consolidated!$H66</f>
        <v>3168</v>
      </c>
      <c r="J48" s="46">
        <f t="shared" si="9"/>
        <v>5068.8</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9.93</v>
      </c>
      <c r="D50" s="774">
        <f>SUM(D41:D49)</f>
        <v>21.080000000000002</v>
      </c>
      <c r="E50" s="1075">
        <f>SUM(E41:E49)</f>
        <v>31.01</v>
      </c>
      <c r="F50" s="1075"/>
      <c r="G50" s="1030" t="s">
        <v>61</v>
      </c>
      <c r="H50" s="1030"/>
      <c r="I50" s="1030"/>
      <c r="J50" s="220">
        <f>SUM(J41:J49)</f>
        <v>29957.39</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910"/>
      <c r="D53" s="49"/>
      <c r="E53" s="48">
        <f>E$28</f>
        <v>125.54</v>
      </c>
      <c r="F53" s="49" t="s">
        <v>64</v>
      </c>
      <c r="G53" s="3"/>
      <c r="H53" s="50" t="s">
        <v>65</v>
      </c>
      <c r="I53" s="634">
        <f>Consolidated!H$71</f>
        <v>208856.94000000003</v>
      </c>
      <c r="J53" s="633"/>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6.0099999999999997E-4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C56</f>
        <v>0</v>
      </c>
      <c r="U55" s="173" t="s">
        <v>64</v>
      </c>
      <c r="V55" s="174"/>
      <c r="W55" s="175" t="s">
        <v>69</v>
      </c>
      <c r="X55" s="1037">
        <f>I56</f>
        <v>221542.28000000003</v>
      </c>
      <c r="Y55" s="1037"/>
    </row>
    <row r="56" spans="1:25" ht="16.5" customHeight="1" x14ac:dyDescent="0.25">
      <c r="A56" s="1013" t="s">
        <v>68</v>
      </c>
      <c r="B56" s="1013"/>
      <c r="C56" s="910"/>
      <c r="D56" s="49"/>
      <c r="E56" s="48">
        <f>$I28</f>
        <v>122.78959999999999</v>
      </c>
      <c r="F56" s="49" t="s">
        <v>64</v>
      </c>
      <c r="G56" s="3"/>
      <c r="H56" s="50" t="s">
        <v>69</v>
      </c>
      <c r="I56" s="634">
        <f>Consolidated!H$74</f>
        <v>221542.28000000003</v>
      </c>
      <c r="J56" s="633"/>
      <c r="M56" s="2"/>
      <c r="R56" s="176"/>
      <c r="S56" s="159"/>
      <c r="T56" s="159"/>
      <c r="U56" s="159"/>
      <c r="V56" s="159"/>
      <c r="W56" s="178" t="s">
        <v>66</v>
      </c>
      <c r="X56" s="1038">
        <f>ROUND(T55/X55,6)</f>
        <v>0</v>
      </c>
      <c r="Y56" s="1038"/>
    </row>
    <row r="57" spans="1:25" ht="18.75" customHeight="1" x14ac:dyDescent="0.25">
      <c r="A57" s="51"/>
      <c r="H57" s="53" t="s">
        <v>66</v>
      </c>
      <c r="I57" s="1064">
        <f>IFERROR(ROUND(E56/I56,6),0)</f>
        <v>5.5400000000000002E-4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910"/>
      <c r="D59" s="49"/>
      <c r="E59" s="48">
        <f>E$28</f>
        <v>125.54</v>
      </c>
      <c r="F59" s="49" t="s">
        <v>64</v>
      </c>
      <c r="G59" s="50"/>
      <c r="H59" s="50" t="s">
        <v>72</v>
      </c>
      <c r="I59" s="634">
        <f>Consolidated!H$77</f>
        <v>175905.69000000003</v>
      </c>
      <c r="J59" s="633"/>
      <c r="M59" s="2"/>
      <c r="R59" s="176"/>
      <c r="S59" s="159"/>
      <c r="T59" s="159"/>
      <c r="U59" s="159"/>
      <c r="V59" s="159"/>
      <c r="W59" s="178" t="s">
        <v>66</v>
      </c>
      <c r="X59" s="1038">
        <f>ROUND(T58/X58,6)</f>
        <v>0</v>
      </c>
      <c r="Y59" s="1038"/>
    </row>
    <row r="60" spans="1:25" ht="18" customHeight="1" x14ac:dyDescent="0.25">
      <c r="A60" s="51"/>
      <c r="H60" s="53" t="s">
        <v>66</v>
      </c>
      <c r="I60" s="1064">
        <f>IFERROR(ROUND(E59/I59,6),0)</f>
        <v>7.1400000000000001E-4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23.25" customHeight="1" x14ac:dyDescent="0.25">
      <c r="A62" s="1013" t="s">
        <v>71</v>
      </c>
      <c r="B62" s="1013"/>
      <c r="C62" s="910"/>
      <c r="D62" s="49"/>
      <c r="E62" s="48">
        <f>E$28</f>
        <v>125.54</v>
      </c>
      <c r="F62" s="49" t="s">
        <v>64</v>
      </c>
      <c r="G62" s="50"/>
      <c r="H62" s="50" t="s">
        <v>74</v>
      </c>
      <c r="I62" s="634">
        <f>Consolidated!H$80</f>
        <v>208541.94000000003</v>
      </c>
      <c r="J62" s="633"/>
      <c r="M62" s="2"/>
      <c r="R62" s="176"/>
      <c r="S62" s="159"/>
      <c r="T62" s="159"/>
      <c r="U62" s="159"/>
      <c r="V62" s="159"/>
      <c r="W62" s="178" t="s">
        <v>66</v>
      </c>
      <c r="X62" s="1038">
        <f>ROUND(T61/X61,6)</f>
        <v>0</v>
      </c>
      <c r="Y62" s="1038"/>
    </row>
    <row r="63" spans="1:25" ht="19.5" customHeight="1" x14ac:dyDescent="0.25">
      <c r="A63" s="51"/>
      <c r="H63" s="53" t="s">
        <v>66</v>
      </c>
      <c r="I63" s="1064">
        <f>IFERROR(ROUND(E62/I62,6),0)</f>
        <v>6.02E-4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31.5" customHeight="1" x14ac:dyDescent="0.25">
      <c r="A65" s="1013" t="s">
        <v>71</v>
      </c>
      <c r="B65" s="1013"/>
      <c r="C65" s="910"/>
      <c r="D65" s="897"/>
      <c r="E65" s="48">
        <f>E$28</f>
        <v>125.54</v>
      </c>
      <c r="F65" s="49" t="s">
        <v>64</v>
      </c>
      <c r="G65" s="1105" t="s">
        <v>712</v>
      </c>
      <c r="H65" s="1105"/>
      <c r="I65" s="634">
        <f>Consolidated!H$83</f>
        <v>175590.69000000003</v>
      </c>
      <c r="J65" s="633"/>
      <c r="M65" s="2"/>
      <c r="R65" s="179"/>
      <c r="S65" s="159"/>
      <c r="T65" s="159"/>
      <c r="U65" s="159"/>
      <c r="V65" s="159"/>
      <c r="W65" s="178" t="s">
        <v>66</v>
      </c>
      <c r="X65" s="1038">
        <f>ROUND(T64/X64,6)</f>
        <v>0</v>
      </c>
      <c r="Y65" s="1038"/>
    </row>
    <row r="66" spans="1:26" ht="19.5" customHeight="1" x14ac:dyDescent="0.25">
      <c r="A66" s="51"/>
      <c r="H66" s="53" t="s">
        <v>66</v>
      </c>
      <c r="I66" s="1064">
        <f>IFERROR(ROUND(E65/I65,6),0)</f>
        <v>7.1500000000000003E-4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6.02E-4</v>
      </c>
      <c r="J68" s="127">
        <f>ROUND(G68*I68,2)</f>
        <v>27611.759999999998</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6.0099999999999997E-4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7.1500000000000003E-4</v>
      </c>
      <c r="J71" s="127">
        <f>ROUND(G71*I71,2)</f>
        <v>13466.61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7.1400000000000001E-4</v>
      </c>
      <c r="J72" s="127">
        <f>ROUND(G72*I72,2)</f>
        <v>8015.39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5.5400000000000002E-4</v>
      </c>
      <c r="J85" s="127">
        <f>ROUND(G85*I85,2)</f>
        <v>157277.94</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5.5400000000000002E-4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6.0099999999999997E-4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637">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7.6009999999999991</v>
      </c>
      <c r="C91" s="80"/>
      <c r="D91" s="981">
        <f>I6</f>
        <v>1.0309999999999999</v>
      </c>
      <c r="E91" s="981"/>
      <c r="F91" s="981"/>
      <c r="G91" s="113">
        <f>Consolidated!F$119</f>
        <v>918.1</v>
      </c>
      <c r="H91" s="47" t="s">
        <v>66</v>
      </c>
      <c r="I91" s="4">
        <f>ROUND(B91*D91*G91,2)</f>
        <v>7194.81</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115.18859999999999</v>
      </c>
      <c r="C92" s="80"/>
      <c r="D92" s="981">
        <f>I6</f>
        <v>1.0309999999999999</v>
      </c>
      <c r="E92" s="981"/>
      <c r="F92" s="981"/>
      <c r="G92" s="113">
        <f>Consolidated!F$120</f>
        <v>920.31</v>
      </c>
      <c r="H92" s="47" t="s">
        <v>66</v>
      </c>
      <c r="I92" s="532">
        <f>ROUND(B92*D92*G92,2)</f>
        <v>109295.51</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122.78959999999999</v>
      </c>
      <c r="C93" s="80"/>
      <c r="D93" s="80"/>
      <c r="E93" s="1059" t="s">
        <v>110</v>
      </c>
      <c r="F93" s="1059"/>
      <c r="G93" s="1059"/>
      <c r="H93" s="1059"/>
      <c r="I93" s="1059"/>
      <c r="J93" s="116">
        <f>IF(A1=75,0,I92+I91+I90)</f>
        <v>116490.31999999999</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20</v>
      </c>
      <c r="D97" s="223">
        <v>40</v>
      </c>
      <c r="E97" s="1103">
        <f>IF(D97&gt;0,(C97+D97)/2,C97)</f>
        <v>30</v>
      </c>
      <c r="F97" s="982"/>
      <c r="G97" s="982"/>
      <c r="H97" s="85" t="s">
        <v>115</v>
      </c>
      <c r="I97" s="119">
        <f>Consolidated!G$127</f>
        <v>583</v>
      </c>
      <c r="J97" s="127">
        <f>ROUND(I97*E97,2)</f>
        <v>17490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8"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536">
        <f>SUM(J106,J105,J98,J97,J93,J86,J85,J71,J70,J68,J33,J72,J50,J87,J84)</f>
        <v>1061220.17</v>
      </c>
      <c r="R107" s="1015" t="s">
        <v>123</v>
      </c>
      <c r="S107" s="1015"/>
      <c r="T107" s="1015"/>
      <c r="U107" s="1015"/>
      <c r="V107" s="1015"/>
      <c r="W107" s="1015"/>
      <c r="X107" s="1015"/>
      <c r="Y107" s="652">
        <f>SUM(Y106,Y105,Y97,Y96,Y93,Y86,Y85,Y84,Y70,Y69,Y67,Y33,Y71,Y50,Y87,Y83)</f>
        <v>0</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1004565.4899999999</v>
      </c>
      <c r="R109" s="159" t="s">
        <v>174</v>
      </c>
      <c r="S109" s="159"/>
      <c r="T109" s="159"/>
      <c r="U109" s="159"/>
      <c r="V109" s="159"/>
      <c r="W109" s="159"/>
      <c r="X109" s="159"/>
      <c r="Y109" s="653">
        <f>Y107-Y38</f>
        <v>0</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38">
        <v>0</v>
      </c>
      <c r="I114" s="639">
        <f>IF(I111=1,J111,J109)</f>
        <v>1004565.4899999999</v>
      </c>
      <c r="J114" s="640">
        <f>ROUND(IF(E28=0,0,IF(E28&gt;250,-(((250/E28)*I114)*IF(H114="H",0.02,0.05)),IF(H114="H",-0.02*I114,-0.05*I114))),2)</f>
        <v>-50228.27</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1010991.8999999999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Payments'!Q74</f>
        <v>-180194.34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830797.55999999994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83079.759999999995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7">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0:B50"/>
    <mergeCell ref="E50:F50"/>
    <mergeCell ref="G50:I50"/>
    <mergeCell ref="R50:S50"/>
    <mergeCell ref="T50:U50"/>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A59:B59"/>
    <mergeCell ref="X59:Y59"/>
    <mergeCell ref="I60:J60"/>
    <mergeCell ref="R60:Y60"/>
    <mergeCell ref="A61:J61"/>
    <mergeCell ref="R61:S61"/>
    <mergeCell ref="V61:W61"/>
    <mergeCell ref="X61:Y61"/>
    <mergeCell ref="I57:J57"/>
    <mergeCell ref="R57:Y57"/>
    <mergeCell ref="A58:J58"/>
    <mergeCell ref="R58:S58"/>
    <mergeCell ref="V58:W58"/>
    <mergeCell ref="X58:Y58"/>
    <mergeCell ref="A65:B65"/>
    <mergeCell ref="X65:Y65"/>
    <mergeCell ref="I66:J66"/>
    <mergeCell ref="R67:T67"/>
    <mergeCell ref="A68:E68"/>
    <mergeCell ref="R68:S68"/>
    <mergeCell ref="A62:B62"/>
    <mergeCell ref="X62:Y62"/>
    <mergeCell ref="I63:J63"/>
    <mergeCell ref="R63:Y63"/>
    <mergeCell ref="A64:J64"/>
    <mergeCell ref="R64:S64"/>
    <mergeCell ref="V64:W64"/>
    <mergeCell ref="X64:Y64"/>
    <mergeCell ref="G65:H65"/>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A49" workbookViewId="0">
      <selection activeCell="I60" sqref="I60:J60"/>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28515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619</v>
      </c>
      <c r="B2" s="101"/>
      <c r="C2" s="101"/>
      <c r="D2" s="101"/>
      <c r="E2" s="6"/>
      <c r="F2" s="6"/>
      <c r="G2" s="6"/>
      <c r="H2" s="6"/>
      <c r="I2" s="685" t="str">
        <f>RIGHT(A2,4)</f>
        <v>0100</v>
      </c>
      <c r="J2" s="6"/>
      <c r="K2" s="6"/>
      <c r="L2" s="6"/>
      <c r="M2" s="6"/>
      <c r="N2" s="6"/>
      <c r="O2" s="6"/>
      <c r="P2" s="6"/>
      <c r="Q2" s="6"/>
      <c r="R2" s="987" t="str">
        <f>Revenue_Estimate_Worksheet_for___________Charter_School</f>
        <v>Revenue Estimate Worksheet: The Learning Center High School 0100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0.5</v>
      </c>
      <c r="D17" s="389">
        <f>SUMIFS('Surv2-3'!M:M,'Surv2-3'!$H:$H,$I$2,'Surv2-3'!$I:$I,$O17)</f>
        <v>0</v>
      </c>
      <c r="E17" s="1080">
        <f t="shared" si="0"/>
        <v>0.5</v>
      </c>
      <c r="F17" s="1080"/>
      <c r="G17" s="1086">
        <f>Consolidated!$F19</f>
        <v>0.96499999999999997</v>
      </c>
      <c r="H17" s="1086">
        <f>Consolidated!$H$9</f>
        <v>1</v>
      </c>
      <c r="I17" s="534">
        <f t="shared" si="3"/>
        <v>0.48249999999999998</v>
      </c>
      <c r="J17" s="535">
        <f t="shared" si="1"/>
        <v>2714.92</v>
      </c>
      <c r="M17" s="2"/>
      <c r="O17" s="2" t="str">
        <f t="shared" si="2"/>
        <v>113</v>
      </c>
      <c r="R17" s="1006" t="s">
        <v>25</v>
      </c>
      <c r="S17" s="1006"/>
      <c r="T17" s="1004">
        <f t="shared" si="4"/>
        <v>0.5</v>
      </c>
      <c r="U17" s="1004"/>
      <c r="V17" s="1010">
        <v>1</v>
      </c>
      <c r="W17" s="1010"/>
      <c r="X17" s="145">
        <f t="shared" si="5"/>
        <v>0.5</v>
      </c>
      <c r="Y17" s="212">
        <f t="shared" si="7"/>
        <v>2813.39</v>
      </c>
    </row>
    <row r="18" spans="1:25" x14ac:dyDescent="0.25">
      <c r="A18" s="975" t="s">
        <v>26</v>
      </c>
      <c r="B18" s="975"/>
      <c r="C18" s="389">
        <f>SUMIFS('Surv2-3'!D:D,'Surv2-3'!$A:$A,$I$2,'Surv2-3'!$B:$B,$O18)</f>
        <v>0</v>
      </c>
      <c r="D18" s="389">
        <f>SUMIFS('Surv2-3'!K:K,'Surv2-3'!$H:$H,$I$2,'Surv2-3'!$I:$I,$O18)</f>
        <v>0</v>
      </c>
      <c r="E18" s="1080">
        <f>IF($D$28=0,C18*2,C18+D18)</f>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10</v>
      </c>
      <c r="D20" s="389">
        <f>SUMIFS('Surv2-3'!M:M,'Surv2-3'!$H:$H,$I$2,'Surv2-3'!$I:$I,$O20)</f>
        <v>9</v>
      </c>
      <c r="E20" s="1080">
        <f>IF($D$28=0,C20*2,C20+D20)</f>
        <v>19</v>
      </c>
      <c r="F20" s="1080"/>
      <c r="G20" s="1086">
        <f>Consolidated!$F22</f>
        <v>3.5150000000000001</v>
      </c>
      <c r="H20" s="1086">
        <f>Consolidated!$H$9</f>
        <v>1</v>
      </c>
      <c r="I20" s="534">
        <f t="shared" si="3"/>
        <v>66.784999999999997</v>
      </c>
      <c r="J20" s="535">
        <f t="shared" si="1"/>
        <v>375784.88</v>
      </c>
      <c r="M20" s="2"/>
      <c r="O20" s="2" t="str">
        <f t="shared" si="2"/>
        <v>254</v>
      </c>
      <c r="R20" s="1006" t="s">
        <v>28</v>
      </c>
      <c r="S20" s="1006"/>
      <c r="T20" s="1004">
        <f t="shared" si="4"/>
        <v>19</v>
      </c>
      <c r="U20" s="1004"/>
      <c r="V20" s="1010">
        <v>1</v>
      </c>
      <c r="W20" s="1010"/>
      <c r="X20" s="145">
        <f t="shared" si="5"/>
        <v>19</v>
      </c>
      <c r="Y20" s="212">
        <f t="shared" si="7"/>
        <v>106908.93</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3</v>
      </c>
      <c r="D23" s="389">
        <f>SUMIFS('Surv2-3'!M:M,'Surv2-3'!$H:$H,$I$2,'Surv2-3'!$I:$I,$O23)</f>
        <v>4.5</v>
      </c>
      <c r="E23" s="1080">
        <f t="shared" si="0"/>
        <v>7.5</v>
      </c>
      <c r="F23" s="1080"/>
      <c r="G23" s="1086">
        <f>Consolidated!$F25</f>
        <v>5.9059999999999997</v>
      </c>
      <c r="H23" s="1086">
        <f>Consolidated!$H$9</f>
        <v>1</v>
      </c>
      <c r="I23" s="534">
        <f t="shared" si="3"/>
        <v>44.295000000000002</v>
      </c>
      <c r="J23" s="535">
        <f t="shared" si="1"/>
        <v>249238.47</v>
      </c>
      <c r="M23" s="2"/>
      <c r="O23" s="2" t="str">
        <f t="shared" si="2"/>
        <v>255</v>
      </c>
      <c r="R23" s="1006" t="s">
        <v>31</v>
      </c>
      <c r="S23" s="1006"/>
      <c r="T23" s="1004">
        <f t="shared" si="4"/>
        <v>7.5</v>
      </c>
      <c r="U23" s="1004"/>
      <c r="V23" s="1010">
        <v>1</v>
      </c>
      <c r="W23" s="1010"/>
      <c r="X23" s="145">
        <f t="shared" si="5"/>
        <v>7.5</v>
      </c>
      <c r="Y23" s="212">
        <f t="shared" si="7"/>
        <v>42200.89</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13.5</v>
      </c>
      <c r="D28" s="773">
        <f>SUM(D12:D27)</f>
        <v>13.5</v>
      </c>
      <c r="E28" s="1085">
        <f>SUM(E12:E27)</f>
        <v>27</v>
      </c>
      <c r="F28" s="1085"/>
      <c r="G28" s="1080"/>
      <c r="H28" s="1080"/>
      <c r="I28" s="23">
        <f>SUM(I12:I27)</f>
        <v>111.5625</v>
      </c>
      <c r="J28" s="116">
        <f>SUM(J12:J27)</f>
        <v>627738.27</v>
      </c>
      <c r="M28" s="2"/>
      <c r="R28" s="1023" t="s">
        <v>36</v>
      </c>
      <c r="S28" s="1023"/>
      <c r="T28" s="1024">
        <f>SUM(T12:T27)</f>
        <v>27</v>
      </c>
      <c r="U28" s="1024"/>
      <c r="V28" s="1025"/>
      <c r="W28" s="1025"/>
      <c r="X28" s="147">
        <f>SUM(X12:X27)</f>
        <v>27</v>
      </c>
      <c r="Y28" s="212">
        <f>SUM(Y12:Y27)</f>
        <v>151923.21</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111.5625</v>
      </c>
      <c r="H33" s="1080" t="s">
        <v>45</v>
      </c>
      <c r="I33" s="1080"/>
      <c r="J33" s="32">
        <f>SUM(J32,J28)</f>
        <v>627738.27</v>
      </c>
      <c r="M33" s="2"/>
      <c r="R33" s="1029" t="s">
        <v>44</v>
      </c>
      <c r="S33" s="1029"/>
      <c r="T33" s="1029"/>
      <c r="U33" s="1029"/>
      <c r="V33" s="153">
        <f>V32+X28</f>
        <v>27</v>
      </c>
      <c r="W33" s="1025" t="s">
        <v>45</v>
      </c>
      <c r="X33" s="1025"/>
      <c r="Y33" s="154">
        <f>SUM(Y32,Y28)</f>
        <v>151923.21</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627738.27</v>
      </c>
      <c r="H36" s="37" t="s">
        <v>48</v>
      </c>
      <c r="I36" s="38">
        <f>Consolidated!H53</f>
        <v>7.1400000000000005E-2</v>
      </c>
      <c r="J36" s="120">
        <f>ROUND(G36*I36,2)</f>
        <v>44820.51</v>
      </c>
      <c r="K36" s="39"/>
      <c r="L36" s="33"/>
      <c r="M36" s="33"/>
      <c r="N36" s="33"/>
      <c r="O36" s="31"/>
      <c r="P36" s="34"/>
      <c r="Q36" s="34"/>
      <c r="R36" s="1006" t="str">
        <f>A36</f>
        <v>Maintenance Portion (7.14% of Conference Funding)</v>
      </c>
      <c r="S36" s="1006"/>
      <c r="T36" s="1006"/>
      <c r="U36" s="158"/>
      <c r="V36" s="161">
        <f>Y28</f>
        <v>151923.21</v>
      </c>
      <c r="W36" s="162" t="s">
        <v>48</v>
      </c>
      <c r="X36" s="163">
        <f>I36</f>
        <v>7.1400000000000005E-2</v>
      </c>
      <c r="Y36" s="212">
        <f>J36</f>
        <v>44820.51</v>
      </c>
    </row>
    <row r="37" spans="1:25" ht="20.25" customHeight="1" x14ac:dyDescent="0.25">
      <c r="A37" s="975" t="str">
        <f>Consolidated!B54</f>
        <v>Growth Portion (1.06% of Conference Funding)</v>
      </c>
      <c r="B37" s="975"/>
      <c r="C37" s="975"/>
      <c r="D37" s="975"/>
      <c r="E37" s="975"/>
      <c r="F37" s="36" t="s">
        <v>47</v>
      </c>
      <c r="G37" s="121">
        <v>627738.27</v>
      </c>
      <c r="H37" s="37" t="s">
        <v>48</v>
      </c>
      <c r="I37" s="38">
        <f>Consolidated!H54</f>
        <v>1.06E-2</v>
      </c>
      <c r="J37" s="120">
        <f>ROUND(G37*I37,2)</f>
        <v>6654.03</v>
      </c>
      <c r="K37" s="39"/>
      <c r="L37" s="33"/>
      <c r="M37" s="33"/>
      <c r="N37" s="33"/>
      <c r="O37" s="31"/>
      <c r="P37" s="34"/>
      <c r="Q37" s="34"/>
      <c r="R37" s="1006" t="str">
        <f>A37</f>
        <v>Growth Portion (1.06% of Conference Funding)</v>
      </c>
      <c r="S37" s="1006"/>
      <c r="T37" s="1006"/>
      <c r="U37" s="158"/>
      <c r="V37" s="161">
        <f>Y28</f>
        <v>151923.21</v>
      </c>
      <c r="W37" s="162" t="s">
        <v>48</v>
      </c>
      <c r="X37" s="163">
        <f>I37</f>
        <v>1.06E-2</v>
      </c>
      <c r="Y37" s="212">
        <f>J37</f>
        <v>6654.03</v>
      </c>
    </row>
    <row r="38" spans="1:25" ht="20.25" customHeight="1" x14ac:dyDescent="0.25">
      <c r="A38" s="1012" t="s">
        <v>49</v>
      </c>
      <c r="B38" s="1012"/>
      <c r="C38" s="1012"/>
      <c r="D38" s="1012"/>
      <c r="E38" s="1012"/>
      <c r="F38" s="36" t="s">
        <v>50</v>
      </c>
      <c r="G38" s="40"/>
      <c r="H38" s="37"/>
      <c r="I38" s="41"/>
      <c r="J38" s="120">
        <f>SUM(J36:J37)</f>
        <v>51474.54</v>
      </c>
      <c r="K38" s="39"/>
      <c r="L38" s="33"/>
      <c r="M38" s="33"/>
      <c r="N38" s="33"/>
      <c r="O38" s="31"/>
      <c r="P38" s="34"/>
      <c r="Q38" s="34"/>
      <c r="R38" s="1015" t="s">
        <v>49</v>
      </c>
      <c r="S38" s="1015"/>
      <c r="T38" s="1015"/>
      <c r="U38" s="158" t="s">
        <v>50</v>
      </c>
      <c r="V38" s="164"/>
      <c r="W38" s="162"/>
      <c r="X38" s="165"/>
      <c r="Y38" s="146">
        <f>Y36+Y37</f>
        <v>51474.54</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632"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0.5</v>
      </c>
      <c r="D47" s="122">
        <f>SUMIFS('ESE FTE'!G:G,'ESE FTE'!$A:$A,$I$2,'ESE FTE'!$E:$E,12)</f>
        <v>0</v>
      </c>
      <c r="E47" s="1073">
        <f t="shared" si="8"/>
        <v>1</v>
      </c>
      <c r="F47" s="1073"/>
      <c r="G47" s="47" t="s">
        <v>59</v>
      </c>
      <c r="H47" s="37">
        <v>251</v>
      </c>
      <c r="I47" s="125">
        <f>Consolidated!$H65</f>
        <v>835</v>
      </c>
      <c r="J47" s="46">
        <f t="shared" si="9"/>
        <v>835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0.5</v>
      </c>
      <c r="D50" s="774">
        <f>SUM(D41:D49)</f>
        <v>0</v>
      </c>
      <c r="E50" s="1075">
        <f>SUM(E41:E49)</f>
        <v>1</v>
      </c>
      <c r="F50" s="1075"/>
      <c r="G50" s="1030" t="s">
        <v>61</v>
      </c>
      <c r="H50" s="1030"/>
      <c r="I50" s="1030"/>
      <c r="J50" s="220">
        <f>SUM(J41:J49)</f>
        <v>835</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27</v>
      </c>
      <c r="U52" s="173" t="s">
        <v>64</v>
      </c>
      <c r="V52" s="174"/>
      <c r="W52" s="175" t="s">
        <v>65</v>
      </c>
      <c r="X52" s="1037">
        <f>I53</f>
        <v>208856.94000000003</v>
      </c>
      <c r="Y52" s="1037"/>
    </row>
    <row r="53" spans="1:25" ht="16.5" customHeight="1" x14ac:dyDescent="0.25">
      <c r="A53" s="1013" t="s">
        <v>63</v>
      </c>
      <c r="B53" s="1013"/>
      <c r="C53" s="910"/>
      <c r="D53" s="49"/>
      <c r="E53" s="48">
        <f>E$28</f>
        <v>27</v>
      </c>
      <c r="F53" s="49"/>
      <c r="G53" s="3"/>
      <c r="H53" s="50" t="s">
        <v>65</v>
      </c>
      <c r="I53" s="634">
        <f>Consolidated!H$71</f>
        <v>208856.94000000003</v>
      </c>
      <c r="J53" s="633"/>
      <c r="M53" s="2"/>
      <c r="R53" s="176"/>
      <c r="S53" s="177"/>
      <c r="T53" s="159"/>
      <c r="U53" s="159"/>
      <c r="V53" s="159"/>
      <c r="W53" s="178" t="s">
        <v>66</v>
      </c>
      <c r="X53" s="1038">
        <f>ROUND(T52/X52,6)</f>
        <v>1.2899999999999999E-4</v>
      </c>
      <c r="Y53" s="1038"/>
    </row>
    <row r="54" spans="1:25" ht="22.5" customHeight="1" x14ac:dyDescent="0.25">
      <c r="A54" s="51"/>
      <c r="B54" s="52"/>
      <c r="C54" s="52"/>
      <c r="D54" s="52"/>
      <c r="H54" s="53" t="s">
        <v>66</v>
      </c>
      <c r="I54" s="1064">
        <f>IFERROR(ROUND(E53/I53,6),0)</f>
        <v>1.2899999999999999E-4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27</v>
      </c>
      <c r="U55" s="173" t="s">
        <v>64</v>
      </c>
      <c r="V55" s="174"/>
      <c r="W55" s="175" t="s">
        <v>69</v>
      </c>
      <c r="X55" s="1037">
        <f>I56</f>
        <v>221542.28000000003</v>
      </c>
      <c r="Y55" s="1037"/>
    </row>
    <row r="56" spans="1:25" ht="16.5" customHeight="1" x14ac:dyDescent="0.25">
      <c r="A56" s="1013" t="s">
        <v>68</v>
      </c>
      <c r="B56" s="1013"/>
      <c r="C56" s="910"/>
      <c r="D56" s="49"/>
      <c r="E56" s="48">
        <f>$I28</f>
        <v>111.5625</v>
      </c>
      <c r="F56" s="49"/>
      <c r="G56" s="3"/>
      <c r="H56" s="50" t="s">
        <v>69</v>
      </c>
      <c r="I56" s="634">
        <f>Consolidated!H$74</f>
        <v>221542.28000000003</v>
      </c>
      <c r="J56" s="633"/>
      <c r="M56" s="2"/>
      <c r="R56" s="176"/>
      <c r="S56" s="159"/>
      <c r="T56" s="159"/>
      <c r="U56" s="159"/>
      <c r="V56" s="159"/>
      <c r="W56" s="178" t="s">
        <v>66</v>
      </c>
      <c r="X56" s="1038">
        <f>ROUND(T55/X55,6)</f>
        <v>1.22E-4</v>
      </c>
      <c r="Y56" s="1038"/>
    </row>
    <row r="57" spans="1:25" ht="18.75" customHeight="1" x14ac:dyDescent="0.25">
      <c r="A57" s="51"/>
      <c r="H57" s="53" t="s">
        <v>66</v>
      </c>
      <c r="I57" s="1064">
        <f>IFERROR(ROUND(E56/I56,6),0)</f>
        <v>5.04E-4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27</v>
      </c>
      <c r="U58" s="173" t="s">
        <v>64</v>
      </c>
      <c r="V58" s="1036" t="s">
        <v>72</v>
      </c>
      <c r="W58" s="1036"/>
      <c r="X58" s="1037">
        <f>I59</f>
        <v>175905.69000000003</v>
      </c>
      <c r="Y58" s="1037"/>
    </row>
    <row r="59" spans="1:25" ht="18.75" customHeight="1" x14ac:dyDescent="0.25">
      <c r="A59" s="1013" t="s">
        <v>71</v>
      </c>
      <c r="B59" s="1013"/>
      <c r="C59" s="910"/>
      <c r="D59" s="49"/>
      <c r="E59" s="48">
        <f>E$28</f>
        <v>27</v>
      </c>
      <c r="F59" s="49" t="s">
        <v>64</v>
      </c>
      <c r="G59" s="50"/>
      <c r="H59" s="50" t="s">
        <v>72</v>
      </c>
      <c r="I59" s="634">
        <f>Consolidated!H$77</f>
        <v>175905.69000000003</v>
      </c>
      <c r="J59" s="633"/>
      <c r="M59" s="2"/>
      <c r="R59" s="176"/>
      <c r="S59" s="159"/>
      <c r="T59" s="159"/>
      <c r="U59" s="159"/>
      <c r="V59" s="159"/>
      <c r="W59" s="178" t="s">
        <v>66</v>
      </c>
      <c r="X59" s="1038">
        <f>ROUND(T58/X58,6)</f>
        <v>1.5300000000000001E-4</v>
      </c>
      <c r="Y59" s="1038"/>
    </row>
    <row r="60" spans="1:25" ht="18" customHeight="1" x14ac:dyDescent="0.25">
      <c r="A60" s="51"/>
      <c r="H60" s="53" t="s">
        <v>66</v>
      </c>
      <c r="I60" s="1064">
        <f>IFERROR(ROUND(E59/I59,6),0)</f>
        <v>1.5300000000000001E-4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27</v>
      </c>
      <c r="U61" s="173" t="s">
        <v>64</v>
      </c>
      <c r="V61" s="1036" t="s">
        <v>74</v>
      </c>
      <c r="W61" s="1036"/>
      <c r="X61" s="1037">
        <f>I62</f>
        <v>208541.94000000003</v>
      </c>
      <c r="Y61" s="1037"/>
    </row>
    <row r="62" spans="1:25" ht="23.25" customHeight="1" x14ac:dyDescent="0.25">
      <c r="A62" s="1013" t="s">
        <v>71</v>
      </c>
      <c r="B62" s="1013"/>
      <c r="C62" s="910"/>
      <c r="D62" s="49"/>
      <c r="E62" s="48">
        <f>E$28</f>
        <v>27</v>
      </c>
      <c r="F62" s="49" t="s">
        <v>64</v>
      </c>
      <c r="G62" s="50"/>
      <c r="H62" s="50" t="s">
        <v>74</v>
      </c>
      <c r="I62" s="634">
        <f>Consolidated!H$80</f>
        <v>208541.94000000003</v>
      </c>
      <c r="J62" s="633"/>
      <c r="M62" s="2"/>
      <c r="R62" s="176"/>
      <c r="S62" s="159"/>
      <c r="T62" s="159"/>
      <c r="U62" s="159"/>
      <c r="V62" s="159"/>
      <c r="W62" s="178" t="s">
        <v>66</v>
      </c>
      <c r="X62" s="1038">
        <f>ROUND(T61/X61,6)</f>
        <v>1.2899999999999999E-4</v>
      </c>
      <c r="Y62" s="1038"/>
    </row>
    <row r="63" spans="1:25" ht="19.5" customHeight="1" x14ac:dyDescent="0.25">
      <c r="A63" s="51"/>
      <c r="H63" s="53" t="s">
        <v>66</v>
      </c>
      <c r="I63" s="1064">
        <f>IFERROR(ROUND(E62/I62,6),0)</f>
        <v>1.2899999999999999E-4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27</v>
      </c>
      <c r="U64" s="173" t="s">
        <v>64</v>
      </c>
      <c r="V64" s="1036" t="s">
        <v>159</v>
      </c>
      <c r="W64" s="1036"/>
      <c r="X64" s="1037">
        <f>I65</f>
        <v>175590.69000000003</v>
      </c>
      <c r="Y64" s="1037"/>
    </row>
    <row r="65" spans="1:26" ht="31.5" customHeight="1" x14ac:dyDescent="0.25">
      <c r="A65" s="1013" t="s">
        <v>71</v>
      </c>
      <c r="B65" s="1013"/>
      <c r="C65" s="910"/>
      <c r="D65" s="897"/>
      <c r="E65" s="48">
        <f>E$28</f>
        <v>27</v>
      </c>
      <c r="F65" s="49" t="s">
        <v>64</v>
      </c>
      <c r="G65" s="1105" t="s">
        <v>712</v>
      </c>
      <c r="H65" s="1105"/>
      <c r="I65" s="634">
        <f>Consolidated!H$83</f>
        <v>175590.69000000003</v>
      </c>
      <c r="J65" s="633"/>
      <c r="M65" s="2"/>
      <c r="R65" s="179"/>
      <c r="S65" s="159"/>
      <c r="T65" s="159"/>
      <c r="U65" s="159"/>
      <c r="V65" s="159"/>
      <c r="W65" s="178" t="s">
        <v>66</v>
      </c>
      <c r="X65" s="1038">
        <f>ROUND(T64/X64,6)</f>
        <v>1.54E-4</v>
      </c>
      <c r="Y65" s="1038"/>
    </row>
    <row r="66" spans="1:26" ht="19.5" customHeight="1" x14ac:dyDescent="0.25">
      <c r="A66" s="51"/>
      <c r="H66" s="53" t="s">
        <v>66</v>
      </c>
      <c r="I66" s="1064">
        <f>IFERROR(ROUND(E65/I65,6),0)</f>
        <v>1.54E-4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1.2899999999999999E-4</v>
      </c>
      <c r="Y67" s="215">
        <f>ROUND(V67*X67,2)</f>
        <v>5916.81</v>
      </c>
    </row>
    <row r="68" spans="1:26" ht="30.75" customHeight="1" x14ac:dyDescent="0.25">
      <c r="A68" s="1065" t="s">
        <v>77</v>
      </c>
      <c r="B68" s="1065"/>
      <c r="C68" s="1065"/>
      <c r="D68" s="1065"/>
      <c r="E68" s="1065"/>
      <c r="F68" s="36" t="s">
        <v>78</v>
      </c>
      <c r="G68" s="221">
        <f>Consolidated!F$86</f>
        <v>45866714</v>
      </c>
      <c r="H68" s="37" t="s">
        <v>79</v>
      </c>
      <c r="I68" s="41">
        <f>I63</f>
        <v>1.2899999999999999E-4</v>
      </c>
      <c r="J68" s="127">
        <f>ROUND(G68*I68,2)</f>
        <v>5916.81</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1.2899999999999999E-4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1.2899999999999999E-4</v>
      </c>
      <c r="J70" s="127">
        <f>ROUND(G70*I70,2)</f>
        <v>0</v>
      </c>
      <c r="M70" s="2"/>
      <c r="R70" s="1015" t="s">
        <v>161</v>
      </c>
      <c r="S70" s="1015"/>
      <c r="T70" s="1015"/>
      <c r="U70" s="158"/>
      <c r="V70" s="182">
        <f>G71</f>
        <v>18834423</v>
      </c>
      <c r="W70" s="162" t="s">
        <v>79</v>
      </c>
      <c r="X70" s="165">
        <f>X65</f>
        <v>1.54E-4</v>
      </c>
      <c r="Y70" s="212">
        <f t="shared" si="11"/>
        <v>2900.5</v>
      </c>
    </row>
    <row r="71" spans="1:26" ht="19.5" customHeight="1" x14ac:dyDescent="0.25">
      <c r="A71" s="1012" t="s">
        <v>83</v>
      </c>
      <c r="B71" s="1012"/>
      <c r="C71" s="1012"/>
      <c r="D71" s="1012"/>
      <c r="E71" s="1012"/>
      <c r="F71" s="36" t="s">
        <v>84</v>
      </c>
      <c r="G71" s="221">
        <f>Consolidated!F$91</f>
        <v>18834423</v>
      </c>
      <c r="H71" s="37" t="s">
        <v>79</v>
      </c>
      <c r="I71" s="41">
        <f>I66</f>
        <v>1.54E-4</v>
      </c>
      <c r="J71" s="127">
        <f>ROUND(G71*I71,2)</f>
        <v>2900.5</v>
      </c>
      <c r="M71" s="2"/>
      <c r="R71" s="166" t="s">
        <v>162</v>
      </c>
      <c r="S71" s="166"/>
      <c r="T71" s="166"/>
      <c r="U71" s="158"/>
      <c r="V71" s="160">
        <f>G72</f>
        <v>11226031</v>
      </c>
      <c r="W71" s="162" t="s">
        <v>79</v>
      </c>
      <c r="X71" s="165">
        <f>X59</f>
        <v>1.5300000000000001E-4</v>
      </c>
      <c r="Y71" s="212">
        <f t="shared" si="11"/>
        <v>1717.58</v>
      </c>
    </row>
    <row r="72" spans="1:26" ht="19.5" customHeight="1" x14ac:dyDescent="0.25">
      <c r="A72" s="42" t="s">
        <v>85</v>
      </c>
      <c r="B72" s="42"/>
      <c r="C72" s="42"/>
      <c r="D72" s="42"/>
      <c r="E72" s="42"/>
      <c r="F72" s="36" t="s">
        <v>86</v>
      </c>
      <c r="G72" s="221">
        <f>Consolidated!F$93</f>
        <v>11226031</v>
      </c>
      <c r="H72" s="37" t="s">
        <v>79</v>
      </c>
      <c r="I72" s="41">
        <f>I60</f>
        <v>1.5300000000000001E-4</v>
      </c>
      <c r="J72" s="127">
        <f>ROUND(G72*I72,2)</f>
        <v>1717.58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5.04E-4</v>
      </c>
      <c r="J85" s="127">
        <f>ROUND(G85*I85,2)</f>
        <v>143083.18</v>
      </c>
      <c r="K85" s="70"/>
      <c r="L85" s="70"/>
      <c r="M85" s="71"/>
      <c r="N85" s="70"/>
      <c r="O85" s="70"/>
      <c r="P85" s="70"/>
      <c r="Q85" s="70"/>
      <c r="R85" s="1015" t="s">
        <v>166</v>
      </c>
      <c r="S85" s="1015"/>
      <c r="T85" s="1015"/>
      <c r="U85" s="158"/>
      <c r="V85" s="160">
        <f>G85</f>
        <v>283895192</v>
      </c>
      <c r="W85" s="162" t="s">
        <v>79</v>
      </c>
      <c r="X85" s="165">
        <f>X56</f>
        <v>1.22E-4</v>
      </c>
      <c r="Y85" s="212">
        <f t="shared" ref="Y85:Y87" si="12">ROUND(V85*X85,2)</f>
        <v>34635.21</v>
      </c>
    </row>
    <row r="86" spans="1:26" ht="14.25" customHeight="1" x14ac:dyDescent="0.25">
      <c r="A86" s="1012" t="s">
        <v>102</v>
      </c>
      <c r="B86" s="1012"/>
      <c r="C86" s="1012"/>
      <c r="D86" s="1012"/>
      <c r="E86" s="1012"/>
      <c r="F86" s="36" t="s">
        <v>101</v>
      </c>
      <c r="G86" s="128">
        <v>0</v>
      </c>
      <c r="H86" s="37" t="s">
        <v>79</v>
      </c>
      <c r="I86" s="41">
        <f>I57</f>
        <v>5.04E-4</v>
      </c>
      <c r="J86" s="127">
        <f>ROUND(G86*I86,2)</f>
        <v>0</v>
      </c>
      <c r="K86" s="70"/>
      <c r="L86" s="71"/>
      <c r="M86" s="76"/>
      <c r="N86" s="76"/>
      <c r="O86" s="76"/>
      <c r="P86" s="76"/>
      <c r="Q86" s="70"/>
      <c r="R86" s="1015" t="s">
        <v>167</v>
      </c>
      <c r="S86" s="1015"/>
      <c r="T86" s="1015"/>
      <c r="U86" s="158"/>
      <c r="V86" s="192">
        <f>G86</f>
        <v>0</v>
      </c>
      <c r="W86" s="162" t="s">
        <v>79</v>
      </c>
      <c r="X86" s="165">
        <f>X56</f>
        <v>1.22E-4</v>
      </c>
      <c r="Y86" s="212">
        <f t="shared" si="12"/>
        <v>0</v>
      </c>
    </row>
    <row r="87" spans="1:26" ht="18" customHeight="1" x14ac:dyDescent="0.25">
      <c r="A87" s="1012" t="s">
        <v>103</v>
      </c>
      <c r="B87" s="1012"/>
      <c r="C87" s="1012"/>
      <c r="D87" s="1012"/>
      <c r="E87" s="1012"/>
      <c r="F87" s="36" t="s">
        <v>82</v>
      </c>
      <c r="G87" s="128">
        <v>0</v>
      </c>
      <c r="H87" s="37" t="s">
        <v>79</v>
      </c>
      <c r="I87" s="41">
        <f>I54</f>
        <v>1.2899999999999999E-4</v>
      </c>
      <c r="J87" s="62">
        <f>ROUND(G87*I87,2)</f>
        <v>0</v>
      </c>
      <c r="K87" s="77"/>
      <c r="L87" s="70"/>
      <c r="M87" s="71"/>
      <c r="N87" s="70"/>
      <c r="O87" s="70"/>
      <c r="P87" s="70"/>
      <c r="Q87" s="70"/>
      <c r="R87" s="166" t="s">
        <v>168</v>
      </c>
      <c r="S87" s="166"/>
      <c r="T87" s="166"/>
      <c r="U87" s="158"/>
      <c r="V87" s="192">
        <f>G87</f>
        <v>0</v>
      </c>
      <c r="W87" s="162" t="s">
        <v>79</v>
      </c>
      <c r="X87" s="165">
        <f>X53</f>
        <v>1.2899999999999999E-4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637">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4">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111.5625</v>
      </c>
      <c r="C92" s="80"/>
      <c r="D92" s="981">
        <f>I6</f>
        <v>1.0309999999999999</v>
      </c>
      <c r="E92" s="981"/>
      <c r="F92" s="981"/>
      <c r="G92" s="113">
        <f>Consolidated!F$120</f>
        <v>920.31</v>
      </c>
      <c r="H92" s="47" t="s">
        <v>66</v>
      </c>
      <c r="I92" s="532">
        <f>ROUND(B92*D92*G92,2)</f>
        <v>105854.92</v>
      </c>
      <c r="K92" s="70"/>
      <c r="L92" s="70"/>
      <c r="M92" s="71"/>
      <c r="N92" s="70"/>
      <c r="O92" s="70"/>
      <c r="P92" s="70"/>
      <c r="Q92" s="70"/>
      <c r="R92" s="196" t="s">
        <v>59</v>
      </c>
      <c r="S92" s="197">
        <f>X16+X17+X20+X23+X26+X27</f>
        <v>27</v>
      </c>
      <c r="T92" s="1044">
        <f>X6</f>
        <v>1.0309999999999999</v>
      </c>
      <c r="U92" s="1044"/>
      <c r="V92" s="113">
        <f>G92</f>
        <v>920.31</v>
      </c>
      <c r="W92" s="171" t="s">
        <v>66</v>
      </c>
      <c r="X92" s="216">
        <f>ROUND(S92*T92*V92,2)</f>
        <v>25618.67</v>
      </c>
      <c r="Y92" s="159"/>
    </row>
    <row r="93" spans="1:26" ht="18.75" customHeight="1" thickBot="1" x14ac:dyDescent="0.3">
      <c r="A93" s="84" t="s">
        <v>109</v>
      </c>
      <c r="B93" s="80">
        <f>SUM(B90:B92)</f>
        <v>111.5625</v>
      </c>
      <c r="C93" s="80"/>
      <c r="D93" s="80"/>
      <c r="E93" s="1059" t="s">
        <v>110</v>
      </c>
      <c r="F93" s="1059"/>
      <c r="G93" s="1059"/>
      <c r="H93" s="1059"/>
      <c r="I93" s="1059"/>
      <c r="J93" s="116">
        <f>IF(A1=75,0,I92+I91+I90)</f>
        <v>105854.92</v>
      </c>
      <c r="K93" s="70"/>
      <c r="L93" s="70"/>
      <c r="M93" s="71"/>
      <c r="N93" s="70"/>
      <c r="O93" s="70"/>
      <c r="P93" s="70"/>
      <c r="Q93" s="70"/>
      <c r="R93" s="198" t="s">
        <v>109</v>
      </c>
      <c r="S93" s="199">
        <f>SUM(S90:S92)</f>
        <v>27</v>
      </c>
      <c r="T93" s="1045" t="s">
        <v>110</v>
      </c>
      <c r="U93" s="1046"/>
      <c r="V93" s="1046"/>
      <c r="W93" s="1046"/>
      <c r="X93" s="1046"/>
      <c r="Y93" s="212">
        <f>IF(R1=75,0,X92+X91+X90)</f>
        <v>25618.67</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982">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8"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536">
        <f>SUM(J106,J105,J98,J97,J93,J86,J85,J71,J70,J68,J33,J72,J50,J87,J84)</f>
        <v>888046.25999999989</v>
      </c>
      <c r="R107" s="1015" t="s">
        <v>123</v>
      </c>
      <c r="S107" s="1015"/>
      <c r="T107" s="1015"/>
      <c r="U107" s="1015"/>
      <c r="V107" s="1015"/>
      <c r="W107" s="1015"/>
      <c r="X107" s="1015"/>
      <c r="Y107" s="652">
        <f>SUM(Y106,Y105,Y97,Y96,Y93,Y86,Y85,Y84,Y70,Y69,Y67,Y33,Y71,Y50,Y87,Y83)</f>
        <v>222711.97999999998</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836571.71999999986</v>
      </c>
      <c r="R109" s="159" t="s">
        <v>174</v>
      </c>
      <c r="S109" s="159"/>
      <c r="T109" s="159"/>
      <c r="U109" s="159"/>
      <c r="V109" s="159"/>
      <c r="W109" s="159"/>
      <c r="X109" s="159"/>
      <c r="Y109" s="653">
        <f>Y107-Y38</f>
        <v>171237.43999999997</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v>1</v>
      </c>
      <c r="J111" s="126">
        <f>Y109</f>
        <v>171237.43999999997</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38">
        <v>0</v>
      </c>
      <c r="I114" s="639">
        <f>IF(I111=1,J111,J109)</f>
        <v>171237.43999999997</v>
      </c>
      <c r="J114" s="640">
        <f>ROUND(IF(E28=0,0,IF(E28&gt;250,-(((250/E28)*I114)*IF(H114="H",0.02,0.05)),IF(H114="H",-0.02*I114,-0.05*I114))),2)</f>
        <v>-8561.8700000000008</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879484.3899999999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Payments'!R75</f>
        <v>-147541.45000000001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731942.94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73194.289999999994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7">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X65:Y65"/>
    <mergeCell ref="I66:J66"/>
    <mergeCell ref="R67:T67"/>
    <mergeCell ref="G65:H65"/>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54" workbookViewId="0">
      <selection activeCell="I70" sqref="I70"/>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28515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479</v>
      </c>
      <c r="B2" s="101"/>
      <c r="C2" s="101"/>
      <c r="D2" s="101"/>
      <c r="E2" s="6"/>
      <c r="F2" s="6"/>
      <c r="G2" s="6"/>
      <c r="H2" s="6"/>
      <c r="I2" s="685" t="str">
        <f>RIGHT(A2,4)</f>
        <v>1461</v>
      </c>
      <c r="J2" s="6"/>
      <c r="K2" s="6"/>
      <c r="L2" s="6"/>
      <c r="M2" s="6"/>
      <c r="N2" s="6"/>
      <c r="O2" s="6"/>
      <c r="P2" s="6"/>
      <c r="Q2" s="6"/>
      <c r="R2" s="987" t="str">
        <f>Revenue_Estimate_Worksheet_for___________Charter_School</f>
        <v>Revenue Estimate Worksheet: Inlet Grove Community High School - 1461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73.38</v>
      </c>
      <c r="D14" s="389">
        <f>SUMIFS('Surv2-3'!L:L,'Surv2-3'!$H:$H,$I$2,'Surv2-3'!$I:$I,$O14)</f>
        <v>70.099999999999994</v>
      </c>
      <c r="E14" s="1080">
        <f t="shared" si="0"/>
        <v>143.47999999999999</v>
      </c>
      <c r="F14" s="1080"/>
      <c r="G14" s="1086">
        <f>Consolidated!$F16</f>
        <v>1</v>
      </c>
      <c r="H14" s="1086">
        <f>Consolidated!$H$9</f>
        <v>1</v>
      </c>
      <c r="I14" s="534">
        <f t="shared" si="3"/>
        <v>143.47999999999999</v>
      </c>
      <c r="J14" s="535">
        <f>ROUND(ROUND(ROUND(I14*$E$6,4)*($I$6),2)*(MAX($I$7,1)),2)</f>
        <v>807331.2</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10</v>
      </c>
      <c r="D15" s="389">
        <f>SUMIFS('Surv2-3'!L:L,'Surv2-3'!$H:$H,$I$2,'Surv2-3'!$I:$I,$O15)</f>
        <v>10.01</v>
      </c>
      <c r="E15" s="1080">
        <f t="shared" si="0"/>
        <v>20.009999999999998</v>
      </c>
      <c r="F15" s="1080"/>
      <c r="G15" s="1086">
        <f>Consolidated!$F17</f>
        <v>1</v>
      </c>
      <c r="H15" s="1086">
        <f>Consolidated!$H$9</f>
        <v>1</v>
      </c>
      <c r="I15" s="534">
        <f t="shared" si="3"/>
        <v>20.010000000000002</v>
      </c>
      <c r="J15" s="535">
        <f t="shared" si="1"/>
        <v>112591.98</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206.34</v>
      </c>
      <c r="D16" s="389">
        <f>SUMIFS('Surv2-3'!M:M,'Surv2-3'!$H:$H,$I$2,'Surv2-3'!$I:$I,$O16)</f>
        <v>203.7</v>
      </c>
      <c r="E16" s="1080">
        <f t="shared" si="0"/>
        <v>410.03999999999996</v>
      </c>
      <c r="F16" s="1080"/>
      <c r="G16" s="1086">
        <f>Consolidated!$F18</f>
        <v>0.96499999999999997</v>
      </c>
      <c r="H16" s="1086">
        <f>Consolidated!$H$9</f>
        <v>1</v>
      </c>
      <c r="I16" s="534">
        <f t="shared" si="3"/>
        <v>395.68860000000001</v>
      </c>
      <c r="J16" s="535">
        <f t="shared" si="1"/>
        <v>2226454.92</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34.840000000000003</v>
      </c>
      <c r="D17" s="389">
        <f>SUMIFS('Surv2-3'!M:M,'Surv2-3'!$H:$H,$I$2,'Surv2-3'!$I:$I,$O17)</f>
        <v>32.42</v>
      </c>
      <c r="E17" s="1080">
        <f t="shared" si="0"/>
        <v>67.260000000000005</v>
      </c>
      <c r="F17" s="1080"/>
      <c r="G17" s="1086">
        <f>Consolidated!$F19</f>
        <v>0.96499999999999997</v>
      </c>
      <c r="H17" s="1086">
        <f>Consolidated!$H$9</f>
        <v>1</v>
      </c>
      <c r="I17" s="534">
        <f t="shared" si="3"/>
        <v>64.905900000000003</v>
      </c>
      <c r="J17" s="535">
        <f t="shared" si="1"/>
        <v>365211.58</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2.63</v>
      </c>
      <c r="D25" s="389">
        <f>SUMIFS('Surv2-3'!L:L,'Surv2-3'!$H:$H,$I$2,'Surv2-3'!$I:$I,$O25)</f>
        <v>1.5</v>
      </c>
      <c r="E25" s="1080">
        <f t="shared" si="0"/>
        <v>4.13</v>
      </c>
      <c r="F25" s="1080"/>
      <c r="G25" s="1086">
        <f>Consolidated!$F27</f>
        <v>1.161</v>
      </c>
      <c r="H25" s="1086">
        <f>Consolidated!$H$9</f>
        <v>1</v>
      </c>
      <c r="I25" s="534">
        <f t="shared" si="3"/>
        <v>4.7949000000000002</v>
      </c>
      <c r="J25" s="535">
        <f t="shared" si="1"/>
        <v>26979.87</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7.51</v>
      </c>
      <c r="D26" s="389">
        <f>SUMIFS('Surv2-3'!M:M,'Surv2-3'!$H:$H,$I$2,'Surv2-3'!$I:$I,$O26)</f>
        <v>8.17</v>
      </c>
      <c r="E26" s="1080">
        <f t="shared" si="0"/>
        <v>15.68</v>
      </c>
      <c r="F26" s="1080"/>
      <c r="G26" s="1086">
        <f>Consolidated!$F28</f>
        <v>1.161</v>
      </c>
      <c r="H26" s="1086">
        <f>Consolidated!$H$9</f>
        <v>1</v>
      </c>
      <c r="I26" s="534">
        <f t="shared" si="3"/>
        <v>18.204499999999999</v>
      </c>
      <c r="J26" s="535">
        <f t="shared" si="1"/>
        <v>102432.82</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88.4</v>
      </c>
      <c r="D27" s="390">
        <f>SUMIFS('Surv2-3'!J:J,'Surv2-3'!$H:$H,$I$2,'Surv2-3'!$I:$I,$O27)</f>
        <v>79.33</v>
      </c>
      <c r="E27" s="1082">
        <f t="shared" si="0"/>
        <v>167.73000000000002</v>
      </c>
      <c r="F27" s="1082"/>
      <c r="G27" s="1083">
        <f>Consolidated!$F29</f>
        <v>1.0900000000000001</v>
      </c>
      <c r="H27" s="1083">
        <f>Consolidated!$H$9</f>
        <v>1</v>
      </c>
      <c r="I27" s="22">
        <f t="shared" si="3"/>
        <v>182.82570000000001</v>
      </c>
      <c r="J27" s="116">
        <f t="shared" si="1"/>
        <v>1028721.02</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423.1</v>
      </c>
      <c r="D28" s="773">
        <f>SUM(D12:D27)</f>
        <v>405.23</v>
      </c>
      <c r="E28" s="1085">
        <f>SUM(E12:E27)</f>
        <v>828.32999999999993</v>
      </c>
      <c r="F28" s="1085"/>
      <c r="G28" s="1080"/>
      <c r="H28" s="1080"/>
      <c r="I28" s="23">
        <f>SUM(I12:I27)</f>
        <v>829.90959999999995</v>
      </c>
      <c r="J28" s="116">
        <f>SUM(J12:J27)</f>
        <v>4669723.3899999997</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829.90959999999995</v>
      </c>
      <c r="H33" s="1080" t="s">
        <v>45</v>
      </c>
      <c r="I33" s="1080"/>
      <c r="J33" s="32">
        <f>SUM(J32,J28)</f>
        <v>4669723.3899999997</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4669723.3899999997</v>
      </c>
      <c r="H36" s="37" t="s">
        <v>48</v>
      </c>
      <c r="I36" s="38">
        <f>Consolidated!H53</f>
        <v>7.1400000000000005E-2</v>
      </c>
      <c r="J36" s="120">
        <f>ROUND(G36*I36,2)</f>
        <v>333418.25</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4669723.3899999997</v>
      </c>
      <c r="H37" s="37" t="s">
        <v>48</v>
      </c>
      <c r="I37" s="38">
        <f>Consolidated!H54</f>
        <v>1.06E-2</v>
      </c>
      <c r="J37" s="120">
        <f>ROUND(G37*I37,2)</f>
        <v>49499.07</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382917.32</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632"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9.5</v>
      </c>
      <c r="D44" s="776">
        <f>SUMIFS('ESE FTE'!G:G,'ESE FTE'!$A:$A,$I$2,'ESE FTE'!$E:$E,9)</f>
        <v>9.51</v>
      </c>
      <c r="E44" s="1073">
        <f t="shared" si="8"/>
        <v>19.009999999999998</v>
      </c>
      <c r="F44" s="1073"/>
      <c r="G44" s="47" t="s">
        <v>58</v>
      </c>
      <c r="H44" s="37">
        <v>251</v>
      </c>
      <c r="I44" s="125">
        <f>Consolidated!$H62</f>
        <v>1173</v>
      </c>
      <c r="J44" s="126">
        <f t="shared" si="9"/>
        <v>22298.73</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0.5</v>
      </c>
      <c r="D45" s="122">
        <f>SUMIFS('ESE FTE'!G:G,'ESE FTE'!$A:$A,$I$2,'ESE FTE'!$E:$E,10)</f>
        <v>0.5</v>
      </c>
      <c r="E45" s="1073">
        <f t="shared" si="8"/>
        <v>1</v>
      </c>
      <c r="F45" s="1073"/>
      <c r="G45" s="47" t="s">
        <v>58</v>
      </c>
      <c r="H45" s="37">
        <v>252</v>
      </c>
      <c r="I45" s="125">
        <f>Consolidated!$H63</f>
        <v>3506</v>
      </c>
      <c r="J45" s="46">
        <f t="shared" si="9"/>
        <v>3506</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32.79</v>
      </c>
      <c r="D47" s="122">
        <f>SUMIFS('ESE FTE'!G:G,'ESE FTE'!$A:$A,$I$2,'ESE FTE'!$E:$E,12)</f>
        <v>30.51</v>
      </c>
      <c r="E47" s="1073">
        <f t="shared" si="8"/>
        <v>63.3</v>
      </c>
      <c r="F47" s="1073"/>
      <c r="G47" s="47" t="s">
        <v>59</v>
      </c>
      <c r="H47" s="37">
        <v>251</v>
      </c>
      <c r="I47" s="125">
        <f>Consolidated!$H65</f>
        <v>835</v>
      </c>
      <c r="J47" s="46">
        <f t="shared" si="9"/>
        <v>52855.5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2.0499999999999998</v>
      </c>
      <c r="D48" s="122">
        <f>SUMIFS('ESE FTE'!G:G,'ESE FTE'!$A:$A,$I$2,'ESE FTE'!$E:$E,13)</f>
        <v>1.91</v>
      </c>
      <c r="E48" s="1073">
        <f t="shared" si="8"/>
        <v>3.96</v>
      </c>
      <c r="F48" s="1073"/>
      <c r="G48" s="47" t="s">
        <v>59</v>
      </c>
      <c r="H48" s="37">
        <v>252</v>
      </c>
      <c r="I48" s="125">
        <f>Consolidated!$H66</f>
        <v>3168</v>
      </c>
      <c r="J48" s="46">
        <f t="shared" si="9"/>
        <v>12545.28</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44.839999999999996</v>
      </c>
      <c r="D50" s="774">
        <f>SUM(D41:D49)</f>
        <v>42.43</v>
      </c>
      <c r="E50" s="1075">
        <f>SUM(E41:E49)</f>
        <v>87.27</v>
      </c>
      <c r="F50" s="1075"/>
      <c r="G50" s="1030" t="s">
        <v>61</v>
      </c>
      <c r="H50" s="1030"/>
      <c r="I50" s="1030"/>
      <c r="J50" s="220">
        <f>SUM(J41:J49)</f>
        <v>91205.51</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910"/>
      <c r="D53" s="49"/>
      <c r="E53" s="48">
        <f>E$28</f>
        <v>828.32999999999993</v>
      </c>
      <c r="F53" s="49" t="s">
        <v>64</v>
      </c>
      <c r="G53" s="3"/>
      <c r="H53" s="50" t="s">
        <v>65</v>
      </c>
      <c r="I53" s="634">
        <f>Consolidated!H$71</f>
        <v>208856.94000000003</v>
      </c>
      <c r="J53" s="633"/>
      <c r="M53" s="2"/>
      <c r="R53" s="176"/>
      <c r="S53" s="177"/>
      <c r="T53" s="159"/>
      <c r="U53" s="159"/>
      <c r="V53" s="159"/>
      <c r="W53" s="178" t="s">
        <v>66</v>
      </c>
      <c r="X53" s="1038">
        <f>ROUND(T52/X52,6)</f>
        <v>0</v>
      </c>
      <c r="Y53" s="1038"/>
    </row>
    <row r="54" spans="1:25" x14ac:dyDescent="0.25">
      <c r="A54" s="51"/>
      <c r="B54" s="52"/>
      <c r="C54" s="52"/>
      <c r="D54" s="52"/>
      <c r="H54" s="53" t="s">
        <v>66</v>
      </c>
      <c r="I54" s="1064">
        <f>IFERROR(ROUND(E53/I53,6),0)</f>
        <v>3.9659999999999999E-3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910"/>
      <c r="D56" s="49"/>
      <c r="E56" s="48">
        <f>$I28</f>
        <v>829.90959999999995</v>
      </c>
      <c r="F56" s="49" t="s">
        <v>64</v>
      </c>
      <c r="G56" s="3"/>
      <c r="H56" s="50" t="s">
        <v>69</v>
      </c>
      <c r="I56" s="634">
        <f>Consolidated!H$74</f>
        <v>221542.28000000003</v>
      </c>
      <c r="J56" s="633"/>
      <c r="M56" s="2"/>
      <c r="R56" s="176"/>
      <c r="S56" s="159"/>
      <c r="T56" s="159"/>
      <c r="U56" s="159"/>
      <c r="V56" s="159"/>
      <c r="W56" s="178" t="s">
        <v>66</v>
      </c>
      <c r="X56" s="1038">
        <f>ROUND(T55/X55,6)</f>
        <v>0</v>
      </c>
      <c r="Y56" s="1038"/>
    </row>
    <row r="57" spans="1:25" ht="18.75" customHeight="1" x14ac:dyDescent="0.25">
      <c r="A57" s="51"/>
      <c r="H57" s="53" t="s">
        <v>66</v>
      </c>
      <c r="I57" s="1064">
        <f>IFERROR(ROUND(E56/I56,6),0)</f>
        <v>3.7460000000000002E-3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910"/>
      <c r="D59" s="49"/>
      <c r="E59" s="48">
        <f>E$28</f>
        <v>828.32999999999993</v>
      </c>
      <c r="F59" s="49" t="s">
        <v>64</v>
      </c>
      <c r="G59" s="50"/>
      <c r="H59" s="50" t="s">
        <v>711</v>
      </c>
      <c r="I59" s="634">
        <f>Consolidated!H$77</f>
        <v>175905.69000000003</v>
      </c>
      <c r="J59" s="633"/>
      <c r="M59" s="2"/>
      <c r="R59" s="176"/>
      <c r="S59" s="159"/>
      <c r="T59" s="159"/>
      <c r="U59" s="159"/>
      <c r="V59" s="159"/>
      <c r="W59" s="178" t="s">
        <v>66</v>
      </c>
      <c r="X59" s="1038">
        <f>ROUND(T58/X58,6)</f>
        <v>0</v>
      </c>
      <c r="Y59" s="1038"/>
    </row>
    <row r="60" spans="1:25" ht="18" customHeight="1" x14ac:dyDescent="0.25">
      <c r="A60" s="51"/>
      <c r="H60" s="53" t="s">
        <v>66</v>
      </c>
      <c r="I60" s="1064">
        <f>IFERROR(ROUND(E59/I59,6),0)</f>
        <v>4.7089999999999996E-3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20.25" customHeight="1" x14ac:dyDescent="0.25">
      <c r="A62" s="1013" t="s">
        <v>71</v>
      </c>
      <c r="B62" s="1013"/>
      <c r="C62" s="910"/>
      <c r="D62" s="49"/>
      <c r="E62" s="48">
        <f>E$28</f>
        <v>828.32999999999993</v>
      </c>
      <c r="F62" s="49" t="s">
        <v>64</v>
      </c>
      <c r="G62" s="50"/>
      <c r="H62" s="50" t="s">
        <v>74</v>
      </c>
      <c r="I62" s="634">
        <f>Consolidated!H$80</f>
        <v>208541.94000000003</v>
      </c>
      <c r="J62" s="633"/>
      <c r="M62" s="2"/>
      <c r="R62" s="176"/>
      <c r="S62" s="159"/>
      <c r="T62" s="159"/>
      <c r="U62" s="159"/>
      <c r="V62" s="159"/>
      <c r="W62" s="178" t="s">
        <v>66</v>
      </c>
      <c r="X62" s="1038">
        <f>ROUND(T61/X61,6)</f>
        <v>0</v>
      </c>
      <c r="Y62" s="1038"/>
    </row>
    <row r="63" spans="1:25" ht="19.5" customHeight="1" x14ac:dyDescent="0.25">
      <c r="A63" s="51"/>
      <c r="H63" s="53" t="s">
        <v>66</v>
      </c>
      <c r="I63" s="1064">
        <f>IFERROR(ROUND(E62/I62,6),0)</f>
        <v>3.9719999999999998E-3</v>
      </c>
      <c r="J63" s="1064"/>
      <c r="L63" s="55"/>
      <c r="M63" s="56"/>
      <c r="O63" s="57"/>
      <c r="P63" s="58"/>
      <c r="R63" s="1015" t="s">
        <v>75</v>
      </c>
      <c r="S63" s="1015"/>
      <c r="T63" s="1015"/>
      <c r="U63" s="1015"/>
      <c r="V63" s="1015"/>
      <c r="W63" s="1015"/>
      <c r="X63" s="1015"/>
      <c r="Y63" s="1015"/>
    </row>
    <row r="64" spans="1:25" ht="22.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31.5" customHeight="1" x14ac:dyDescent="0.25">
      <c r="A65" s="1013" t="s">
        <v>71</v>
      </c>
      <c r="B65" s="1013"/>
      <c r="C65" s="910"/>
      <c r="D65" s="895"/>
      <c r="E65" s="48">
        <f>E$28</f>
        <v>828.32999999999993</v>
      </c>
      <c r="F65" s="49" t="s">
        <v>64</v>
      </c>
      <c r="G65" s="1107" t="s">
        <v>76</v>
      </c>
      <c r="H65" s="1107"/>
      <c r="I65" s="634">
        <f>Consolidated!H$83</f>
        <v>175590.69000000003</v>
      </c>
      <c r="J65" s="633"/>
      <c r="M65" s="2"/>
      <c r="R65" s="179"/>
      <c r="S65" s="159"/>
      <c r="T65" s="159"/>
      <c r="U65" s="159"/>
      <c r="V65" s="159"/>
      <c r="W65" s="178" t="s">
        <v>66</v>
      </c>
      <c r="X65" s="1038">
        <f>ROUND(T64/X64,6)</f>
        <v>0</v>
      </c>
      <c r="Y65" s="1038"/>
    </row>
    <row r="66" spans="1:26" ht="19.5" customHeight="1" x14ac:dyDescent="0.25">
      <c r="A66" s="51"/>
      <c r="H66" s="53" t="s">
        <v>66</v>
      </c>
      <c r="I66" s="1064">
        <f>IFERROR(ROUND(E65/I65,6),0)</f>
        <v>4.7169999999999998E-3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3.9719999999999998E-3</v>
      </c>
      <c r="J68" s="127">
        <f>ROUND(G68*I68,2)</f>
        <v>182182.59</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3.9659999999999999E-3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4.7169999999999998E-3</v>
      </c>
      <c r="J71" s="127">
        <f>ROUND(G71*I71,2)</f>
        <v>88841.97</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4.7089999999999996E-3</v>
      </c>
      <c r="J72" s="127">
        <f>ROUND(G72*I72,2)</f>
        <v>52863.38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v>9.44</v>
      </c>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v>3.2</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64.3</v>
      </c>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0</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v>9.36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86.3</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6.6880000000000004E-3</v>
      </c>
      <c r="J84" s="62">
        <f>ROUND(G84*I84,2)</f>
        <v>391266.66</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3.7460000000000002E-3</v>
      </c>
      <c r="J85" s="127">
        <f>ROUND(G85*I85,2)</f>
        <v>1063471.3899999999</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3.7460000000000002E-3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3.9659999999999999E-3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168.28489999999999</v>
      </c>
      <c r="C91" s="80"/>
      <c r="D91" s="981">
        <f>I6</f>
        <v>1.0309999999999999</v>
      </c>
      <c r="E91" s="981"/>
      <c r="F91" s="981"/>
      <c r="G91" s="113">
        <f>Consolidated!F$119</f>
        <v>918.1</v>
      </c>
      <c r="H91" s="47" t="s">
        <v>66</v>
      </c>
      <c r="I91" s="129">
        <f>ROUND(B91*D91*G91,2)</f>
        <v>159291.94</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661.62470000000008</v>
      </c>
      <c r="C92" s="80"/>
      <c r="D92" s="981">
        <f>I6</f>
        <v>1.0309999999999999</v>
      </c>
      <c r="E92" s="981"/>
      <c r="F92" s="981"/>
      <c r="G92" s="113">
        <f>Consolidated!F$120</f>
        <v>920.31</v>
      </c>
      <c r="H92" s="47" t="s">
        <v>66</v>
      </c>
      <c r="I92" s="129">
        <f>ROUND(B92*D92*G92,2)</f>
        <v>627775.72</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829.90960000000007</v>
      </c>
      <c r="C93" s="80"/>
      <c r="D93" s="80"/>
      <c r="E93" s="1059" t="s">
        <v>110</v>
      </c>
      <c r="F93" s="1059"/>
      <c r="G93" s="1059"/>
      <c r="H93" s="1059"/>
      <c r="I93" s="1059"/>
      <c r="J93" s="116">
        <f>IF(A1=75,0,I92+I91+I90)</f>
        <v>787067.65999999992</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502</v>
      </c>
      <c r="D97" s="223">
        <v>513</v>
      </c>
      <c r="E97" s="1103">
        <f>IF(D97&gt;0,(C97+D97)/2,C97)</f>
        <v>507.5</v>
      </c>
      <c r="F97" s="982"/>
      <c r="G97" s="982"/>
      <c r="H97" s="85" t="s">
        <v>115</v>
      </c>
      <c r="I97" s="119">
        <f>Consolidated!G$127</f>
        <v>583</v>
      </c>
      <c r="J97" s="127">
        <f>ROUND(I97*E97,2)</f>
        <v>295872.5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8"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536">
        <f>SUM(J106,J105,J98,J97,J93,J86,J85,J71,J70,J68,J33,J72,J50,J87,J84)</f>
        <v>7622495.0499999998</v>
      </c>
      <c r="R107" s="1015" t="s">
        <v>123</v>
      </c>
      <c r="S107" s="1015"/>
      <c r="T107" s="1015"/>
      <c r="U107" s="1015"/>
      <c r="V107" s="1015"/>
      <c r="W107" s="1015"/>
      <c r="X107" s="1015"/>
      <c r="Y107" s="208">
        <f>SUM(Y106,Y105,Y97,Y96,Y93,Y86,Y85,Y84,Y70,Y69,Y67,Y33,Y71,Y50,Y87,Y83)</f>
        <v>0</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7239577.7299999995</v>
      </c>
      <c r="R109" s="159" t="s">
        <v>174</v>
      </c>
      <c r="S109" s="159"/>
      <c r="T109" s="159"/>
      <c r="U109" s="159"/>
      <c r="V109" s="159"/>
      <c r="W109" s="159"/>
      <c r="X109" s="159"/>
      <c r="Y109" s="209">
        <f>Y107-Y38</f>
        <v>0</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c r="J111" s="4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38" t="s">
        <v>478</v>
      </c>
      <c r="I114" s="639">
        <f>IF(I111=1,J111,J109)</f>
        <v>7239577.7299999995</v>
      </c>
      <c r="J114" s="640">
        <f>ROUND(IF(E28=0,0,IF(E28&gt;250,-(((250/E28)*I114)*IF(H114="H",0.02,0.05)),IF(H114="H",-0.02*I114,-0.05*I114))),2)</f>
        <v>-43699.839999999997</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7578795.21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Payments'!R76</f>
        <v>-1288180.44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6290614.7699999996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629061.48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101091.71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7">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X65:Y65"/>
    <mergeCell ref="I66:J66"/>
    <mergeCell ref="R67:T67"/>
    <mergeCell ref="G65:H65"/>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51" workbookViewId="0">
      <selection activeCell="C65" sqref="C65"/>
    </sheetView>
  </sheetViews>
  <sheetFormatPr defaultRowHeight="15.75" x14ac:dyDescent="0.25"/>
  <cols>
    <col min="1" max="1" width="13" style="42" customWidth="1"/>
    <col min="2" max="2" width="33.5703125" style="2" customWidth="1"/>
    <col min="3" max="4" width="14.28515625" style="2" customWidth="1"/>
    <col min="5" max="5" width="9" style="2" bestFit="1"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480</v>
      </c>
      <c r="B2" s="101"/>
      <c r="C2" s="101"/>
      <c r="D2" s="101"/>
      <c r="E2" s="6"/>
      <c r="F2" s="6"/>
      <c r="G2" s="6"/>
      <c r="H2" s="6"/>
      <c r="I2" s="685" t="str">
        <f>RIGHT(A2,4)</f>
        <v>1571</v>
      </c>
      <c r="J2" s="6"/>
      <c r="K2" s="6"/>
      <c r="L2" s="6"/>
      <c r="M2" s="6"/>
      <c r="N2" s="6"/>
      <c r="O2" s="6"/>
      <c r="P2" s="6"/>
      <c r="Q2" s="6"/>
      <c r="R2" s="987" t="str">
        <f>Revenue_Estimate_Worksheet_for___________Charter_School</f>
        <v>Revenue Estimate Worksheet: South Tech Charter Academy - 1571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0.11</v>
      </c>
      <c r="E14" s="1080">
        <f t="shared" si="0"/>
        <v>0.11</v>
      </c>
      <c r="F14" s="1080"/>
      <c r="G14" s="1086">
        <f>Consolidated!$F16</f>
        <v>1</v>
      </c>
      <c r="H14" s="1086">
        <f>Consolidated!$H$9</f>
        <v>1</v>
      </c>
      <c r="I14" s="534">
        <f t="shared" si="3"/>
        <v>0.11</v>
      </c>
      <c r="J14" s="535">
        <f>ROUND(ROUND(ROUND(I14*$E$6,4)*($I$6),2)*(MAX($I$7,1)),2)</f>
        <v>618.95000000000005</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286.32</v>
      </c>
      <c r="D16" s="389">
        <f>SUMIFS('Surv2-3'!M:M,'Surv2-3'!$H:$H,$I$2,'Surv2-3'!$I:$I,$O16)</f>
        <v>273.25</v>
      </c>
      <c r="E16" s="1080">
        <f t="shared" si="0"/>
        <v>559.56999999999994</v>
      </c>
      <c r="F16" s="1080"/>
      <c r="G16" s="1086">
        <f>Consolidated!$F18</f>
        <v>0.96499999999999997</v>
      </c>
      <c r="H16" s="1086">
        <f>Consolidated!$H$9</f>
        <v>1</v>
      </c>
      <c r="I16" s="534">
        <f t="shared" si="3"/>
        <v>539.98509999999999</v>
      </c>
      <c r="J16" s="535">
        <f t="shared" si="1"/>
        <v>3038380.38</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144.73000000000002</v>
      </c>
      <c r="D17" s="389">
        <f>SUMIFS('Surv2-3'!M:M,'Surv2-3'!$H:$H,$I$2,'Surv2-3'!$I:$I,$O17)</f>
        <v>137.68</v>
      </c>
      <c r="E17" s="1080">
        <f t="shared" si="0"/>
        <v>282.41000000000003</v>
      </c>
      <c r="F17" s="1080"/>
      <c r="G17" s="1086">
        <f>Consolidated!$F19</f>
        <v>0.96499999999999997</v>
      </c>
      <c r="H17" s="1086">
        <f>Consolidated!$H$9</f>
        <v>1</v>
      </c>
      <c r="I17" s="534">
        <f t="shared" si="3"/>
        <v>272.52569999999997</v>
      </c>
      <c r="J17" s="535">
        <f t="shared" si="1"/>
        <v>1533443.68</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1.5099999999999998</v>
      </c>
      <c r="D26" s="389">
        <f>SUMIFS('Surv2-3'!M:M,'Surv2-3'!$H:$H,$I$2,'Surv2-3'!$I:$I,$O26)</f>
        <v>1.33</v>
      </c>
      <c r="E26" s="1080">
        <f t="shared" si="0"/>
        <v>2.84</v>
      </c>
      <c r="F26" s="1080"/>
      <c r="G26" s="1086">
        <f>Consolidated!$F28</f>
        <v>1.161</v>
      </c>
      <c r="H26" s="1086">
        <f>Consolidated!$H$9</f>
        <v>1</v>
      </c>
      <c r="I26" s="534">
        <f t="shared" si="3"/>
        <v>3.2972000000000001</v>
      </c>
      <c r="J26" s="535">
        <f t="shared" si="1"/>
        <v>18552.64</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127.35000000000001</v>
      </c>
      <c r="D27" s="390">
        <f>SUMIFS('Surv2-3'!J:J,'Surv2-3'!$H:$H,$I$2,'Surv2-3'!$I:$I,$O27)</f>
        <v>126</v>
      </c>
      <c r="E27" s="1082">
        <f t="shared" si="0"/>
        <v>253.35000000000002</v>
      </c>
      <c r="F27" s="1082"/>
      <c r="G27" s="1083">
        <f>Consolidated!$F29</f>
        <v>1.0900000000000001</v>
      </c>
      <c r="H27" s="1083">
        <f>Consolidated!$H$9</f>
        <v>1</v>
      </c>
      <c r="I27" s="22">
        <f t="shared" si="3"/>
        <v>276.1515</v>
      </c>
      <c r="J27" s="116">
        <f t="shared" si="1"/>
        <v>1553845.28</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559.91</v>
      </c>
      <c r="D28" s="773">
        <f>SUM(D12:D27)</f>
        <v>538.37</v>
      </c>
      <c r="E28" s="1108">
        <f>SUM(E12:E27)</f>
        <v>1098.28</v>
      </c>
      <c r="F28" s="1108"/>
      <c r="G28" s="1080"/>
      <c r="H28" s="1080"/>
      <c r="I28" s="23">
        <f>SUM(I12:I27)</f>
        <v>1092.0694999999998</v>
      </c>
      <c r="J28" s="116">
        <f>SUM(J12:J27)</f>
        <v>6144840.9299999997</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1092.0694999999998</v>
      </c>
      <c r="H33" s="1080" t="s">
        <v>45</v>
      </c>
      <c r="I33" s="1080"/>
      <c r="J33" s="32">
        <f>SUM(J32,J28)</f>
        <v>6144840.9299999997</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6144840.9299999997</v>
      </c>
      <c r="H36" s="37" t="s">
        <v>48</v>
      </c>
      <c r="I36" s="38">
        <f>Consolidated!H53</f>
        <v>7.1400000000000005E-2</v>
      </c>
      <c r="J36" s="120">
        <f>ROUND(G36*I36,2)</f>
        <v>438741.64</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6144840.9299999997</v>
      </c>
      <c r="H37" s="37" t="s">
        <v>48</v>
      </c>
      <c r="I37" s="38">
        <f>Consolidated!H54</f>
        <v>1.06E-2</v>
      </c>
      <c r="J37" s="120">
        <f>ROUND(G37*I37,2)</f>
        <v>65135.31</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503876.95</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136.18</v>
      </c>
      <c r="D47" s="122">
        <f>SUMIFS('ESE FTE'!G:G,'ESE FTE'!$A:$A,$I$2,'ESE FTE'!$E:$E,12)</f>
        <v>129.55000000000001</v>
      </c>
      <c r="E47" s="1073">
        <f t="shared" si="8"/>
        <v>265.73</v>
      </c>
      <c r="F47" s="1073"/>
      <c r="G47" s="47" t="s">
        <v>59</v>
      </c>
      <c r="H47" s="37">
        <v>251</v>
      </c>
      <c r="I47" s="125">
        <f>Consolidated!$H65</f>
        <v>835</v>
      </c>
      <c r="J47" s="126">
        <f t="shared" si="9"/>
        <v>221884.55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8.5500000000000007</v>
      </c>
      <c r="D48" s="122">
        <f>SUMIFS('ESE FTE'!G:G,'ESE FTE'!$A:$A,$I$2,'ESE FTE'!$E:$E,13)</f>
        <v>8.1300000000000008</v>
      </c>
      <c r="E48" s="1073">
        <f t="shared" si="8"/>
        <v>16.68</v>
      </c>
      <c r="F48" s="1073"/>
      <c r="G48" s="47" t="s">
        <v>59</v>
      </c>
      <c r="H48" s="37">
        <v>252</v>
      </c>
      <c r="I48" s="125">
        <f>Consolidated!$H66</f>
        <v>3168</v>
      </c>
      <c r="J48" s="126">
        <f t="shared" si="9"/>
        <v>52842.239999999998</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144.73000000000002</v>
      </c>
      <c r="D50" s="774">
        <f>SUM(D41:D49)</f>
        <v>137.68</v>
      </c>
      <c r="E50" s="1075">
        <f>SUM(E41:E49)</f>
        <v>282.41000000000003</v>
      </c>
      <c r="F50" s="1075"/>
      <c r="G50" s="1030" t="s">
        <v>61</v>
      </c>
      <c r="H50" s="1030"/>
      <c r="I50" s="1030"/>
      <c r="J50" s="220">
        <f>SUM(J41:J49)</f>
        <v>274726.78999999998</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1098.28</v>
      </c>
      <c r="F53" s="49" t="s">
        <v>64</v>
      </c>
      <c r="G53" s="3"/>
      <c r="H53" s="50" t="s">
        <v>65</v>
      </c>
      <c r="I53" s="634">
        <f>Consolidated!H$71</f>
        <v>208856.94000000003</v>
      </c>
      <c r="J53" s="633"/>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5.2589999999999998E-3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E56</f>
        <v>1092.0694999999998</v>
      </c>
      <c r="U55" s="173" t="s">
        <v>64</v>
      </c>
      <c r="V55" s="174"/>
      <c r="W55" s="175" t="s">
        <v>69</v>
      </c>
      <c r="X55" s="1037">
        <f>I56</f>
        <v>221542.28000000003</v>
      </c>
      <c r="Y55" s="1037"/>
    </row>
    <row r="56" spans="1:25" ht="16.5" customHeight="1" x14ac:dyDescent="0.25">
      <c r="A56" s="1013" t="s">
        <v>68</v>
      </c>
      <c r="B56" s="1013"/>
      <c r="C56" s="51"/>
      <c r="D56" s="51"/>
      <c r="E56" s="48">
        <f>G33</f>
        <v>1092.0694999999998</v>
      </c>
      <c r="F56" s="49" t="s">
        <v>64</v>
      </c>
      <c r="G56" s="3"/>
      <c r="H56" s="50" t="s">
        <v>69</v>
      </c>
      <c r="I56" s="634">
        <f>Consolidated!H$74</f>
        <v>221542.28000000003</v>
      </c>
      <c r="J56" s="633"/>
      <c r="M56" s="2"/>
      <c r="R56" s="176"/>
      <c r="S56" s="159"/>
      <c r="T56" s="159"/>
      <c r="U56" s="159"/>
      <c r="V56" s="159"/>
      <c r="W56" s="178" t="s">
        <v>66</v>
      </c>
      <c r="X56" s="1038">
        <f>ROUND(T55/X55,6)</f>
        <v>4.9290000000000002E-3</v>
      </c>
      <c r="Y56" s="1038"/>
    </row>
    <row r="57" spans="1:25" ht="18.75" customHeight="1" x14ac:dyDescent="0.25">
      <c r="A57" s="51"/>
      <c r="H57" s="53" t="s">
        <v>66</v>
      </c>
      <c r="I57" s="1064">
        <f>IFERROR(ROUND(E56/I56,6),0)</f>
        <v>4.9290000000000002E-3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1098.28</v>
      </c>
      <c r="F59" s="49" t="s">
        <v>64</v>
      </c>
      <c r="G59" s="1107" t="s">
        <v>72</v>
      </c>
      <c r="H59" s="1107"/>
      <c r="I59" s="634">
        <f>Consolidated!H$77</f>
        <v>175905.69000000003</v>
      </c>
      <c r="J59" s="633"/>
      <c r="M59" s="2"/>
      <c r="R59" s="176"/>
      <c r="S59" s="159"/>
      <c r="T59" s="159"/>
      <c r="U59" s="159"/>
      <c r="V59" s="159"/>
      <c r="W59" s="178" t="s">
        <v>66</v>
      </c>
      <c r="X59" s="1038">
        <f>ROUND(T58/X58,6)</f>
        <v>0</v>
      </c>
      <c r="Y59" s="1038"/>
    </row>
    <row r="60" spans="1:25" ht="18" customHeight="1" x14ac:dyDescent="0.25">
      <c r="A60" s="51"/>
      <c r="H60" s="53" t="s">
        <v>66</v>
      </c>
      <c r="I60" s="1064">
        <f>IFERROR(ROUND(E59/I59,6),0)</f>
        <v>6.2440000000000004E-3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1098.28</v>
      </c>
      <c r="F62" s="49" t="s">
        <v>64</v>
      </c>
      <c r="G62" s="1107" t="s">
        <v>74</v>
      </c>
      <c r="H62" s="1107"/>
      <c r="I62" s="634">
        <f>Consolidated!H$80</f>
        <v>208541.94000000003</v>
      </c>
      <c r="J62" s="633"/>
      <c r="M62" s="2"/>
      <c r="R62" s="176"/>
      <c r="S62" s="159"/>
      <c r="T62" s="159"/>
      <c r="U62" s="159"/>
      <c r="V62" s="159"/>
      <c r="W62" s="178" t="s">
        <v>66</v>
      </c>
      <c r="X62" s="1038">
        <f>ROUND(T61/X61,6)</f>
        <v>0</v>
      </c>
      <c r="Y62" s="1038"/>
    </row>
    <row r="63" spans="1:25" ht="19.5" customHeight="1" x14ac:dyDescent="0.25">
      <c r="A63" s="51"/>
      <c r="H63" s="53" t="s">
        <v>66</v>
      </c>
      <c r="I63" s="1064">
        <f>IFERROR(ROUND(E62/I62,6),0)</f>
        <v>5.2659999999999998E-3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1098.28</v>
      </c>
      <c r="F65" s="49" t="s">
        <v>64</v>
      </c>
      <c r="G65" s="1107" t="s">
        <v>76</v>
      </c>
      <c r="H65" s="1107"/>
      <c r="I65" s="634">
        <f>Consolidated!H$83</f>
        <v>175590.69000000003</v>
      </c>
      <c r="J65" s="633"/>
      <c r="M65" s="2"/>
      <c r="R65" s="179"/>
      <c r="S65" s="159"/>
      <c r="T65" s="159"/>
      <c r="U65" s="159"/>
      <c r="V65" s="159"/>
      <c r="W65" s="178" t="s">
        <v>66</v>
      </c>
      <c r="X65" s="1038">
        <f>ROUND(T64/X64,6)</f>
        <v>0</v>
      </c>
      <c r="Y65" s="1038"/>
    </row>
    <row r="66" spans="1:26" ht="19.5" customHeight="1" x14ac:dyDescent="0.25">
      <c r="A66" s="51"/>
      <c r="H66" s="53" t="s">
        <v>66</v>
      </c>
      <c r="I66" s="1064">
        <f>IFERROR(ROUND(E65/I65,6),0)</f>
        <v>6.2550000000000001E-3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5.2659999999999998E-3</v>
      </c>
      <c r="J68" s="127">
        <f>ROUND(G68*I68,2)</f>
        <v>241534.12</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5.2589999999999998E-3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6.2550000000000001E-3</v>
      </c>
      <c r="J71" s="127">
        <f>ROUND(G71*I71,2)</f>
        <v>117809.32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6.2440000000000004E-3</v>
      </c>
      <c r="J72" s="127">
        <f>ROUND(G72*I72,2)</f>
        <v>70095.34</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v>28.64</v>
      </c>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146.30000000000001</v>
      </c>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2.5</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v>1.76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179.2</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80" t="s">
        <v>99</v>
      </c>
      <c r="B84" s="980"/>
      <c r="C84" s="980"/>
      <c r="D84" s="52"/>
      <c r="G84" s="112">
        <f>Consolidated!F$106</f>
        <v>58502790</v>
      </c>
      <c r="H84" s="37" t="s">
        <v>79</v>
      </c>
      <c r="I84" s="41">
        <f>IFERROR(ROUND(J81/J82,6),0)</f>
        <v>1.3887999999999999E-2</v>
      </c>
      <c r="J84" s="62">
        <f>ROUND(G84*I84,2)</f>
        <v>812486.75</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4.9290000000000002E-3</v>
      </c>
      <c r="J85" s="127">
        <f>ROUND(G85*I85,2)</f>
        <v>1399319.4</v>
      </c>
      <c r="K85" s="70"/>
      <c r="L85" s="70"/>
      <c r="M85" s="71"/>
      <c r="N85" s="70"/>
      <c r="O85" s="70"/>
      <c r="P85" s="70"/>
      <c r="Q85" s="70"/>
      <c r="R85" s="1015" t="s">
        <v>166</v>
      </c>
      <c r="S85" s="1015"/>
      <c r="T85" s="1015"/>
      <c r="U85" s="158"/>
      <c r="V85" s="160">
        <f>G85</f>
        <v>283895192</v>
      </c>
      <c r="W85" s="162" t="s">
        <v>79</v>
      </c>
      <c r="X85" s="165">
        <f>X56</f>
        <v>4.9290000000000002E-3</v>
      </c>
      <c r="Y85" s="212">
        <f t="shared" ref="Y85:Y87" si="12">ROUND(V85*X85,2)</f>
        <v>1399319.4</v>
      </c>
    </row>
    <row r="86" spans="1:26" ht="14.25" customHeight="1" x14ac:dyDescent="0.25">
      <c r="A86" s="1012" t="s">
        <v>102</v>
      </c>
      <c r="B86" s="1012"/>
      <c r="C86" s="1012"/>
      <c r="D86" s="1012"/>
      <c r="E86" s="1012"/>
      <c r="F86" s="36" t="s">
        <v>101</v>
      </c>
      <c r="G86" s="128">
        <v>0</v>
      </c>
      <c r="H86" s="37" t="s">
        <v>79</v>
      </c>
      <c r="I86" s="41">
        <f>I57</f>
        <v>4.9290000000000002E-3</v>
      </c>
      <c r="J86" s="127">
        <f>ROUND(G86*I86,2)</f>
        <v>0</v>
      </c>
      <c r="K86" s="70"/>
      <c r="L86" s="71"/>
      <c r="M86" s="76"/>
      <c r="N86" s="76"/>
      <c r="O86" s="76"/>
      <c r="P86" s="76"/>
      <c r="Q86" s="70"/>
      <c r="R86" s="1015" t="s">
        <v>167</v>
      </c>
      <c r="S86" s="1015"/>
      <c r="T86" s="1015"/>
      <c r="U86" s="158"/>
      <c r="V86" s="192">
        <f>G86</f>
        <v>0</v>
      </c>
      <c r="W86" s="162" t="s">
        <v>79</v>
      </c>
      <c r="X86" s="165">
        <f>X56</f>
        <v>4.9290000000000002E-3</v>
      </c>
      <c r="Y86" s="212">
        <f t="shared" si="12"/>
        <v>0</v>
      </c>
    </row>
    <row r="87" spans="1:26" ht="18" customHeight="1" x14ac:dyDescent="0.25">
      <c r="A87" s="1012" t="s">
        <v>103</v>
      </c>
      <c r="B87" s="1012"/>
      <c r="C87" s="1012"/>
      <c r="D87" s="1012"/>
      <c r="E87" s="1012"/>
      <c r="F87" s="36" t="s">
        <v>82</v>
      </c>
      <c r="G87" s="128">
        <v>0</v>
      </c>
      <c r="H87" s="37" t="s">
        <v>79</v>
      </c>
      <c r="I87" s="41">
        <f>I54</f>
        <v>5.2589999999999998E-3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0.11</v>
      </c>
      <c r="C91" s="80"/>
      <c r="D91" s="981">
        <f>I6</f>
        <v>1.0309999999999999</v>
      </c>
      <c r="E91" s="981"/>
      <c r="F91" s="981"/>
      <c r="G91" s="113">
        <f>Consolidated!F$119</f>
        <v>918.1</v>
      </c>
      <c r="H91" s="47" t="s">
        <v>66</v>
      </c>
      <c r="I91" s="129">
        <f>ROUND(B91*D91*G91,2)</f>
        <v>104.12</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1091.9594999999999</v>
      </c>
      <c r="C92" s="80"/>
      <c r="D92" s="981">
        <f>I6</f>
        <v>1.0309999999999999</v>
      </c>
      <c r="E92" s="981"/>
      <c r="F92" s="981"/>
      <c r="G92" s="113">
        <f>Consolidated!F$120</f>
        <v>920.31</v>
      </c>
      <c r="H92" s="47" t="s">
        <v>66</v>
      </c>
      <c r="I92" s="129">
        <f>ROUND(B92*D92*G92,2)</f>
        <v>1036094.43</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1092.0694999999998</v>
      </c>
      <c r="C93" s="80"/>
      <c r="D93" s="80"/>
      <c r="E93" s="1059" t="s">
        <v>110</v>
      </c>
      <c r="F93" s="1059"/>
      <c r="G93" s="1059"/>
      <c r="H93" s="1059"/>
      <c r="I93" s="1059"/>
      <c r="J93" s="116">
        <f>IF(A1=75,0,I92+I91+I90)</f>
        <v>1036198.55</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823</v>
      </c>
      <c r="D97" s="223">
        <v>743</v>
      </c>
      <c r="E97" s="1109">
        <f>IF(D97&gt;0,(C97+D97)/2,C97)</f>
        <v>783</v>
      </c>
      <c r="F97" s="1109"/>
      <c r="G97" s="1109"/>
      <c r="H97" s="85" t="s">
        <v>115</v>
      </c>
      <c r="I97" s="119">
        <f>Consolidated!G$127</f>
        <v>583</v>
      </c>
      <c r="J97" s="127">
        <f>ROUND(I97*E97,2)</f>
        <v>456489</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8"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536">
        <f>SUM(J106,J105,J98,J97,J93,J86,J85,J71,J70,J68,J33,J72,J50,J87,J84)</f>
        <v>10553500.199999999</v>
      </c>
      <c r="R107" s="1015" t="s">
        <v>123</v>
      </c>
      <c r="S107" s="1015"/>
      <c r="T107" s="1015"/>
      <c r="U107" s="1015"/>
      <c r="V107" s="1015"/>
      <c r="W107" s="1015"/>
      <c r="X107" s="1015"/>
      <c r="Y107" s="208">
        <f>SUM(Y106,Y105,Y97,Y96,Y93,Y86,Y85,Y84,Y70,Y69,Y67,Y33,Y71,Y50,Y87,Y83)</f>
        <v>1399319.4</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10049623.25</v>
      </c>
      <c r="R109" s="159" t="s">
        <v>174</v>
      </c>
      <c r="S109" s="159"/>
      <c r="T109" s="159"/>
      <c r="U109" s="159"/>
      <c r="V109" s="159"/>
      <c r="W109" s="159"/>
      <c r="X109" s="159"/>
      <c r="Y109" s="209">
        <f>Y107-Y38</f>
        <v>1399319.4</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c r="J111" s="46">
        <f>Y109</f>
        <v>1399319.4</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38" t="s">
        <v>478</v>
      </c>
      <c r="I114" s="639">
        <f>IF(I111=1,J111,J109)</f>
        <v>10049623.25</v>
      </c>
      <c r="J114" s="640">
        <f>ROUND(IF(E28=0,0,IF(E28&gt;250,-(((250/E28)*I114)*IF(H114="H",0.02,0.05)),IF(H114="H",-0.02*I114,-0.05*I114))),2)</f>
        <v>-45751.64</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10507748.559999999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Payments'!R77</f>
        <v>-1864070.8599999999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8643677.6999999993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864367.77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155240.82999999999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48" workbookViewId="0">
      <selection activeCell="G53" sqref="G53"/>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481</v>
      </c>
      <c r="B2" s="101"/>
      <c r="C2" s="101"/>
      <c r="D2" s="101"/>
      <c r="E2" s="6"/>
      <c r="F2" s="6"/>
      <c r="G2" s="6"/>
      <c r="H2" s="6"/>
      <c r="I2" s="685" t="str">
        <f>RIGHT(A2,4)</f>
        <v>2521</v>
      </c>
      <c r="J2" s="6"/>
      <c r="K2" s="6"/>
      <c r="L2" s="6"/>
      <c r="M2" s="6"/>
      <c r="N2" s="6"/>
      <c r="O2" s="6"/>
      <c r="P2" s="6"/>
      <c r="Q2" s="6"/>
      <c r="R2" s="987" t="str">
        <f>Revenue_Estimate_Worksheet_for___________Charter_School</f>
        <v>Revenue Estimate Worksheet: Ed Venture Charter School - 2521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27.79</v>
      </c>
      <c r="D17" s="389">
        <f>SUMIFS('Surv2-3'!M:M,'Surv2-3'!$H:$H,$I$2,'Surv2-3'!$I:$I,$O17)</f>
        <v>27.189999999999998</v>
      </c>
      <c r="E17" s="1080">
        <f t="shared" si="0"/>
        <v>54.98</v>
      </c>
      <c r="F17" s="1080"/>
      <c r="G17" s="1086">
        <f>Consolidated!$F19</f>
        <v>0.96499999999999997</v>
      </c>
      <c r="H17" s="1086">
        <f>Consolidated!$H$9</f>
        <v>1</v>
      </c>
      <c r="I17" s="534">
        <f t="shared" si="3"/>
        <v>53.055700000000002</v>
      </c>
      <c r="J17" s="535">
        <f t="shared" si="1"/>
        <v>298533.05</v>
      </c>
      <c r="M17" s="2"/>
      <c r="O17" s="2" t="str">
        <f t="shared" si="2"/>
        <v>113</v>
      </c>
      <c r="R17" s="1006" t="s">
        <v>25</v>
      </c>
      <c r="S17" s="1006"/>
      <c r="T17" s="1004">
        <f t="shared" si="4"/>
        <v>54.98</v>
      </c>
      <c r="U17" s="1004"/>
      <c r="V17" s="1010">
        <v>1</v>
      </c>
      <c r="W17" s="1010"/>
      <c r="X17" s="145">
        <f t="shared" si="5"/>
        <v>54.98</v>
      </c>
      <c r="Y17" s="212">
        <f t="shared" si="7"/>
        <v>309360.67</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9.35</v>
      </c>
      <c r="D20" s="389">
        <f>SUMIFS('Surv2-3'!M:M,'Surv2-3'!$H:$H,$I$2,'Surv2-3'!$I:$I,$O20)</f>
        <v>9.36</v>
      </c>
      <c r="E20" s="1080">
        <f t="shared" si="0"/>
        <v>18.71</v>
      </c>
      <c r="F20" s="1080"/>
      <c r="G20" s="1086">
        <f>Consolidated!$F22</f>
        <v>3.5150000000000001</v>
      </c>
      <c r="H20" s="1086">
        <f>Consolidated!$H$9</f>
        <v>1</v>
      </c>
      <c r="I20" s="534">
        <f t="shared" si="3"/>
        <v>65.765699999999995</v>
      </c>
      <c r="J20" s="535">
        <f t="shared" si="1"/>
        <v>370049.49</v>
      </c>
      <c r="M20" s="2"/>
      <c r="O20" s="2" t="str">
        <f t="shared" si="2"/>
        <v>254</v>
      </c>
      <c r="R20" s="1006" t="s">
        <v>28</v>
      </c>
      <c r="S20" s="1006"/>
      <c r="T20" s="1004">
        <f t="shared" si="4"/>
        <v>18.71</v>
      </c>
      <c r="U20" s="1004"/>
      <c r="V20" s="1010">
        <v>1</v>
      </c>
      <c r="W20" s="1010"/>
      <c r="X20" s="145">
        <f t="shared" si="5"/>
        <v>18.71</v>
      </c>
      <c r="Y20" s="212">
        <f t="shared" si="7"/>
        <v>105277.16</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37.14</v>
      </c>
      <c r="D28" s="773">
        <f>SUM(D12:D27)</f>
        <v>36.549999999999997</v>
      </c>
      <c r="E28" s="1085">
        <f>SUM(E12:E27)</f>
        <v>73.69</v>
      </c>
      <c r="F28" s="1085"/>
      <c r="G28" s="1080"/>
      <c r="H28" s="1080"/>
      <c r="I28" s="23">
        <f>SUM(I12:I27)</f>
        <v>118.8214</v>
      </c>
      <c r="J28" s="116">
        <f>SUM(J12:J27)</f>
        <v>668582.54</v>
      </c>
      <c r="M28" s="2"/>
      <c r="R28" s="1023" t="s">
        <v>36</v>
      </c>
      <c r="S28" s="1023"/>
      <c r="T28" s="1024">
        <f>SUM(T12:T27)</f>
        <v>73.69</v>
      </c>
      <c r="U28" s="1024"/>
      <c r="V28" s="1025"/>
      <c r="W28" s="1025"/>
      <c r="X28" s="147">
        <f>SUM(X12:X27)</f>
        <v>73.69</v>
      </c>
      <c r="Y28" s="212">
        <f>SUM(Y12:Y27)</f>
        <v>414637.82999999996</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118.8214</v>
      </c>
      <c r="H33" s="1080" t="s">
        <v>45</v>
      </c>
      <c r="I33" s="1080"/>
      <c r="J33" s="32">
        <f>SUM(J32,J28)</f>
        <v>668582.54</v>
      </c>
      <c r="M33" s="2"/>
      <c r="R33" s="1029" t="s">
        <v>44</v>
      </c>
      <c r="S33" s="1029"/>
      <c r="T33" s="1029"/>
      <c r="U33" s="1029"/>
      <c r="V33" s="153">
        <f>V32+X28</f>
        <v>73.69</v>
      </c>
      <c r="W33" s="1025" t="s">
        <v>45</v>
      </c>
      <c r="X33" s="1025"/>
      <c r="Y33" s="154">
        <f>SUM(Y32,Y28)</f>
        <v>414637.82999999996</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668582.54</v>
      </c>
      <c r="H36" s="37" t="s">
        <v>48</v>
      </c>
      <c r="I36" s="38">
        <f>Consolidated!H53</f>
        <v>7.1400000000000005E-2</v>
      </c>
      <c r="J36" s="120">
        <f>ROUND(G36*I36,2)</f>
        <v>47736.79</v>
      </c>
      <c r="K36" s="39"/>
      <c r="L36" s="33"/>
      <c r="M36" s="33"/>
      <c r="N36" s="33"/>
      <c r="O36" s="31"/>
      <c r="P36" s="34"/>
      <c r="Q36" s="34"/>
      <c r="R36" s="1006" t="str">
        <f>A36</f>
        <v>Maintenance Portion (7.14% of Conference Funding)</v>
      </c>
      <c r="S36" s="1006"/>
      <c r="T36" s="1006"/>
      <c r="U36" s="158"/>
      <c r="V36" s="161">
        <f>Y28</f>
        <v>414637.82999999996</v>
      </c>
      <c r="W36" s="162" t="s">
        <v>48</v>
      </c>
      <c r="X36" s="163">
        <f>I36</f>
        <v>7.1400000000000005E-2</v>
      </c>
      <c r="Y36" s="212">
        <f>J36</f>
        <v>47736.79</v>
      </c>
    </row>
    <row r="37" spans="1:25" ht="20.25" customHeight="1" x14ac:dyDescent="0.25">
      <c r="A37" s="975" t="str">
        <f>Consolidated!B54</f>
        <v>Growth Portion (1.06% of Conference Funding)</v>
      </c>
      <c r="B37" s="975"/>
      <c r="C37" s="975"/>
      <c r="D37" s="975"/>
      <c r="E37" s="975"/>
      <c r="F37" s="36" t="s">
        <v>47</v>
      </c>
      <c r="G37" s="121">
        <v>668582.54</v>
      </c>
      <c r="H37" s="37" t="s">
        <v>48</v>
      </c>
      <c r="I37" s="38">
        <f>Consolidated!H54</f>
        <v>1.06E-2</v>
      </c>
      <c r="J37" s="120">
        <f>ROUND(G37*I37,2)</f>
        <v>7086.97</v>
      </c>
      <c r="K37" s="39"/>
      <c r="L37" s="33"/>
      <c r="M37" s="33"/>
      <c r="N37" s="33"/>
      <c r="O37" s="31"/>
      <c r="P37" s="34"/>
      <c r="Q37" s="34"/>
      <c r="R37" s="1006" t="str">
        <f>A37</f>
        <v>Growth Portion (1.06% of Conference Funding)</v>
      </c>
      <c r="S37" s="1006"/>
      <c r="T37" s="1006"/>
      <c r="U37" s="158"/>
      <c r="V37" s="161">
        <f>Y28</f>
        <v>414637.82999999996</v>
      </c>
      <c r="W37" s="162" t="s">
        <v>48</v>
      </c>
      <c r="X37" s="163">
        <f>I37</f>
        <v>1.06E-2</v>
      </c>
      <c r="Y37" s="212">
        <f>J37</f>
        <v>7086.97</v>
      </c>
    </row>
    <row r="38" spans="1:25" ht="20.25" customHeight="1" x14ac:dyDescent="0.25">
      <c r="A38" s="1012" t="s">
        <v>49</v>
      </c>
      <c r="B38" s="1012"/>
      <c r="C38" s="1012"/>
      <c r="D38" s="1012"/>
      <c r="E38" s="1012"/>
      <c r="F38" s="36" t="s">
        <v>50</v>
      </c>
      <c r="G38" s="40"/>
      <c r="H38" s="37"/>
      <c r="I38" s="41"/>
      <c r="J38" s="120">
        <f>SUM(J36:J37)</f>
        <v>54823.76</v>
      </c>
      <c r="K38" s="39"/>
      <c r="L38" s="33"/>
      <c r="M38" s="33"/>
      <c r="N38" s="33"/>
      <c r="O38" s="31"/>
      <c r="P38" s="34"/>
      <c r="Q38" s="34"/>
      <c r="R38" s="1015" t="s">
        <v>49</v>
      </c>
      <c r="S38" s="1015"/>
      <c r="T38" s="1015"/>
      <c r="U38" s="158" t="s">
        <v>50</v>
      </c>
      <c r="V38" s="164"/>
      <c r="W38" s="162"/>
      <c r="X38" s="165"/>
      <c r="Y38" s="212">
        <f>Y36+Y37</f>
        <v>54823.76</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0.51</v>
      </c>
      <c r="D48" s="122">
        <f>SUMIFS('ESE FTE'!G:G,'ESE FTE'!$A:$A,$I$2,'ESE FTE'!$E:$E,13)</f>
        <v>0.5</v>
      </c>
      <c r="E48" s="1073">
        <f t="shared" si="8"/>
        <v>1.01</v>
      </c>
      <c r="F48" s="1073"/>
      <c r="G48" s="47" t="s">
        <v>59</v>
      </c>
      <c r="H48" s="37">
        <v>252</v>
      </c>
      <c r="I48" s="125">
        <f>Consolidated!$H66</f>
        <v>3168</v>
      </c>
      <c r="J48" s="126">
        <f t="shared" si="9"/>
        <v>3199.68</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27.28</v>
      </c>
      <c r="D49" s="122">
        <f>SUMIFS('ESE FTE'!G:G,'ESE FTE'!$A:$A,$I$2,'ESE FTE'!$E:$E,14)</f>
        <v>26.69</v>
      </c>
      <c r="E49" s="1074">
        <f t="shared" si="8"/>
        <v>53.97</v>
      </c>
      <c r="F49" s="1074"/>
      <c r="G49" s="47" t="s">
        <v>59</v>
      </c>
      <c r="H49" s="37">
        <v>253</v>
      </c>
      <c r="I49" s="125">
        <f>Consolidated!$H67</f>
        <v>6685</v>
      </c>
      <c r="J49" s="126">
        <f t="shared" si="9"/>
        <v>360789.45</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27.790000000000003</v>
      </c>
      <c r="D50" s="774">
        <f>SUM(D41:D49)</f>
        <v>27.19</v>
      </c>
      <c r="E50" s="1075">
        <f>SUM(E41:E49)</f>
        <v>54.98</v>
      </c>
      <c r="F50" s="1075"/>
      <c r="G50" s="1030" t="s">
        <v>61</v>
      </c>
      <c r="H50" s="1030"/>
      <c r="I50" s="1030"/>
      <c r="J50" s="220">
        <f>SUM(J41:J49)</f>
        <v>363989.13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73.69</v>
      </c>
      <c r="U52" s="173" t="s">
        <v>64</v>
      </c>
      <c r="V52" s="174"/>
      <c r="W52" s="175" t="s">
        <v>65</v>
      </c>
      <c r="X52" s="1037">
        <f>I53</f>
        <v>208856.94000000003</v>
      </c>
      <c r="Y52" s="1037"/>
    </row>
    <row r="53" spans="1:25" ht="16.5" customHeight="1" x14ac:dyDescent="0.25">
      <c r="A53" s="1013" t="s">
        <v>63</v>
      </c>
      <c r="B53" s="1013"/>
      <c r="C53" s="51"/>
      <c r="D53" s="51"/>
      <c r="E53" s="48">
        <f>E28</f>
        <v>73.69</v>
      </c>
      <c r="F53" s="49" t="s">
        <v>64</v>
      </c>
      <c r="G53" s="3"/>
      <c r="H53" s="50" t="s">
        <v>65</v>
      </c>
      <c r="I53" s="634">
        <f>Consolidated!H$71</f>
        <v>208856.94000000003</v>
      </c>
      <c r="J53" s="633"/>
      <c r="M53" s="2"/>
      <c r="R53" s="176"/>
      <c r="S53" s="177"/>
      <c r="T53" s="159"/>
      <c r="U53" s="159"/>
      <c r="V53" s="159"/>
      <c r="W53" s="178" t="s">
        <v>66</v>
      </c>
      <c r="X53" s="1038">
        <f>ROUND(T52/X52,6)</f>
        <v>3.5300000000000002E-4</v>
      </c>
      <c r="Y53" s="1038"/>
    </row>
    <row r="54" spans="1:25" ht="22.5" customHeight="1" x14ac:dyDescent="0.25">
      <c r="A54" s="51"/>
      <c r="B54" s="52"/>
      <c r="C54" s="52"/>
      <c r="D54" s="52"/>
      <c r="H54" s="53" t="s">
        <v>66</v>
      </c>
      <c r="I54" s="1064">
        <f>IFERROR(ROUND(E53/I53,6),0)</f>
        <v>3.5300000000000002E-4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73.69</v>
      </c>
      <c r="U55" s="173" t="s">
        <v>64</v>
      </c>
      <c r="V55" s="174"/>
      <c r="W55" s="175" t="s">
        <v>69</v>
      </c>
      <c r="X55" s="1037">
        <f>I56</f>
        <v>221542.28000000003</v>
      </c>
      <c r="Y55" s="1037"/>
    </row>
    <row r="56" spans="1:25" ht="16.5" customHeight="1" x14ac:dyDescent="0.25">
      <c r="A56" s="1013" t="s">
        <v>68</v>
      </c>
      <c r="B56" s="1013"/>
      <c r="C56" s="51"/>
      <c r="D56" s="51"/>
      <c r="E56" s="48">
        <f>G33</f>
        <v>118.8214</v>
      </c>
      <c r="F56" s="49" t="s">
        <v>64</v>
      </c>
      <c r="G56" s="3"/>
      <c r="H56" s="50" t="s">
        <v>69</v>
      </c>
      <c r="I56" s="634">
        <f>Consolidated!H$74</f>
        <v>221542.28000000003</v>
      </c>
      <c r="J56" s="633"/>
      <c r="M56" s="2"/>
      <c r="R56" s="176"/>
      <c r="S56" s="159"/>
      <c r="T56" s="159"/>
      <c r="U56" s="159"/>
      <c r="V56" s="159"/>
      <c r="W56" s="178" t="s">
        <v>66</v>
      </c>
      <c r="X56" s="1038">
        <f>ROUND(T55/X55,6)</f>
        <v>3.3300000000000002E-4</v>
      </c>
      <c r="Y56" s="1038"/>
    </row>
    <row r="57" spans="1:25" ht="18.75" customHeight="1" x14ac:dyDescent="0.25">
      <c r="A57" s="51"/>
      <c r="H57" s="53" t="s">
        <v>66</v>
      </c>
      <c r="I57" s="1064">
        <f>IFERROR(ROUND(E56/I56,6),0)</f>
        <v>5.3600000000000002E-4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73.69</v>
      </c>
      <c r="U58" s="173" t="s">
        <v>64</v>
      </c>
      <c r="V58" s="1036" t="s">
        <v>72</v>
      </c>
      <c r="W58" s="1036"/>
      <c r="X58" s="1037">
        <f>I59</f>
        <v>175905.69000000003</v>
      </c>
      <c r="Y58" s="1037"/>
    </row>
    <row r="59" spans="1:25" ht="18.75" customHeight="1" x14ac:dyDescent="0.25">
      <c r="A59" s="1013" t="s">
        <v>71</v>
      </c>
      <c r="B59" s="1013"/>
      <c r="C59" s="51"/>
      <c r="D59" s="51"/>
      <c r="E59" s="48">
        <f>E28</f>
        <v>73.69</v>
      </c>
      <c r="F59" s="49" t="s">
        <v>64</v>
      </c>
      <c r="G59" s="1107" t="s">
        <v>72</v>
      </c>
      <c r="H59" s="1107"/>
      <c r="I59" s="634">
        <f>Consolidated!H$77</f>
        <v>175905.69000000003</v>
      </c>
      <c r="J59" s="633"/>
      <c r="M59" s="2"/>
      <c r="R59" s="176"/>
      <c r="S59" s="159"/>
      <c r="T59" s="159"/>
      <c r="U59" s="159"/>
      <c r="V59" s="159"/>
      <c r="W59" s="178" t="s">
        <v>66</v>
      </c>
      <c r="X59" s="1038">
        <f>ROUND(T58/X58,6)</f>
        <v>4.1899999999999999E-4</v>
      </c>
      <c r="Y59" s="1038"/>
    </row>
    <row r="60" spans="1:25" ht="18" customHeight="1" x14ac:dyDescent="0.25">
      <c r="A60" s="51"/>
      <c r="H60" s="53" t="s">
        <v>66</v>
      </c>
      <c r="I60" s="1064">
        <f>IFERROR(ROUND(E59/I59,6),0)</f>
        <v>4.1899999999999999E-4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73.69</v>
      </c>
      <c r="U61" s="173" t="s">
        <v>64</v>
      </c>
      <c r="V61" s="1036" t="s">
        <v>74</v>
      </c>
      <c r="W61" s="1036"/>
      <c r="X61" s="1037">
        <f>I62</f>
        <v>208541.94000000003</v>
      </c>
      <c r="Y61" s="1037"/>
    </row>
    <row r="62" spans="1:25" x14ac:dyDescent="0.25">
      <c r="A62" s="1013" t="s">
        <v>71</v>
      </c>
      <c r="B62" s="1013"/>
      <c r="C62" s="51"/>
      <c r="D62" s="51"/>
      <c r="E62" s="48">
        <f>E28</f>
        <v>73.69</v>
      </c>
      <c r="F62" s="49" t="s">
        <v>64</v>
      </c>
      <c r="G62" s="1107" t="s">
        <v>74</v>
      </c>
      <c r="H62" s="1107"/>
      <c r="I62" s="634">
        <f>Consolidated!H$80</f>
        <v>208541.94000000003</v>
      </c>
      <c r="J62" s="633"/>
      <c r="M62" s="2"/>
      <c r="R62" s="176"/>
      <c r="S62" s="159"/>
      <c r="T62" s="159"/>
      <c r="U62" s="159"/>
      <c r="V62" s="159"/>
      <c r="W62" s="178" t="s">
        <v>66</v>
      </c>
      <c r="X62" s="1038">
        <f>ROUND(T61/X61,6)</f>
        <v>3.5300000000000002E-4</v>
      </c>
      <c r="Y62" s="1038"/>
    </row>
    <row r="63" spans="1:25" ht="19.5" customHeight="1" x14ac:dyDescent="0.25">
      <c r="A63" s="51"/>
      <c r="H63" s="53" t="s">
        <v>66</v>
      </c>
      <c r="I63" s="1064">
        <f>IFERROR(ROUND(E62/I62,6),0)</f>
        <v>3.5300000000000002E-4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73.69</v>
      </c>
      <c r="U64" s="173" t="s">
        <v>64</v>
      </c>
      <c r="V64" s="1110" t="s">
        <v>159</v>
      </c>
      <c r="W64" s="1110"/>
      <c r="X64" s="1037">
        <f>I65</f>
        <v>175590.69000000003</v>
      </c>
      <c r="Y64" s="1037"/>
    </row>
    <row r="65" spans="1:26" ht="49.5" customHeight="1" x14ac:dyDescent="0.25">
      <c r="A65" s="1013" t="s">
        <v>71</v>
      </c>
      <c r="B65" s="1013"/>
      <c r="C65" s="51"/>
      <c r="D65" s="51"/>
      <c r="E65" s="48">
        <f>E28</f>
        <v>73.69</v>
      </c>
      <c r="F65" s="49" t="s">
        <v>64</v>
      </c>
      <c r="G65" s="1107" t="s">
        <v>76</v>
      </c>
      <c r="H65" s="1107"/>
      <c r="I65" s="634">
        <f>Consolidated!H$83</f>
        <v>175590.69000000003</v>
      </c>
      <c r="J65" s="633"/>
      <c r="M65" s="2"/>
      <c r="R65" s="179"/>
      <c r="S65" s="159"/>
      <c r="T65" s="159"/>
      <c r="U65" s="159"/>
      <c r="V65" s="159"/>
      <c r="W65" s="178" t="s">
        <v>66</v>
      </c>
      <c r="X65" s="1038">
        <f>ROUND(T64/X64,6)</f>
        <v>4.2000000000000002E-4</v>
      </c>
      <c r="Y65" s="1038"/>
    </row>
    <row r="66" spans="1:26" ht="19.5" customHeight="1" x14ac:dyDescent="0.25">
      <c r="A66" s="51"/>
      <c r="H66" s="53" t="s">
        <v>66</v>
      </c>
      <c r="I66" s="1064">
        <f>IFERROR(ROUND(E65/I65,6),0)</f>
        <v>4.2000000000000002E-4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3.5300000000000002E-4</v>
      </c>
      <c r="Y67" s="215">
        <f>ROUND(V67*X67,2)</f>
        <v>16190.95</v>
      </c>
    </row>
    <row r="68" spans="1:26" ht="30.75" customHeight="1" x14ac:dyDescent="0.25">
      <c r="A68" s="1065" t="s">
        <v>77</v>
      </c>
      <c r="B68" s="1065"/>
      <c r="C68" s="1065"/>
      <c r="D68" s="1065"/>
      <c r="E68" s="1065"/>
      <c r="F68" s="36" t="s">
        <v>78</v>
      </c>
      <c r="G68" s="221">
        <f>Consolidated!F$86</f>
        <v>45866714</v>
      </c>
      <c r="H68" s="37" t="s">
        <v>79</v>
      </c>
      <c r="I68" s="41">
        <f>I63</f>
        <v>3.5300000000000002E-4</v>
      </c>
      <c r="J68" s="127">
        <f>ROUND(G68*I68,2)</f>
        <v>16190.95</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3.5300000000000002E-4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3.5300000000000002E-4</v>
      </c>
      <c r="J70" s="127">
        <f>ROUND(G70*I70,2)</f>
        <v>0</v>
      </c>
      <c r="M70" s="2"/>
      <c r="R70" s="1015" t="s">
        <v>161</v>
      </c>
      <c r="S70" s="1015"/>
      <c r="T70" s="1015"/>
      <c r="U70" s="158"/>
      <c r="V70" s="182">
        <f>G71</f>
        <v>18834423</v>
      </c>
      <c r="W70" s="162" t="s">
        <v>79</v>
      </c>
      <c r="X70" s="165">
        <f>X65</f>
        <v>4.2000000000000002E-4</v>
      </c>
      <c r="Y70" s="212">
        <f t="shared" si="11"/>
        <v>7910.46</v>
      </c>
    </row>
    <row r="71" spans="1:26" ht="19.5" customHeight="1" x14ac:dyDescent="0.25">
      <c r="A71" s="1012" t="s">
        <v>83</v>
      </c>
      <c r="B71" s="1012"/>
      <c r="C71" s="1012"/>
      <c r="D71" s="1012"/>
      <c r="E71" s="1012"/>
      <c r="F71" s="36" t="s">
        <v>84</v>
      </c>
      <c r="G71" s="221">
        <f>Consolidated!F$91</f>
        <v>18834423</v>
      </c>
      <c r="H71" s="37" t="s">
        <v>79</v>
      </c>
      <c r="I71" s="41">
        <f>I66</f>
        <v>4.2000000000000002E-4</v>
      </c>
      <c r="J71" s="127">
        <f>ROUND(G71*I71,2)</f>
        <v>7910.46</v>
      </c>
      <c r="M71" s="2"/>
      <c r="R71" s="166" t="s">
        <v>162</v>
      </c>
      <c r="S71" s="166"/>
      <c r="T71" s="166"/>
      <c r="U71" s="158"/>
      <c r="V71" s="160">
        <f>G72</f>
        <v>11226031</v>
      </c>
      <c r="W71" s="162" t="s">
        <v>79</v>
      </c>
      <c r="X71" s="165">
        <f>X59</f>
        <v>4.1899999999999999E-4</v>
      </c>
      <c r="Y71" s="212">
        <f t="shared" si="11"/>
        <v>4703.71</v>
      </c>
    </row>
    <row r="72" spans="1:26" ht="19.5" customHeight="1" x14ac:dyDescent="0.25">
      <c r="A72" s="42" t="s">
        <v>85</v>
      </c>
      <c r="B72" s="42"/>
      <c r="C72" s="42"/>
      <c r="D72" s="42"/>
      <c r="E72" s="42"/>
      <c r="F72" s="36" t="s">
        <v>86</v>
      </c>
      <c r="G72" s="221">
        <f>Consolidated!F$93</f>
        <v>11226031</v>
      </c>
      <c r="H72" s="37" t="s">
        <v>79</v>
      </c>
      <c r="I72" s="41">
        <f>I60</f>
        <v>4.1899999999999999E-4</v>
      </c>
      <c r="J72" s="127">
        <f>ROUND(G72*I72,2)</f>
        <v>4703.71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f>J79</f>
        <v>1</v>
      </c>
      <c r="Z78" s="72"/>
    </row>
    <row r="79" spans="1:26" ht="18.75" customHeight="1" x14ac:dyDescent="0.25">
      <c r="A79" s="958" t="s">
        <v>95</v>
      </c>
      <c r="B79" s="958"/>
      <c r="C79" s="69"/>
      <c r="D79" s="69"/>
      <c r="E79" s="65"/>
      <c r="F79" s="65"/>
      <c r="G79" s="65"/>
      <c r="H79" s="65"/>
      <c r="I79" s="65"/>
      <c r="J79" s="118">
        <v>1</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1</v>
      </c>
      <c r="Z80" s="72"/>
    </row>
    <row r="81" spans="1:26" ht="17.25" customHeight="1" x14ac:dyDescent="0.25">
      <c r="A81" s="33"/>
      <c r="B81" s="33"/>
      <c r="C81" s="33"/>
      <c r="D81" s="33"/>
      <c r="E81" s="33"/>
      <c r="F81" s="33"/>
      <c r="G81" s="31"/>
      <c r="H81" s="34"/>
      <c r="I81" s="34" t="s">
        <v>97</v>
      </c>
      <c r="J81" s="74">
        <f>SUM(J75:J80)</f>
        <v>1</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7.7999999999999999E-5</v>
      </c>
      <c r="Y83" s="212">
        <f>ROUND(V83*X83,2)</f>
        <v>4563.22</v>
      </c>
      <c r="Z83" s="72"/>
    </row>
    <row r="84" spans="1:26" ht="21" customHeight="1" x14ac:dyDescent="0.25">
      <c r="A84" s="980" t="s">
        <v>99</v>
      </c>
      <c r="B84" s="980"/>
      <c r="C84" s="980"/>
      <c r="D84" s="52"/>
      <c r="G84" s="112">
        <f>Consolidated!F$106</f>
        <v>58502790</v>
      </c>
      <c r="H84" s="37" t="s">
        <v>79</v>
      </c>
      <c r="I84" s="41">
        <f>IFERROR(ROUND(J81/J82,6),0)</f>
        <v>7.7999999999999999E-5</v>
      </c>
      <c r="J84" s="127">
        <f>ROUND(G84*I84,2)</f>
        <v>4563.22</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5.3600000000000002E-4</v>
      </c>
      <c r="J85" s="127">
        <f>ROUND(G85*I85,2)</f>
        <v>152167.82</v>
      </c>
      <c r="K85" s="70"/>
      <c r="L85" s="70"/>
      <c r="M85" s="71"/>
      <c r="N85" s="70"/>
      <c r="O85" s="70"/>
      <c r="P85" s="70"/>
      <c r="Q85" s="70"/>
      <c r="R85" s="1015" t="s">
        <v>166</v>
      </c>
      <c r="S85" s="1015"/>
      <c r="T85" s="1015"/>
      <c r="U85" s="158"/>
      <c r="V85" s="160">
        <f>G85</f>
        <v>283895192</v>
      </c>
      <c r="W85" s="162" t="s">
        <v>79</v>
      </c>
      <c r="X85" s="165">
        <f>X56</f>
        <v>3.3300000000000002E-4</v>
      </c>
      <c r="Y85" s="212">
        <f t="shared" ref="Y85:Y87" si="12">ROUND(V85*X85,2)</f>
        <v>94537.1</v>
      </c>
    </row>
    <row r="86" spans="1:26" ht="14.25" customHeight="1" x14ac:dyDescent="0.25">
      <c r="A86" s="1012" t="s">
        <v>102</v>
      </c>
      <c r="B86" s="1012"/>
      <c r="C86" s="1012"/>
      <c r="D86" s="1012"/>
      <c r="E86" s="1012"/>
      <c r="F86" s="36" t="s">
        <v>101</v>
      </c>
      <c r="G86" s="128">
        <v>0</v>
      </c>
      <c r="H86" s="37" t="s">
        <v>79</v>
      </c>
      <c r="I86" s="41">
        <f>I57</f>
        <v>5.3600000000000002E-4</v>
      </c>
      <c r="J86" s="127">
        <f>ROUND(G86*I86,2)</f>
        <v>0</v>
      </c>
      <c r="K86" s="70"/>
      <c r="L86" s="71"/>
      <c r="M86" s="76"/>
      <c r="N86" s="76"/>
      <c r="O86" s="76"/>
      <c r="P86" s="76"/>
      <c r="Q86" s="70"/>
      <c r="R86" s="1015" t="s">
        <v>167</v>
      </c>
      <c r="S86" s="1015"/>
      <c r="T86" s="1015"/>
      <c r="U86" s="158"/>
      <c r="V86" s="192">
        <f>G86</f>
        <v>0</v>
      </c>
      <c r="W86" s="162" t="s">
        <v>79</v>
      </c>
      <c r="X86" s="165">
        <f>X56</f>
        <v>3.3300000000000002E-4</v>
      </c>
      <c r="Y86" s="212">
        <f t="shared" si="12"/>
        <v>0</v>
      </c>
    </row>
    <row r="87" spans="1:26" ht="18" customHeight="1" x14ac:dyDescent="0.25">
      <c r="A87" s="1012" t="s">
        <v>103</v>
      </c>
      <c r="B87" s="1012"/>
      <c r="C87" s="1012"/>
      <c r="D87" s="1012"/>
      <c r="E87" s="1012"/>
      <c r="F87" s="36" t="s">
        <v>82</v>
      </c>
      <c r="G87" s="128">
        <v>0</v>
      </c>
      <c r="H87" s="37" t="s">
        <v>79</v>
      </c>
      <c r="I87" s="41">
        <f>I54</f>
        <v>3.5300000000000002E-4</v>
      </c>
      <c r="J87" s="62">
        <f>ROUND(G87*I87,2)</f>
        <v>0</v>
      </c>
      <c r="K87" s="77"/>
      <c r="L87" s="70"/>
      <c r="M87" s="71"/>
      <c r="N87" s="70"/>
      <c r="O87" s="70"/>
      <c r="P87" s="70"/>
      <c r="Q87" s="70"/>
      <c r="R87" s="166" t="s">
        <v>168</v>
      </c>
      <c r="S87" s="166"/>
      <c r="T87" s="166"/>
      <c r="U87" s="158"/>
      <c r="V87" s="192">
        <f>G87</f>
        <v>0</v>
      </c>
      <c r="W87" s="162" t="s">
        <v>79</v>
      </c>
      <c r="X87" s="165">
        <f>X53</f>
        <v>3.5300000000000002E-4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129">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118.8214</v>
      </c>
      <c r="C92" s="80"/>
      <c r="D92" s="981">
        <f>I6</f>
        <v>1.0309999999999999</v>
      </c>
      <c r="E92" s="981"/>
      <c r="F92" s="981"/>
      <c r="G92" s="113">
        <f>Consolidated!F$120</f>
        <v>920.31</v>
      </c>
      <c r="H92" s="47" t="s">
        <v>66</v>
      </c>
      <c r="I92" s="532">
        <f>ROUND(B92*D92*G92,2)</f>
        <v>112742.45</v>
      </c>
      <c r="K92" s="70"/>
      <c r="L92" s="70"/>
      <c r="M92" s="71"/>
      <c r="N92" s="70"/>
      <c r="O92" s="70"/>
      <c r="P92" s="70"/>
      <c r="Q92" s="70"/>
      <c r="R92" s="196" t="s">
        <v>59</v>
      </c>
      <c r="S92" s="197">
        <f>X16+X17+X20+X23+X26+X27</f>
        <v>73.69</v>
      </c>
      <c r="T92" s="1044">
        <f>X6</f>
        <v>1.0309999999999999</v>
      </c>
      <c r="U92" s="1044"/>
      <c r="V92" s="113">
        <f>G92</f>
        <v>920.31</v>
      </c>
      <c r="W92" s="171" t="s">
        <v>66</v>
      </c>
      <c r="X92" s="216">
        <f>ROUND(S92*T92*V92,2)</f>
        <v>69919.990000000005</v>
      </c>
      <c r="Y92" s="159"/>
    </row>
    <row r="93" spans="1:26" ht="18.75" customHeight="1" thickBot="1" x14ac:dyDescent="0.3">
      <c r="A93" s="84" t="s">
        <v>109</v>
      </c>
      <c r="B93" s="80">
        <f>SUM(B90:B92)</f>
        <v>118.8214</v>
      </c>
      <c r="C93" s="80"/>
      <c r="D93" s="80"/>
      <c r="E93" s="1059" t="s">
        <v>110</v>
      </c>
      <c r="F93" s="1059"/>
      <c r="G93" s="1059"/>
      <c r="H93" s="1059"/>
      <c r="I93" s="1059"/>
      <c r="J93" s="116">
        <f>IF(A1=75,0,I92+I91+I90)</f>
        <v>112742.45</v>
      </c>
      <c r="K93" s="70"/>
      <c r="L93" s="70"/>
      <c r="M93" s="71"/>
      <c r="N93" s="70"/>
      <c r="O93" s="70"/>
      <c r="P93" s="70"/>
      <c r="Q93" s="70"/>
      <c r="R93" s="198" t="s">
        <v>109</v>
      </c>
      <c r="S93" s="199">
        <f>SUM(S90:S92)</f>
        <v>73.69</v>
      </c>
      <c r="T93" s="1045" t="s">
        <v>110</v>
      </c>
      <c r="U93" s="1046"/>
      <c r="V93" s="1046"/>
      <c r="W93" s="1046"/>
      <c r="X93" s="1046"/>
      <c r="Y93" s="212">
        <f>IF(R1=75,0,X92+X91+X90)</f>
        <v>69919.990000000005</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48</v>
      </c>
      <c r="U96" s="1050"/>
      <c r="V96" s="1050"/>
      <c r="W96" s="200" t="s">
        <v>115</v>
      </c>
      <c r="X96" s="201">
        <f>I97</f>
        <v>583</v>
      </c>
      <c r="Y96" s="212">
        <f>ROUND(X96*T96,2)</f>
        <v>27984</v>
      </c>
    </row>
    <row r="97" spans="1:25" ht="17.25" customHeight="1" x14ac:dyDescent="0.25">
      <c r="A97" s="1030" t="s">
        <v>114</v>
      </c>
      <c r="B97" s="1030"/>
      <c r="C97" s="223">
        <v>47</v>
      </c>
      <c r="D97" s="223">
        <v>49</v>
      </c>
      <c r="E97" s="1103">
        <f>IF(D97&gt;0,(C97+D97)/2,C97)</f>
        <v>48</v>
      </c>
      <c r="F97" s="982"/>
      <c r="G97" s="982"/>
      <c r="H97" s="85" t="s">
        <v>115</v>
      </c>
      <c r="I97" s="119">
        <f>Consolidated!G$127</f>
        <v>583</v>
      </c>
      <c r="J97" s="127">
        <f>ROUND(I97*E97,2)</f>
        <v>27984</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95">
        <f>SUM(J106,J105,J98,J97,J93,J86,J85,J71,J70,J68,J33,J72,J50,J87,J84)</f>
        <v>1358834.28</v>
      </c>
      <c r="L107" s="533"/>
      <c r="R107" s="1015" t="s">
        <v>123</v>
      </c>
      <c r="S107" s="1015"/>
      <c r="T107" s="1015"/>
      <c r="U107" s="1015"/>
      <c r="V107" s="1015"/>
      <c r="W107" s="1015"/>
      <c r="X107" s="1015"/>
      <c r="Y107" s="208">
        <f>SUM(Y106,Y105,Y97,Y96,Y93,Y86,Y85,Y84,Y70,Y69,Y67,Y33,Y71,Y50,Y87,Y83)</f>
        <v>640447.25999999989</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96">
        <f>J107-J38</f>
        <v>1304010.52</v>
      </c>
      <c r="R109" s="159" t="s">
        <v>174</v>
      </c>
      <c r="S109" s="159"/>
      <c r="T109" s="159"/>
      <c r="U109" s="159"/>
      <c r="V109" s="159"/>
      <c r="W109" s="159"/>
      <c r="X109" s="159"/>
      <c r="Y109" s="209">
        <f>Y107-Y38</f>
        <v>585623.49999999988</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v>1</v>
      </c>
      <c r="J111" s="46">
        <f>Y109</f>
        <v>585623.49999999988</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638"/>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39">
        <f>IF(I111=1,J111,J109)</f>
        <v>585623.49999999988</v>
      </c>
      <c r="J114" s="640">
        <f>ROUND(IF(E28=0,0,IF(E28&gt;250,-(((250/E28)*I114)*IF(H113="H",0.02,0.05)),IF(H113="H",-0.02*I114,-0.05*I114))),2)</f>
        <v>-29281.18</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1329553.1000000001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Payments'!R78</f>
        <v>-221964.4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1107588.7000000002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110758.87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ROUND(IF(H113="H",(I114*0.02)+J114,(I114*0.05)+J114),2)</f>
        <v>-0.01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40"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482</v>
      </c>
      <c r="B2" s="101"/>
      <c r="C2" s="101"/>
      <c r="D2" s="101"/>
      <c r="E2" s="6"/>
      <c r="F2" s="6"/>
      <c r="G2" s="6"/>
      <c r="H2" s="6"/>
      <c r="I2" s="685" t="str">
        <f>RIGHT(A2,4)</f>
        <v>2531</v>
      </c>
      <c r="J2" s="6"/>
      <c r="K2" s="6"/>
      <c r="L2" s="6"/>
      <c r="M2" s="6"/>
      <c r="N2" s="6"/>
      <c r="O2" s="6"/>
      <c r="P2" s="6"/>
      <c r="Q2" s="6"/>
      <c r="R2" s="987" t="str">
        <f>Revenue_Estimate_Worksheet_for___________Charter_School</f>
        <v>Revenue Estimate Worksheet: Bodwell Academy - 2531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0.5</v>
      </c>
      <c r="E15" s="1080">
        <f t="shared" si="0"/>
        <v>0.5</v>
      </c>
      <c r="F15" s="1080"/>
      <c r="G15" s="1086">
        <f>Consolidated!$F17</f>
        <v>1</v>
      </c>
      <c r="H15" s="1086">
        <f>Consolidated!$H$9</f>
        <v>1</v>
      </c>
      <c r="I15" s="534">
        <f t="shared" si="3"/>
        <v>0.5</v>
      </c>
      <c r="J15" s="535">
        <f t="shared" si="1"/>
        <v>2813.39</v>
      </c>
      <c r="M15" s="2"/>
      <c r="O15" s="2" t="str">
        <f t="shared" si="2"/>
        <v>112</v>
      </c>
      <c r="R15" s="1006" t="s">
        <v>23</v>
      </c>
      <c r="S15" s="1006"/>
      <c r="T15" s="1004">
        <f t="shared" si="4"/>
        <v>0.5</v>
      </c>
      <c r="U15" s="1004"/>
      <c r="V15" s="1010">
        <v>1</v>
      </c>
      <c r="W15" s="1010"/>
      <c r="X15" s="145">
        <f t="shared" si="5"/>
        <v>0.5</v>
      </c>
      <c r="Y15" s="212">
        <f t="shared" ref="Y15:Y27" si="7">ROUND(ROUND(ROUND(X15*$E$6,4)*($I$6),2)*(MAX($I$7,1)),2)</f>
        <v>2813.39</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11.5</v>
      </c>
      <c r="D17" s="389">
        <f>SUMIFS('Surv2-3'!M:M,'Surv2-3'!$H:$H,$I$2,'Surv2-3'!$I:$I,$O17)</f>
        <v>10.98</v>
      </c>
      <c r="E17" s="1080">
        <f t="shared" si="0"/>
        <v>22.48</v>
      </c>
      <c r="F17" s="1080"/>
      <c r="G17" s="1086">
        <f>Consolidated!$F19</f>
        <v>0.96499999999999997</v>
      </c>
      <c r="H17" s="1086">
        <f>Consolidated!$H$9</f>
        <v>1</v>
      </c>
      <c r="I17" s="534">
        <f t="shared" si="3"/>
        <v>21.693200000000001</v>
      </c>
      <c r="J17" s="535">
        <f t="shared" si="1"/>
        <v>122062.99</v>
      </c>
      <c r="M17" s="2"/>
      <c r="O17" s="2" t="str">
        <f t="shared" si="2"/>
        <v>113</v>
      </c>
      <c r="R17" s="1006" t="s">
        <v>25</v>
      </c>
      <c r="S17" s="1006"/>
      <c r="T17" s="1004">
        <f t="shared" si="4"/>
        <v>22.48</v>
      </c>
      <c r="U17" s="1004"/>
      <c r="V17" s="1010">
        <v>1</v>
      </c>
      <c r="W17" s="1010"/>
      <c r="X17" s="145">
        <f t="shared" si="5"/>
        <v>22.48</v>
      </c>
      <c r="Y17" s="212">
        <f t="shared" si="7"/>
        <v>126490.14</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0.5</v>
      </c>
      <c r="D19" s="389">
        <f>SUMIFS('Surv2-3'!L:L,'Surv2-3'!$H:$H,$I$2,'Surv2-3'!$I:$I,$O19)</f>
        <v>0.5</v>
      </c>
      <c r="E19" s="1080">
        <f t="shared" si="0"/>
        <v>1</v>
      </c>
      <c r="F19" s="1080"/>
      <c r="G19" s="1086">
        <f>Consolidated!$F21</f>
        <v>3.5150000000000001</v>
      </c>
      <c r="H19" s="1086">
        <f>Consolidated!$H$9</f>
        <v>1</v>
      </c>
      <c r="I19" s="534">
        <f t="shared" si="3"/>
        <v>3.5150000000000001</v>
      </c>
      <c r="J19" s="535">
        <f t="shared" si="1"/>
        <v>19778.150000000001</v>
      </c>
      <c r="M19" s="2"/>
      <c r="O19" s="2" t="str">
        <f t="shared" si="2"/>
        <v>254</v>
      </c>
      <c r="R19" s="1006" t="s">
        <v>27</v>
      </c>
      <c r="S19" s="1006"/>
      <c r="T19" s="1004">
        <f t="shared" si="4"/>
        <v>1</v>
      </c>
      <c r="U19" s="1004"/>
      <c r="V19" s="1010">
        <v>1</v>
      </c>
      <c r="W19" s="1010"/>
      <c r="X19" s="145">
        <f t="shared" si="5"/>
        <v>1</v>
      </c>
      <c r="Y19" s="212">
        <f t="shared" si="7"/>
        <v>5626.79</v>
      </c>
    </row>
    <row r="20" spans="1:25" x14ac:dyDescent="0.25">
      <c r="A20" s="975" t="s">
        <v>28</v>
      </c>
      <c r="B20" s="975"/>
      <c r="C20" s="389">
        <f>SUMIFS('Surv2-3'!F:F,'Surv2-3'!$A:$A,$I$2,'Surv2-3'!$B:$B,$O20)</f>
        <v>1.5</v>
      </c>
      <c r="D20" s="389">
        <f>SUMIFS('Surv2-3'!M:M,'Surv2-3'!$H:$H,$I$2,'Surv2-3'!$I:$I,$O20)</f>
        <v>2.02</v>
      </c>
      <c r="E20" s="1080">
        <f t="shared" si="0"/>
        <v>3.52</v>
      </c>
      <c r="F20" s="1080"/>
      <c r="G20" s="1086">
        <f>Consolidated!$F22</f>
        <v>3.5150000000000001</v>
      </c>
      <c r="H20" s="1086">
        <f>Consolidated!$H$9</f>
        <v>1</v>
      </c>
      <c r="I20" s="534">
        <f t="shared" si="3"/>
        <v>12.3728</v>
      </c>
      <c r="J20" s="535">
        <f t="shared" si="1"/>
        <v>69619.09</v>
      </c>
      <c r="M20" s="2"/>
      <c r="O20" s="2" t="str">
        <f t="shared" si="2"/>
        <v>254</v>
      </c>
      <c r="R20" s="1006" t="s">
        <v>28</v>
      </c>
      <c r="S20" s="1006"/>
      <c r="T20" s="1004">
        <f t="shared" si="4"/>
        <v>3.52</v>
      </c>
      <c r="U20" s="1004"/>
      <c r="V20" s="1010">
        <v>1</v>
      </c>
      <c r="W20" s="1010"/>
      <c r="X20" s="145">
        <f t="shared" si="5"/>
        <v>3.52</v>
      </c>
      <c r="Y20" s="212">
        <f t="shared" si="7"/>
        <v>19806.29</v>
      </c>
    </row>
    <row r="21" spans="1:25" ht="15" customHeight="1" x14ac:dyDescent="0.25">
      <c r="A21" s="975" t="s">
        <v>29</v>
      </c>
      <c r="B21" s="975"/>
      <c r="C21" s="389">
        <f>SUMIFS('Surv2-3'!D:D,'Surv2-3'!$A:$A,$I$2,'Surv2-3'!$B:$B,$O21)</f>
        <v>4</v>
      </c>
      <c r="D21" s="389">
        <f>SUMIFS('Surv2-3'!K:K,'Surv2-3'!$H:$H,$I$2,'Surv2-3'!$I:$I,$O21)</f>
        <v>4.0199999999999996</v>
      </c>
      <c r="E21" s="1080">
        <f t="shared" si="0"/>
        <v>8.02</v>
      </c>
      <c r="F21" s="1080"/>
      <c r="G21" s="1086">
        <f>Consolidated!$F23</f>
        <v>5.9059999999999997</v>
      </c>
      <c r="H21" s="1086">
        <f>Consolidated!$H$9</f>
        <v>1</v>
      </c>
      <c r="I21" s="534">
        <f t="shared" si="3"/>
        <v>47.366100000000003</v>
      </c>
      <c r="J21" s="535">
        <f t="shared" si="1"/>
        <v>266518.89</v>
      </c>
      <c r="M21" s="2"/>
      <c r="O21" s="2" t="str">
        <f t="shared" si="2"/>
        <v>255</v>
      </c>
      <c r="R21" s="1006" t="s">
        <v>29</v>
      </c>
      <c r="S21" s="1006"/>
      <c r="T21" s="1004">
        <f t="shared" si="4"/>
        <v>8.02</v>
      </c>
      <c r="U21" s="1004"/>
      <c r="V21" s="1010">
        <v>1</v>
      </c>
      <c r="W21" s="1010"/>
      <c r="X21" s="145">
        <f t="shared" si="5"/>
        <v>8.02</v>
      </c>
      <c r="Y21" s="212">
        <f t="shared" si="7"/>
        <v>45126.82</v>
      </c>
    </row>
    <row r="22" spans="1:25" ht="15" customHeight="1" x14ac:dyDescent="0.25">
      <c r="A22" s="975" t="s">
        <v>30</v>
      </c>
      <c r="B22" s="975"/>
      <c r="C22" s="389">
        <f>SUMIFS('Surv2-3'!E:E,'Surv2-3'!$A:$A,$I$2,'Surv2-3'!$B:$B,$O22)</f>
        <v>2.5</v>
      </c>
      <c r="D22" s="389">
        <f>SUMIFS('Surv2-3'!L:L,'Surv2-3'!$H:$H,$I$2,'Surv2-3'!$I:$I,$O22)</f>
        <v>2.5</v>
      </c>
      <c r="E22" s="1080">
        <f t="shared" si="0"/>
        <v>5</v>
      </c>
      <c r="F22" s="1080"/>
      <c r="G22" s="1086">
        <f>Consolidated!$F24</f>
        <v>5.9059999999999997</v>
      </c>
      <c r="H22" s="1086">
        <f>Consolidated!$H$9</f>
        <v>1</v>
      </c>
      <c r="I22" s="534">
        <f t="shared" si="3"/>
        <v>29.53</v>
      </c>
      <c r="J22" s="535">
        <f t="shared" si="1"/>
        <v>166158.98000000001</v>
      </c>
      <c r="M22" s="2"/>
      <c r="O22" s="2" t="str">
        <f t="shared" si="2"/>
        <v>255</v>
      </c>
      <c r="R22" s="1006" t="s">
        <v>30</v>
      </c>
      <c r="S22" s="1006"/>
      <c r="T22" s="1004">
        <f t="shared" si="4"/>
        <v>5</v>
      </c>
      <c r="U22" s="1004"/>
      <c r="V22" s="1010">
        <v>1</v>
      </c>
      <c r="W22" s="1010"/>
      <c r="X22" s="145">
        <f t="shared" si="5"/>
        <v>5</v>
      </c>
      <c r="Y22" s="212">
        <f t="shared" si="7"/>
        <v>28133.93</v>
      </c>
    </row>
    <row r="23" spans="1:25" ht="15" customHeight="1" x14ac:dyDescent="0.25">
      <c r="A23" s="975" t="s">
        <v>31</v>
      </c>
      <c r="B23" s="975"/>
      <c r="C23" s="389">
        <f>SUMIFS('Surv2-3'!F:F,'Surv2-3'!$A:$A,$I$2,'Surv2-3'!$B:$B,$O23)</f>
        <v>4</v>
      </c>
      <c r="D23" s="389">
        <f>SUMIFS('Surv2-3'!M:M,'Surv2-3'!$H:$H,$I$2,'Surv2-3'!$I:$I,$O23)</f>
        <v>4.0199999999999996</v>
      </c>
      <c r="E23" s="1080">
        <f t="shared" si="0"/>
        <v>8.02</v>
      </c>
      <c r="F23" s="1080"/>
      <c r="G23" s="1086">
        <f>Consolidated!$F25</f>
        <v>5.9059999999999997</v>
      </c>
      <c r="H23" s="1086">
        <f>Consolidated!$H$9</f>
        <v>1</v>
      </c>
      <c r="I23" s="534">
        <f t="shared" si="3"/>
        <v>47.366100000000003</v>
      </c>
      <c r="J23" s="535">
        <f t="shared" si="1"/>
        <v>266518.89</v>
      </c>
      <c r="M23" s="2"/>
      <c r="O23" s="2" t="str">
        <f t="shared" si="2"/>
        <v>255</v>
      </c>
      <c r="R23" s="1006" t="s">
        <v>31</v>
      </c>
      <c r="S23" s="1006"/>
      <c r="T23" s="1004">
        <f t="shared" si="4"/>
        <v>8.02</v>
      </c>
      <c r="U23" s="1004"/>
      <c r="V23" s="1010">
        <v>1</v>
      </c>
      <c r="W23" s="1010"/>
      <c r="X23" s="145">
        <f t="shared" si="5"/>
        <v>8.02</v>
      </c>
      <c r="Y23" s="212">
        <f t="shared" si="7"/>
        <v>45126.82</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24</v>
      </c>
      <c r="D28" s="773">
        <f>SUM(D12:D27)</f>
        <v>24.54</v>
      </c>
      <c r="E28" s="1085">
        <f>SUM(E12:E27)</f>
        <v>48.539999999999992</v>
      </c>
      <c r="F28" s="1085"/>
      <c r="G28" s="1080"/>
      <c r="H28" s="1080"/>
      <c r="I28" s="23">
        <f>SUM(I12:I27)</f>
        <v>162.34320000000002</v>
      </c>
      <c r="J28" s="116">
        <f>SUM(J12:J27)</f>
        <v>913470.38</v>
      </c>
      <c r="M28" s="2"/>
      <c r="R28" s="1023" t="s">
        <v>36</v>
      </c>
      <c r="S28" s="1023"/>
      <c r="T28" s="1024">
        <f>SUM(T12:T27)</f>
        <v>48.539999999999992</v>
      </c>
      <c r="U28" s="1024"/>
      <c r="V28" s="1025"/>
      <c r="W28" s="1025"/>
      <c r="X28" s="147">
        <f>SUM(X12:X27)</f>
        <v>48.539999999999992</v>
      </c>
      <c r="Y28" s="212">
        <f>SUM(Y12:Y27)</f>
        <v>273124.18</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162.34320000000002</v>
      </c>
      <c r="H33" s="1080" t="s">
        <v>45</v>
      </c>
      <c r="I33" s="1080"/>
      <c r="J33" s="32">
        <f>SUM(J32,J28)</f>
        <v>913470.38</v>
      </c>
      <c r="M33" s="2"/>
      <c r="R33" s="1029" t="s">
        <v>44</v>
      </c>
      <c r="S33" s="1029"/>
      <c r="T33" s="1029"/>
      <c r="U33" s="1029"/>
      <c r="V33" s="153">
        <f>V32+X28</f>
        <v>48.539999999999992</v>
      </c>
      <c r="W33" s="1025" t="s">
        <v>45</v>
      </c>
      <c r="X33" s="1025"/>
      <c r="Y33" s="154">
        <f>SUM(Y32,Y28)</f>
        <v>273124.18</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913470.38</v>
      </c>
      <c r="H36" s="37" t="s">
        <v>48</v>
      </c>
      <c r="I36" s="38">
        <f>Consolidated!H53</f>
        <v>7.1400000000000005E-2</v>
      </c>
      <c r="J36" s="120">
        <f>ROUND(G36*I36,2)</f>
        <v>65221.79</v>
      </c>
      <c r="K36" s="39"/>
      <c r="L36" s="33"/>
      <c r="M36" s="33"/>
      <c r="N36" s="33"/>
      <c r="O36" s="31"/>
      <c r="P36" s="34"/>
      <c r="Q36" s="34"/>
      <c r="R36" s="1006" t="str">
        <f>A36</f>
        <v>Maintenance Portion (7.14% of Conference Funding)</v>
      </c>
      <c r="S36" s="1006"/>
      <c r="T36" s="1006"/>
      <c r="U36" s="158"/>
      <c r="V36" s="161">
        <f>Y28</f>
        <v>273124.18</v>
      </c>
      <c r="W36" s="162" t="s">
        <v>48</v>
      </c>
      <c r="X36" s="163">
        <f>I36</f>
        <v>7.1400000000000005E-2</v>
      </c>
      <c r="Y36" s="212">
        <f>J36</f>
        <v>65221.79</v>
      </c>
    </row>
    <row r="37" spans="1:25" ht="20.25" customHeight="1" x14ac:dyDescent="0.25">
      <c r="A37" s="975" t="str">
        <f>Consolidated!B54</f>
        <v>Growth Portion (1.06% of Conference Funding)</v>
      </c>
      <c r="B37" s="975"/>
      <c r="C37" s="975"/>
      <c r="D37" s="975"/>
      <c r="E37" s="975"/>
      <c r="F37" s="36" t="s">
        <v>47</v>
      </c>
      <c r="G37" s="121">
        <v>913470.38</v>
      </c>
      <c r="H37" s="37" t="s">
        <v>48</v>
      </c>
      <c r="I37" s="38">
        <f>Consolidated!H54</f>
        <v>1.06E-2</v>
      </c>
      <c r="J37" s="120">
        <f>ROUND(G37*I37,2)</f>
        <v>9682.7900000000009</v>
      </c>
      <c r="K37" s="39"/>
      <c r="L37" s="33"/>
      <c r="M37" s="33"/>
      <c r="N37" s="33"/>
      <c r="O37" s="31"/>
      <c r="P37" s="34"/>
      <c r="Q37" s="34"/>
      <c r="R37" s="1006" t="str">
        <f>A37</f>
        <v>Growth Portion (1.06% of Conference Funding)</v>
      </c>
      <c r="S37" s="1006"/>
      <c r="T37" s="1006"/>
      <c r="U37" s="158"/>
      <c r="V37" s="161">
        <f>Y28</f>
        <v>273124.18</v>
      </c>
      <c r="W37" s="162" t="s">
        <v>48</v>
      </c>
      <c r="X37" s="163">
        <f>I37</f>
        <v>1.06E-2</v>
      </c>
      <c r="Y37" s="212">
        <f>J37</f>
        <v>9682.7900000000009</v>
      </c>
    </row>
    <row r="38" spans="1:25" ht="20.25" customHeight="1" x14ac:dyDescent="0.25">
      <c r="A38" s="1012" t="s">
        <v>49</v>
      </c>
      <c r="B38" s="1012"/>
      <c r="C38" s="1012"/>
      <c r="D38" s="1012"/>
      <c r="E38" s="1012"/>
      <c r="F38" s="36" t="s">
        <v>50</v>
      </c>
      <c r="G38" s="40"/>
      <c r="H38" s="37"/>
      <c r="I38" s="41"/>
      <c r="J38" s="120">
        <f>SUM(J36:J37)</f>
        <v>74904.58</v>
      </c>
      <c r="K38" s="39"/>
      <c r="L38" s="33"/>
      <c r="M38" s="33"/>
      <c r="N38" s="33"/>
      <c r="O38" s="31"/>
      <c r="P38" s="34"/>
      <c r="Q38" s="34"/>
      <c r="R38" s="1015" t="s">
        <v>49</v>
      </c>
      <c r="S38" s="1015"/>
      <c r="T38" s="1015"/>
      <c r="U38" s="158" t="s">
        <v>50</v>
      </c>
      <c r="V38" s="164"/>
      <c r="W38" s="162"/>
      <c r="X38" s="165"/>
      <c r="Y38" s="146">
        <f>Y36+Y37</f>
        <v>74904.58</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0.5</v>
      </c>
      <c r="E46" s="1073">
        <f t="shared" si="8"/>
        <v>0.5</v>
      </c>
      <c r="F46" s="1073"/>
      <c r="G46" s="47" t="s">
        <v>58</v>
      </c>
      <c r="H46" s="37">
        <v>253</v>
      </c>
      <c r="I46" s="125">
        <f>Consolidated!$H64</f>
        <v>7023</v>
      </c>
      <c r="J46" s="46">
        <f t="shared" si="9"/>
        <v>3511.5</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0.5</v>
      </c>
      <c r="D48" s="122">
        <f>SUMIFS('ESE FTE'!G:G,'ESE FTE'!$A:$A,$I$2,'ESE FTE'!$E:$E,13)</f>
        <v>0.48</v>
      </c>
      <c r="E48" s="1073">
        <f t="shared" si="8"/>
        <v>0.98</v>
      </c>
      <c r="F48" s="1073"/>
      <c r="G48" s="47" t="s">
        <v>59</v>
      </c>
      <c r="H48" s="37">
        <v>252</v>
      </c>
      <c r="I48" s="125">
        <f>Consolidated!$H66</f>
        <v>3168</v>
      </c>
      <c r="J48" s="46">
        <f t="shared" si="9"/>
        <v>3104.64</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11</v>
      </c>
      <c r="D49" s="122">
        <f>SUMIFS('ESE FTE'!G:G,'ESE FTE'!$A:$A,$I$2,'ESE FTE'!$E:$E,14)</f>
        <v>10.5</v>
      </c>
      <c r="E49" s="1074">
        <f t="shared" si="8"/>
        <v>21.5</v>
      </c>
      <c r="F49" s="1074"/>
      <c r="G49" s="47" t="s">
        <v>59</v>
      </c>
      <c r="H49" s="37">
        <v>253</v>
      </c>
      <c r="I49" s="125">
        <f>Consolidated!$H67</f>
        <v>6685</v>
      </c>
      <c r="J49" s="46">
        <f t="shared" si="9"/>
        <v>143727.5</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11.5</v>
      </c>
      <c r="D50" s="774">
        <f>SUM(D41:D49)</f>
        <v>11.48</v>
      </c>
      <c r="E50" s="1075">
        <f>SUM(E41:E49)</f>
        <v>22.98</v>
      </c>
      <c r="F50" s="1075"/>
      <c r="G50" s="1030" t="s">
        <v>61</v>
      </c>
      <c r="H50" s="1030"/>
      <c r="I50" s="1030"/>
      <c r="J50" s="220">
        <f>SUM(J41:J49)</f>
        <v>150343.64000000001</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48.539999999999992</v>
      </c>
      <c r="U52" s="173" t="s">
        <v>64</v>
      </c>
      <c r="V52" s="174"/>
      <c r="W52" s="175" t="s">
        <v>65</v>
      </c>
      <c r="X52" s="1037">
        <f>I53</f>
        <v>208856.94000000003</v>
      </c>
      <c r="Y52" s="1037"/>
    </row>
    <row r="53" spans="1:25" ht="16.5" customHeight="1" x14ac:dyDescent="0.25">
      <c r="A53" s="1013" t="s">
        <v>63</v>
      </c>
      <c r="B53" s="1013"/>
      <c r="C53" s="51"/>
      <c r="D53" s="51"/>
      <c r="E53" s="48">
        <f>E28</f>
        <v>48.539999999999992</v>
      </c>
      <c r="F53" s="49" t="s">
        <v>64</v>
      </c>
      <c r="G53" s="3"/>
      <c r="H53" s="50" t="s">
        <v>65</v>
      </c>
      <c r="I53" s="1111">
        <f>Consolidated!H$71</f>
        <v>208856.94000000003</v>
      </c>
      <c r="J53" s="1111"/>
      <c r="M53" s="2"/>
      <c r="R53" s="176"/>
      <c r="S53" s="177"/>
      <c r="T53" s="159"/>
      <c r="U53" s="159"/>
      <c r="V53" s="159"/>
      <c r="W53" s="178" t="s">
        <v>66</v>
      </c>
      <c r="X53" s="1038">
        <f>ROUND(T52/X52,6)</f>
        <v>2.32E-4</v>
      </c>
      <c r="Y53" s="1038"/>
    </row>
    <row r="54" spans="1:25" ht="22.5" customHeight="1" x14ac:dyDescent="0.25">
      <c r="A54" s="51"/>
      <c r="B54" s="52"/>
      <c r="C54" s="52"/>
      <c r="D54" s="52"/>
      <c r="H54" s="53" t="s">
        <v>66</v>
      </c>
      <c r="I54" s="1064">
        <f>IFERROR(ROUND(E53/I53,6),0)</f>
        <v>2.32E-4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48.539999999999992</v>
      </c>
      <c r="U55" s="173" t="s">
        <v>64</v>
      </c>
      <c r="V55" s="174"/>
      <c r="W55" s="175" t="s">
        <v>69</v>
      </c>
      <c r="X55" s="1037">
        <f>I56</f>
        <v>221542.28000000003</v>
      </c>
      <c r="Y55" s="1037"/>
    </row>
    <row r="56" spans="1:25" ht="16.5" customHeight="1" x14ac:dyDescent="0.25">
      <c r="A56" s="1013" t="s">
        <v>68</v>
      </c>
      <c r="B56" s="1013"/>
      <c r="C56" s="51"/>
      <c r="D56" s="51"/>
      <c r="E56" s="48">
        <f>G33</f>
        <v>162.34320000000002</v>
      </c>
      <c r="F56" s="49" t="s">
        <v>64</v>
      </c>
      <c r="G56" s="3"/>
      <c r="H56" s="50" t="s">
        <v>69</v>
      </c>
      <c r="I56" s="1111">
        <f>Consolidated!H$74</f>
        <v>221542.28000000003</v>
      </c>
      <c r="J56" s="1111"/>
      <c r="M56" s="2"/>
      <c r="R56" s="176"/>
      <c r="S56" s="159"/>
      <c r="T56" s="159"/>
      <c r="U56" s="159"/>
      <c r="V56" s="159"/>
      <c r="W56" s="178" t="s">
        <v>66</v>
      </c>
      <c r="X56" s="1038">
        <f>ROUND(T55/X55,6)</f>
        <v>2.1900000000000001E-4</v>
      </c>
      <c r="Y56" s="1038"/>
    </row>
    <row r="57" spans="1:25" ht="18.75" customHeight="1" x14ac:dyDescent="0.25">
      <c r="A57" s="51"/>
      <c r="H57" s="53" t="s">
        <v>66</v>
      </c>
      <c r="I57" s="1064">
        <f>IFERROR(ROUND(E56/I56,6),0)</f>
        <v>7.3300000000000004E-4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48.539999999999992</v>
      </c>
      <c r="U58" s="173" t="s">
        <v>64</v>
      </c>
      <c r="V58" s="1036" t="s">
        <v>72</v>
      </c>
      <c r="W58" s="1036"/>
      <c r="X58" s="1037">
        <f>I59</f>
        <v>175905.69000000003</v>
      </c>
      <c r="Y58" s="1037"/>
    </row>
    <row r="59" spans="1:25" ht="18.75" customHeight="1" x14ac:dyDescent="0.25">
      <c r="A59" s="1013" t="s">
        <v>71</v>
      </c>
      <c r="B59" s="1013"/>
      <c r="C59" s="51"/>
      <c r="D59" s="51"/>
      <c r="E59" s="48">
        <f>E28</f>
        <v>48.539999999999992</v>
      </c>
      <c r="F59" s="49" t="s">
        <v>64</v>
      </c>
      <c r="G59" s="1107" t="s">
        <v>72</v>
      </c>
      <c r="H59" s="1107"/>
      <c r="I59" s="1111">
        <f>Consolidated!H$77</f>
        <v>175905.69000000003</v>
      </c>
      <c r="J59" s="1111"/>
      <c r="M59" s="2"/>
      <c r="R59" s="176"/>
      <c r="S59" s="159"/>
      <c r="T59" s="159"/>
      <c r="U59" s="159"/>
      <c r="V59" s="159"/>
      <c r="W59" s="178" t="s">
        <v>66</v>
      </c>
      <c r="X59" s="1038">
        <f>ROUND(T58/X58,6)</f>
        <v>2.7599999999999999E-4</v>
      </c>
      <c r="Y59" s="1038"/>
    </row>
    <row r="60" spans="1:25" ht="18" customHeight="1" x14ac:dyDescent="0.25">
      <c r="A60" s="51"/>
      <c r="H60" s="53" t="s">
        <v>66</v>
      </c>
      <c r="I60" s="1064">
        <f>IFERROR(ROUND(E59/I59,6),0)</f>
        <v>2.7599999999999999E-4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48.539999999999992</v>
      </c>
      <c r="U61" s="173" t="s">
        <v>64</v>
      </c>
      <c r="V61" s="1036" t="s">
        <v>74</v>
      </c>
      <c r="W61" s="1036"/>
      <c r="X61" s="1037">
        <f>I62</f>
        <v>208541.94000000003</v>
      </c>
      <c r="Y61" s="1037"/>
    </row>
    <row r="62" spans="1:25" ht="30.75" customHeight="1" x14ac:dyDescent="0.25">
      <c r="A62" s="1013" t="s">
        <v>71</v>
      </c>
      <c r="B62" s="1013"/>
      <c r="C62" s="51"/>
      <c r="D62" s="51"/>
      <c r="E62" s="48">
        <f>E28</f>
        <v>48.539999999999992</v>
      </c>
      <c r="F62" s="49" t="s">
        <v>64</v>
      </c>
      <c r="G62" s="1107" t="s">
        <v>74</v>
      </c>
      <c r="H62" s="1107"/>
      <c r="I62" s="1111">
        <f>Consolidated!H$80</f>
        <v>208541.94000000003</v>
      </c>
      <c r="J62" s="1111"/>
      <c r="M62" s="2"/>
      <c r="R62" s="176"/>
      <c r="S62" s="159"/>
      <c r="T62" s="159"/>
      <c r="U62" s="159"/>
      <c r="V62" s="159"/>
      <c r="W62" s="178" t="s">
        <v>66</v>
      </c>
      <c r="X62" s="1038">
        <f>ROUND(T61/X61,6)</f>
        <v>2.33E-4</v>
      </c>
      <c r="Y62" s="1038"/>
    </row>
    <row r="63" spans="1:25" ht="19.5" customHeight="1" x14ac:dyDescent="0.25">
      <c r="A63" s="51"/>
      <c r="H63" s="53" t="s">
        <v>66</v>
      </c>
      <c r="I63" s="1064">
        <f>IFERROR(ROUND(E62/I62,6),0)</f>
        <v>2.33E-4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48.539999999999992</v>
      </c>
      <c r="U64" s="173" t="s">
        <v>64</v>
      </c>
      <c r="V64" s="1036" t="s">
        <v>159</v>
      </c>
      <c r="W64" s="1036"/>
      <c r="X64" s="1037">
        <f>I65</f>
        <v>175590.69000000003</v>
      </c>
      <c r="Y64" s="1037"/>
    </row>
    <row r="65" spans="1:26" ht="49.5" customHeight="1" x14ac:dyDescent="0.25">
      <c r="A65" s="1013" t="s">
        <v>71</v>
      </c>
      <c r="B65" s="1013"/>
      <c r="C65" s="51"/>
      <c r="D65" s="51"/>
      <c r="E65" s="48">
        <f>E28</f>
        <v>48.539999999999992</v>
      </c>
      <c r="F65" s="49" t="s">
        <v>64</v>
      </c>
      <c r="G65" s="1107" t="s">
        <v>76</v>
      </c>
      <c r="H65" s="1107"/>
      <c r="I65" s="1111">
        <f>Consolidated!H$83</f>
        <v>175590.69000000003</v>
      </c>
      <c r="J65" s="1111"/>
      <c r="M65" s="2"/>
      <c r="R65" s="179"/>
      <c r="S65" s="159"/>
      <c r="T65" s="159"/>
      <c r="U65" s="159"/>
      <c r="V65" s="159"/>
      <c r="W65" s="178" t="s">
        <v>66</v>
      </c>
      <c r="X65" s="1038">
        <f>ROUND(T64/X64,6)</f>
        <v>2.7599999999999999E-4</v>
      </c>
      <c r="Y65" s="1038"/>
    </row>
    <row r="66" spans="1:26" ht="19.5" customHeight="1" x14ac:dyDescent="0.25">
      <c r="A66" s="51"/>
      <c r="H66" s="53" t="s">
        <v>66</v>
      </c>
      <c r="I66" s="1064">
        <f>IFERROR(ROUND(E65/I65,6),0)</f>
        <v>2.7599999999999999E-4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2.33E-4</v>
      </c>
      <c r="Y67" s="215">
        <f>ROUND(V67*X67,2)</f>
        <v>10686.94</v>
      </c>
    </row>
    <row r="68" spans="1:26" ht="30.75" customHeight="1" x14ac:dyDescent="0.25">
      <c r="A68" s="1065" t="s">
        <v>77</v>
      </c>
      <c r="B68" s="1065"/>
      <c r="C68" s="1065"/>
      <c r="D68" s="1065"/>
      <c r="E68" s="1065"/>
      <c r="F68" s="36" t="s">
        <v>78</v>
      </c>
      <c r="G68" s="221">
        <f>Consolidated!F$86</f>
        <v>45866714</v>
      </c>
      <c r="H68" s="37" t="s">
        <v>79</v>
      </c>
      <c r="I68" s="41">
        <f>I63</f>
        <v>2.33E-4</v>
      </c>
      <c r="J68" s="127">
        <f>ROUND(G68*I68,2)</f>
        <v>10686.94</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2.32E-4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2.32E-4</v>
      </c>
      <c r="J70" s="127">
        <f>ROUND(G70*I70,2)</f>
        <v>0</v>
      </c>
      <c r="M70" s="2"/>
      <c r="R70" s="1015" t="s">
        <v>161</v>
      </c>
      <c r="S70" s="1015"/>
      <c r="T70" s="1015"/>
      <c r="U70" s="158"/>
      <c r="V70" s="182">
        <f>G71</f>
        <v>18834423</v>
      </c>
      <c r="W70" s="162" t="s">
        <v>79</v>
      </c>
      <c r="X70" s="165">
        <f>X65</f>
        <v>2.7599999999999999E-4</v>
      </c>
      <c r="Y70" s="212">
        <f t="shared" si="11"/>
        <v>5198.3</v>
      </c>
    </row>
    <row r="71" spans="1:26" ht="19.5" customHeight="1" x14ac:dyDescent="0.25">
      <c r="A71" s="1012" t="s">
        <v>83</v>
      </c>
      <c r="B71" s="1012"/>
      <c r="C71" s="1012"/>
      <c r="D71" s="1012"/>
      <c r="E71" s="1012"/>
      <c r="F71" s="36" t="s">
        <v>84</v>
      </c>
      <c r="G71" s="221">
        <f>Consolidated!F$91</f>
        <v>18834423</v>
      </c>
      <c r="H71" s="37" t="s">
        <v>79</v>
      </c>
      <c r="I71" s="41">
        <f>I66</f>
        <v>2.7599999999999999E-4</v>
      </c>
      <c r="J71" s="127">
        <f>ROUND(G71*I71,2)</f>
        <v>5198.3</v>
      </c>
      <c r="M71" s="2"/>
      <c r="R71" s="166" t="s">
        <v>162</v>
      </c>
      <c r="S71" s="166"/>
      <c r="T71" s="166"/>
      <c r="U71" s="158"/>
      <c r="V71" s="160">
        <f>G72</f>
        <v>11226031</v>
      </c>
      <c r="W71" s="162" t="s">
        <v>79</v>
      </c>
      <c r="X71" s="165">
        <f>X59</f>
        <v>2.7599999999999999E-4</v>
      </c>
      <c r="Y71" s="212">
        <f t="shared" si="11"/>
        <v>3098.38</v>
      </c>
    </row>
    <row r="72" spans="1:26" ht="19.5" customHeight="1" x14ac:dyDescent="0.25">
      <c r="A72" s="42" t="s">
        <v>85</v>
      </c>
      <c r="B72" s="42"/>
      <c r="C72" s="42"/>
      <c r="D72" s="42"/>
      <c r="E72" s="42"/>
      <c r="F72" s="36" t="s">
        <v>86</v>
      </c>
      <c r="G72" s="221">
        <f>Consolidated!F$93</f>
        <v>11226031</v>
      </c>
      <c r="H72" s="37" t="s">
        <v>79</v>
      </c>
      <c r="I72" s="41">
        <f>I60</f>
        <v>2.7599999999999999E-4</v>
      </c>
      <c r="J72" s="127">
        <f>ROUND(G72*I72,2)</f>
        <v>3098.38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7.3300000000000004E-4</v>
      </c>
      <c r="J85" s="127">
        <f>ROUND(G85*I85,2)</f>
        <v>208095.18</v>
      </c>
      <c r="K85" s="70"/>
      <c r="L85" s="70"/>
      <c r="M85" s="71"/>
      <c r="N85" s="70"/>
      <c r="O85" s="70"/>
      <c r="P85" s="70"/>
      <c r="Q85" s="70"/>
      <c r="R85" s="1015" t="s">
        <v>166</v>
      </c>
      <c r="S85" s="1015"/>
      <c r="T85" s="1015"/>
      <c r="U85" s="158"/>
      <c r="V85" s="160">
        <f>G85</f>
        <v>283895192</v>
      </c>
      <c r="W85" s="162" t="s">
        <v>79</v>
      </c>
      <c r="X85" s="165">
        <f>X56</f>
        <v>2.1900000000000001E-4</v>
      </c>
      <c r="Y85" s="212">
        <f t="shared" ref="Y85:Y87" si="12">ROUND(V85*X85,2)</f>
        <v>62173.05</v>
      </c>
    </row>
    <row r="86" spans="1:26" ht="14.25" customHeight="1" x14ac:dyDescent="0.25">
      <c r="A86" s="1012" t="s">
        <v>102</v>
      </c>
      <c r="B86" s="1012"/>
      <c r="C86" s="1012"/>
      <c r="D86" s="1012"/>
      <c r="E86" s="1012"/>
      <c r="F86" s="36" t="s">
        <v>101</v>
      </c>
      <c r="G86" s="128">
        <v>0</v>
      </c>
      <c r="H86" s="37" t="s">
        <v>79</v>
      </c>
      <c r="I86" s="41">
        <f>I57</f>
        <v>7.3300000000000004E-4</v>
      </c>
      <c r="J86" s="127">
        <f>ROUND(G86*I86,2)</f>
        <v>0</v>
      </c>
      <c r="K86" s="70"/>
      <c r="L86" s="71"/>
      <c r="M86" s="76"/>
      <c r="N86" s="76"/>
      <c r="O86" s="76"/>
      <c r="P86" s="76"/>
      <c r="Q86" s="70"/>
      <c r="R86" s="1015" t="s">
        <v>167</v>
      </c>
      <c r="S86" s="1015"/>
      <c r="T86" s="1015"/>
      <c r="U86" s="158"/>
      <c r="V86" s="192">
        <f>G86</f>
        <v>0</v>
      </c>
      <c r="W86" s="162" t="s">
        <v>79</v>
      </c>
      <c r="X86" s="165">
        <f>X56</f>
        <v>2.1900000000000001E-4</v>
      </c>
      <c r="Y86" s="212">
        <f t="shared" si="12"/>
        <v>0</v>
      </c>
    </row>
    <row r="87" spans="1:26" ht="18" customHeight="1" x14ac:dyDescent="0.25">
      <c r="A87" s="1012" t="s">
        <v>103</v>
      </c>
      <c r="B87" s="1012"/>
      <c r="C87" s="1012"/>
      <c r="D87" s="1012"/>
      <c r="E87" s="1012"/>
      <c r="F87" s="36" t="s">
        <v>82</v>
      </c>
      <c r="G87" s="128">
        <v>0</v>
      </c>
      <c r="H87" s="37" t="s">
        <v>79</v>
      </c>
      <c r="I87" s="41">
        <f>I54</f>
        <v>2.32E-4</v>
      </c>
      <c r="J87" s="62">
        <f>ROUND(G87*I87,2)</f>
        <v>0</v>
      </c>
      <c r="K87" s="77"/>
      <c r="L87" s="70"/>
      <c r="M87" s="71"/>
      <c r="N87" s="70"/>
      <c r="O87" s="70"/>
      <c r="P87" s="70"/>
      <c r="Q87" s="70"/>
      <c r="R87" s="166" t="s">
        <v>168</v>
      </c>
      <c r="S87" s="166"/>
      <c r="T87" s="166"/>
      <c r="U87" s="158"/>
      <c r="V87" s="192">
        <f>G87</f>
        <v>0</v>
      </c>
      <c r="W87" s="162" t="s">
        <v>79</v>
      </c>
      <c r="X87" s="165">
        <f>X53</f>
        <v>2.32E-4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47.366100000000003</v>
      </c>
      <c r="C90" s="80"/>
      <c r="D90" s="981">
        <f>I6</f>
        <v>1.0309999999999999</v>
      </c>
      <c r="E90" s="981"/>
      <c r="F90" s="981"/>
      <c r="G90" s="113">
        <f>Consolidated!F$118</f>
        <v>961.57</v>
      </c>
      <c r="H90" s="47" t="s">
        <v>66</v>
      </c>
      <c r="I90" s="130">
        <f>ROUND(B90*D90*G90,2)</f>
        <v>46957.74</v>
      </c>
      <c r="J90" s="81"/>
      <c r="K90" s="70"/>
      <c r="L90" s="70"/>
      <c r="M90" s="71"/>
      <c r="N90" s="70"/>
      <c r="O90" s="70"/>
      <c r="P90" s="70"/>
      <c r="Q90" s="70"/>
      <c r="R90" s="155" t="s">
        <v>108</v>
      </c>
      <c r="S90" s="193">
        <f>X12+X13+X18+X21+X24</f>
        <v>8.02</v>
      </c>
      <c r="T90" s="1044">
        <f>X6</f>
        <v>1.0309999999999999</v>
      </c>
      <c r="U90" s="1044"/>
      <c r="V90" s="113">
        <f>G90</f>
        <v>961.57</v>
      </c>
      <c r="W90" s="171" t="s">
        <v>66</v>
      </c>
      <c r="X90" s="216">
        <f>ROUND(S90*T90*V90,2)</f>
        <v>7950.86</v>
      </c>
      <c r="Y90" s="194"/>
    </row>
    <row r="91" spans="1:26" ht="21" customHeight="1" x14ac:dyDescent="0.25">
      <c r="A91" s="82" t="s">
        <v>58</v>
      </c>
      <c r="B91" s="80">
        <f>I14+I15+I19+I22+I25</f>
        <v>33.545000000000002</v>
      </c>
      <c r="C91" s="80"/>
      <c r="D91" s="981">
        <f>I6</f>
        <v>1.0309999999999999</v>
      </c>
      <c r="E91" s="981"/>
      <c r="F91" s="981"/>
      <c r="G91" s="113">
        <f>Consolidated!F$119</f>
        <v>918.1</v>
      </c>
      <c r="H91" s="47" t="s">
        <v>66</v>
      </c>
      <c r="I91" s="129">
        <f>ROUND(B91*D91*G91,2)</f>
        <v>31752.39</v>
      </c>
      <c r="K91" s="70"/>
      <c r="L91" s="70"/>
      <c r="M91" s="71"/>
      <c r="N91" s="70"/>
      <c r="O91" s="70"/>
      <c r="P91" s="70"/>
      <c r="Q91" s="70"/>
      <c r="R91" s="195" t="s">
        <v>58</v>
      </c>
      <c r="S91" s="193">
        <f>X14+X15+X19+X22+X25</f>
        <v>6.5</v>
      </c>
      <c r="T91" s="1044">
        <f>X6</f>
        <v>1.0309999999999999</v>
      </c>
      <c r="U91" s="1044"/>
      <c r="V91" s="113">
        <f>G91</f>
        <v>918.1</v>
      </c>
      <c r="W91" s="171" t="s">
        <v>66</v>
      </c>
      <c r="X91" s="216">
        <f>ROUND(S91*T91*V91,2)</f>
        <v>6152.65</v>
      </c>
      <c r="Y91" s="159"/>
    </row>
    <row r="92" spans="1:26" ht="19.5" customHeight="1" thickBot="1" x14ac:dyDescent="0.3">
      <c r="A92" s="83" t="s">
        <v>59</v>
      </c>
      <c r="B92" s="80">
        <f>I16+I17+I20+I23+I26+I27</f>
        <v>81.432100000000005</v>
      </c>
      <c r="C92" s="80"/>
      <c r="D92" s="981">
        <f>I6</f>
        <v>1.0309999999999999</v>
      </c>
      <c r="E92" s="981"/>
      <c r="F92" s="981"/>
      <c r="G92" s="113">
        <f>Consolidated!F$120</f>
        <v>920.31</v>
      </c>
      <c r="H92" s="47" t="s">
        <v>66</v>
      </c>
      <c r="I92" s="532">
        <f>ROUND(B92*D92*G92,2)</f>
        <v>77266</v>
      </c>
      <c r="K92" s="70"/>
      <c r="L92" s="70"/>
      <c r="M92" s="71"/>
      <c r="N92" s="70"/>
      <c r="O92" s="70"/>
      <c r="P92" s="70"/>
      <c r="Q92" s="70"/>
      <c r="R92" s="196" t="s">
        <v>59</v>
      </c>
      <c r="S92" s="197">
        <f>X16+X17+X20+X23+X26+X27</f>
        <v>34.019999999999996</v>
      </c>
      <c r="T92" s="1044">
        <f>X6</f>
        <v>1.0309999999999999</v>
      </c>
      <c r="U92" s="1044"/>
      <c r="V92" s="113">
        <f>G92</f>
        <v>920.31</v>
      </c>
      <c r="W92" s="171" t="s">
        <v>66</v>
      </c>
      <c r="X92" s="216">
        <f>ROUND(S92*T92*V92,2)</f>
        <v>32279.52</v>
      </c>
      <c r="Y92" s="159"/>
    </row>
    <row r="93" spans="1:26" ht="18.75" customHeight="1" thickBot="1" x14ac:dyDescent="0.3">
      <c r="A93" s="84" t="s">
        <v>109</v>
      </c>
      <c r="B93" s="80">
        <f>SUM(B90:B92)</f>
        <v>162.34320000000002</v>
      </c>
      <c r="C93" s="80"/>
      <c r="D93" s="80"/>
      <c r="E93" s="1059" t="s">
        <v>110</v>
      </c>
      <c r="F93" s="1059"/>
      <c r="G93" s="1059"/>
      <c r="H93" s="1059"/>
      <c r="I93" s="1059"/>
      <c r="J93" s="116">
        <f>IF(A1=75,0,I92+I91+I90)</f>
        <v>155976.13</v>
      </c>
      <c r="K93" s="70"/>
      <c r="L93" s="70"/>
      <c r="M93" s="71"/>
      <c r="N93" s="70"/>
      <c r="O93" s="70"/>
      <c r="P93" s="70"/>
      <c r="Q93" s="70"/>
      <c r="R93" s="198" t="s">
        <v>109</v>
      </c>
      <c r="S93" s="199">
        <f>SUM(S90:S92)</f>
        <v>48.539999999999992</v>
      </c>
      <c r="T93" s="1045" t="s">
        <v>110</v>
      </c>
      <c r="U93" s="1046"/>
      <c r="V93" s="1046"/>
      <c r="W93" s="1046"/>
      <c r="X93" s="1046"/>
      <c r="Y93" s="212">
        <f>IF(R1=75,0,X92+X91+X90)</f>
        <v>46383.03</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27</v>
      </c>
      <c r="U96" s="1050"/>
      <c r="V96" s="1050"/>
      <c r="W96" s="200" t="s">
        <v>115</v>
      </c>
      <c r="X96" s="201">
        <f>I97</f>
        <v>583</v>
      </c>
      <c r="Y96" s="212">
        <f>ROUND(X96*T96,2)</f>
        <v>15741</v>
      </c>
    </row>
    <row r="97" spans="1:25" ht="17.25" customHeight="1" x14ac:dyDescent="0.25">
      <c r="A97" s="1030" t="s">
        <v>114</v>
      </c>
      <c r="B97" s="1030"/>
      <c r="C97" s="223">
        <v>26</v>
      </c>
      <c r="D97" s="223">
        <v>28</v>
      </c>
      <c r="E97" s="974">
        <f>IF(D97&gt;0,(C97+D97)/2,C97)</f>
        <v>27</v>
      </c>
      <c r="F97" s="974"/>
      <c r="G97" s="974"/>
      <c r="H97" s="85" t="s">
        <v>115</v>
      </c>
      <c r="I97" s="119">
        <f>Consolidated!G$127</f>
        <v>583</v>
      </c>
      <c r="J97" s="127">
        <f>ROUND(I97*E97,2)</f>
        <v>15741</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062">
        <f>(C98+D98)/2</f>
        <v>0</v>
      </c>
      <c r="F98" s="1062"/>
      <c r="G98" s="1062"/>
      <c r="H98" s="85" t="s">
        <v>115</v>
      </c>
      <c r="I98" s="119">
        <f>Consolidated!G$128</f>
        <v>1806</v>
      </c>
      <c r="J98" s="127">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95">
        <f>SUM(J106,J105,J98,J97,J93,J86,J85,J71,J70,J68,J33,J72,J50,J87,J84)</f>
        <v>1462609.9499999997</v>
      </c>
      <c r="L107" s="533"/>
      <c r="R107" s="1015" t="s">
        <v>123</v>
      </c>
      <c r="S107" s="1015"/>
      <c r="T107" s="1015"/>
      <c r="U107" s="1015"/>
      <c r="V107" s="1015"/>
      <c r="W107" s="1015"/>
      <c r="X107" s="1015"/>
      <c r="Y107" s="208">
        <f>SUM(Y106,Y105,Y97,Y96,Y93,Y86,Y85,Y84,Y70,Y69,Y67,Y33,Y71,Y50,Y87,Y83)</f>
        <v>416404.88</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96">
        <f>J107-J38</f>
        <v>1387705.3699999996</v>
      </c>
      <c r="R109" s="159" t="s">
        <v>174</v>
      </c>
      <c r="S109" s="159"/>
      <c r="T109" s="159"/>
      <c r="U109" s="159"/>
      <c r="V109" s="159"/>
      <c r="W109" s="159"/>
      <c r="X109" s="159"/>
      <c r="Y109" s="209">
        <f>Y107-Y38</f>
        <v>341500.3</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v>1</v>
      </c>
      <c r="J111" s="46">
        <f>Y109</f>
        <v>341500.3</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638"/>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39">
        <f>IF(I111=1,J111,J109)</f>
        <v>341500.3</v>
      </c>
      <c r="J114" s="640">
        <f>ROUND(IF(E28=0,0,IF(E28&gt;250,-(((250/E28)*I114)*IF(H113="H",0.02,0.05)),IF(H113="H",-0.02*I114,-0.05*I114))),2)</f>
        <v>-17075.02</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1445534.9299999997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Payments'!R79</f>
        <v>-241773.58000000002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1203761.3499999996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120376.14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ROUND(IF(H113="H",(I114*0.02)+J114,(I114*0.05)+J114),2)</f>
        <v>-0.01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35"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483</v>
      </c>
      <c r="B2" s="101"/>
      <c r="C2" s="101"/>
      <c r="D2" s="101"/>
      <c r="E2" s="6"/>
      <c r="F2" s="6"/>
      <c r="G2" s="6"/>
      <c r="H2" s="6"/>
      <c r="I2" s="685" t="str">
        <f>RIGHT(A2,4)</f>
        <v>2791</v>
      </c>
      <c r="J2" s="6"/>
      <c r="K2" s="6"/>
      <c r="L2" s="6"/>
      <c r="M2" s="6"/>
      <c r="N2" s="6"/>
      <c r="O2" s="6"/>
      <c r="P2" s="6"/>
      <c r="Q2" s="6"/>
      <c r="R2" s="987" t="str">
        <f>Revenue_Estimate_Worksheet_for___________Charter_School</f>
        <v>Revenue Estimate Worksheet: The Learning Center at The Els Center of Excellence - 2791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3</v>
      </c>
      <c r="D13" s="389">
        <f>SUMIFS('Surv2-3'!K:K,'Surv2-3'!$H:$H,$I$2,'Surv2-3'!$I:$I,$O13)</f>
        <v>1.04</v>
      </c>
      <c r="E13" s="1080">
        <f t="shared" si="0"/>
        <v>4.04</v>
      </c>
      <c r="F13" s="1080"/>
      <c r="G13" s="1086">
        <f>Consolidated!$F15</f>
        <v>1.107</v>
      </c>
      <c r="H13" s="1086">
        <f>Consolidated!$H$9</f>
        <v>1</v>
      </c>
      <c r="I13" s="534">
        <f t="shared" ref="I13:I27" si="3">ROUND(E13*G13,4)</f>
        <v>4.4722999999999997</v>
      </c>
      <c r="J13" s="535">
        <f t="shared" si="1"/>
        <v>25164.67</v>
      </c>
      <c r="L13" s="21"/>
      <c r="M13" s="2"/>
      <c r="O13" s="2" t="str">
        <f t="shared" si="2"/>
        <v>111</v>
      </c>
      <c r="R13" s="1006" t="s">
        <v>21</v>
      </c>
      <c r="S13" s="1006"/>
      <c r="T13" s="1004">
        <f t="shared" ref="T13:T27" si="4">IF($I$111=1,E13,0)</f>
        <v>4.04</v>
      </c>
      <c r="U13" s="1004"/>
      <c r="V13" s="1010">
        <v>1</v>
      </c>
      <c r="W13" s="1010"/>
      <c r="X13" s="145">
        <f t="shared" ref="X13:X27" si="5">ROUND(T13*V13,4)</f>
        <v>4.04</v>
      </c>
      <c r="Y13" s="212">
        <f t="shared" ref="Y13" si="6">ROUND(ROUND(ROUND(X13*$E$6,4)*($I$6),2)*(MAX($I$7,1)),2)</f>
        <v>22732.21</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v>
      </c>
      <c r="D15" s="389">
        <f>SUMIFS('Surv2-3'!L:L,'Surv2-3'!$H:$H,$I$2,'Surv2-3'!$I:$I,$O15)</f>
        <v>0</v>
      </c>
      <c r="E15" s="1080">
        <f t="shared" si="0"/>
        <v>1</v>
      </c>
      <c r="F15" s="1080"/>
      <c r="G15" s="1086">
        <f>Consolidated!$F17</f>
        <v>1</v>
      </c>
      <c r="H15" s="1086">
        <f>Consolidated!$H$9</f>
        <v>1</v>
      </c>
      <c r="I15" s="534">
        <f t="shared" si="3"/>
        <v>1</v>
      </c>
      <c r="J15" s="535">
        <f t="shared" si="1"/>
        <v>5626.79</v>
      </c>
      <c r="M15" s="2"/>
      <c r="O15" s="2" t="str">
        <f t="shared" si="2"/>
        <v>112</v>
      </c>
      <c r="R15" s="1006" t="s">
        <v>23</v>
      </c>
      <c r="S15" s="1006"/>
      <c r="T15" s="1004">
        <f t="shared" si="4"/>
        <v>1</v>
      </c>
      <c r="U15" s="1004"/>
      <c r="V15" s="1010">
        <v>1</v>
      </c>
      <c r="W15" s="1010"/>
      <c r="X15" s="145">
        <f t="shared" si="5"/>
        <v>1</v>
      </c>
      <c r="Y15" s="212">
        <f t="shared" ref="Y15:Y27" si="7">ROUND(ROUND(ROUND(X15*$E$6,4)*($I$6),2)*(MAX($I$7,1)),2)</f>
        <v>5626.79</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36</v>
      </c>
      <c r="D18" s="389">
        <f>SUMIFS('Surv2-3'!K:K,'Surv2-3'!$H:$H,$I$2,'Surv2-3'!$I:$I,$O18)</f>
        <v>28.52</v>
      </c>
      <c r="E18" s="1080">
        <f t="shared" si="0"/>
        <v>64.52</v>
      </c>
      <c r="F18" s="1080"/>
      <c r="G18" s="1086">
        <f>Consolidated!$F20</f>
        <v>3.5150000000000001</v>
      </c>
      <c r="H18" s="1086">
        <f>Consolidated!$H$9</f>
        <v>1</v>
      </c>
      <c r="I18" s="534">
        <f t="shared" si="3"/>
        <v>226.7878</v>
      </c>
      <c r="J18" s="535">
        <f t="shared" si="1"/>
        <v>1276086.33</v>
      </c>
      <c r="M18" s="2"/>
      <c r="O18" s="2" t="str">
        <f t="shared" si="2"/>
        <v>254</v>
      </c>
      <c r="R18" s="1006" t="s">
        <v>26</v>
      </c>
      <c r="S18" s="1006"/>
      <c r="T18" s="1004">
        <f t="shared" si="4"/>
        <v>64.52</v>
      </c>
      <c r="U18" s="1004"/>
      <c r="V18" s="1010">
        <v>1</v>
      </c>
      <c r="W18" s="1010"/>
      <c r="X18" s="145">
        <f t="shared" si="5"/>
        <v>64.52</v>
      </c>
      <c r="Y18" s="212">
        <f t="shared" si="7"/>
        <v>363040.21</v>
      </c>
    </row>
    <row r="19" spans="1:25" x14ac:dyDescent="0.25">
      <c r="A19" s="975" t="s">
        <v>27</v>
      </c>
      <c r="B19" s="975"/>
      <c r="C19" s="389">
        <f>SUMIFS('Surv2-3'!E:E,'Surv2-3'!$A:$A,$I$2,'Surv2-3'!$B:$B,$O19)</f>
        <v>24.5</v>
      </c>
      <c r="D19" s="389">
        <f>SUMIFS('Surv2-3'!L:L,'Surv2-3'!$H:$H,$I$2,'Surv2-3'!$I:$I,$O19)</f>
        <v>19.5</v>
      </c>
      <c r="E19" s="1080">
        <f t="shared" si="0"/>
        <v>44</v>
      </c>
      <c r="F19" s="1080"/>
      <c r="G19" s="1086">
        <f>Consolidated!$F21</f>
        <v>3.5150000000000001</v>
      </c>
      <c r="H19" s="1086">
        <f>Consolidated!$H$9</f>
        <v>1</v>
      </c>
      <c r="I19" s="534">
        <f t="shared" si="3"/>
        <v>154.66</v>
      </c>
      <c r="J19" s="535">
        <f t="shared" si="1"/>
        <v>870238.66</v>
      </c>
      <c r="M19" s="2"/>
      <c r="O19" s="2" t="str">
        <f t="shared" si="2"/>
        <v>254</v>
      </c>
      <c r="R19" s="1006" t="s">
        <v>27</v>
      </c>
      <c r="S19" s="1006"/>
      <c r="T19" s="1004">
        <f t="shared" si="4"/>
        <v>44</v>
      </c>
      <c r="U19" s="1004"/>
      <c r="V19" s="1010">
        <v>1</v>
      </c>
      <c r="W19" s="1010"/>
      <c r="X19" s="145">
        <f t="shared" si="5"/>
        <v>44</v>
      </c>
      <c r="Y19" s="212">
        <f t="shared" si="7"/>
        <v>247578.57</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13.5</v>
      </c>
      <c r="D21" s="389">
        <f>SUMIFS('Surv2-3'!K:K,'Surv2-3'!$H:$H,$I$2,'Surv2-3'!$I:$I,$O21)</f>
        <v>23.5</v>
      </c>
      <c r="E21" s="1080">
        <f t="shared" si="0"/>
        <v>37</v>
      </c>
      <c r="F21" s="1080"/>
      <c r="G21" s="1086">
        <f>Consolidated!$F23</f>
        <v>5.9059999999999997</v>
      </c>
      <c r="H21" s="1086">
        <f>Consolidated!$H$9</f>
        <v>1</v>
      </c>
      <c r="I21" s="534">
        <f t="shared" si="3"/>
        <v>218.52199999999999</v>
      </c>
      <c r="J21" s="535">
        <f t="shared" si="1"/>
        <v>1229576.44</v>
      </c>
      <c r="M21" s="2"/>
      <c r="O21" s="2" t="str">
        <f t="shared" si="2"/>
        <v>255</v>
      </c>
      <c r="R21" s="1006" t="s">
        <v>29</v>
      </c>
      <c r="S21" s="1006"/>
      <c r="T21" s="1004">
        <f t="shared" si="4"/>
        <v>37</v>
      </c>
      <c r="U21" s="1004"/>
      <c r="V21" s="1010">
        <v>1</v>
      </c>
      <c r="W21" s="1010"/>
      <c r="X21" s="145">
        <f t="shared" si="5"/>
        <v>37</v>
      </c>
      <c r="Y21" s="212">
        <f t="shared" si="7"/>
        <v>208191.07</v>
      </c>
    </row>
    <row r="22" spans="1:25" ht="15" customHeight="1" x14ac:dyDescent="0.25">
      <c r="A22" s="975" t="s">
        <v>30</v>
      </c>
      <c r="B22" s="975"/>
      <c r="C22" s="389">
        <f>SUMIFS('Surv2-3'!E:E,'Surv2-3'!$A:$A,$I$2,'Surv2-3'!$B:$B,$O22)</f>
        <v>8.5</v>
      </c>
      <c r="D22" s="389">
        <f>SUMIFS('Surv2-3'!L:L,'Surv2-3'!$H:$H,$I$2,'Surv2-3'!$I:$I,$O22)</f>
        <v>14</v>
      </c>
      <c r="E22" s="1080">
        <f t="shared" si="0"/>
        <v>22.5</v>
      </c>
      <c r="F22" s="1080"/>
      <c r="G22" s="1086">
        <f>Consolidated!$F24</f>
        <v>5.9059999999999997</v>
      </c>
      <c r="H22" s="1086">
        <f>Consolidated!$H$9</f>
        <v>1</v>
      </c>
      <c r="I22" s="534">
        <f t="shared" si="3"/>
        <v>132.88499999999999</v>
      </c>
      <c r="J22" s="535">
        <f t="shared" si="1"/>
        <v>747715.4</v>
      </c>
      <c r="M22" s="2"/>
      <c r="O22" s="2" t="str">
        <f t="shared" si="2"/>
        <v>255</v>
      </c>
      <c r="R22" s="1006" t="s">
        <v>30</v>
      </c>
      <c r="S22" s="1006"/>
      <c r="T22" s="1004">
        <f t="shared" si="4"/>
        <v>22.5</v>
      </c>
      <c r="U22" s="1004"/>
      <c r="V22" s="1010">
        <v>1</v>
      </c>
      <c r="W22" s="1010"/>
      <c r="X22" s="145">
        <f t="shared" si="5"/>
        <v>22.5</v>
      </c>
      <c r="Y22" s="212">
        <f t="shared" si="7"/>
        <v>126602.68</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86.5</v>
      </c>
      <c r="D28" s="773">
        <f>SUM(D12:D27)</f>
        <v>86.56</v>
      </c>
      <c r="E28" s="1085">
        <f>SUM(E12:E27)</f>
        <v>173.06</v>
      </c>
      <c r="F28" s="1085"/>
      <c r="G28" s="1080"/>
      <c r="H28" s="1080"/>
      <c r="I28" s="23">
        <f>SUM(I12:I27)</f>
        <v>738.32709999999997</v>
      </c>
      <c r="J28" s="116">
        <f>SUM(J12:J27)</f>
        <v>4154408.29</v>
      </c>
      <c r="M28" s="2"/>
      <c r="R28" s="1023" t="s">
        <v>36</v>
      </c>
      <c r="S28" s="1023"/>
      <c r="T28" s="1024">
        <f>SUM(T12:T27)</f>
        <v>173.06</v>
      </c>
      <c r="U28" s="1024"/>
      <c r="V28" s="1025"/>
      <c r="W28" s="1025"/>
      <c r="X28" s="147">
        <f>SUM(X12:X27)</f>
        <v>173.06</v>
      </c>
      <c r="Y28" s="212">
        <f>SUM(Y12:Y27)</f>
        <v>973771.53</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738.32709999999997</v>
      </c>
      <c r="H33" s="1080" t="s">
        <v>45</v>
      </c>
      <c r="I33" s="1080"/>
      <c r="J33" s="32">
        <f>SUM(J32,J28)</f>
        <v>4154408.29</v>
      </c>
      <c r="M33" s="2"/>
      <c r="R33" s="1029" t="s">
        <v>44</v>
      </c>
      <c r="S33" s="1029"/>
      <c r="T33" s="1029"/>
      <c r="U33" s="1029"/>
      <c r="V33" s="153">
        <f>V32+X28</f>
        <v>173.06</v>
      </c>
      <c r="W33" s="1025" t="s">
        <v>45</v>
      </c>
      <c r="X33" s="1025"/>
      <c r="Y33" s="154">
        <f>SUM(Y32,Y28)</f>
        <v>973771.53</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4154408.29</v>
      </c>
      <c r="H36" s="37" t="s">
        <v>48</v>
      </c>
      <c r="I36" s="38">
        <f>Consolidated!H53</f>
        <v>7.1400000000000005E-2</v>
      </c>
      <c r="J36" s="120">
        <f>ROUND(G36*I36,2)</f>
        <v>296624.75</v>
      </c>
      <c r="K36" s="39"/>
      <c r="L36" s="33"/>
      <c r="M36" s="33"/>
      <c r="N36" s="33"/>
      <c r="O36" s="31"/>
      <c r="P36" s="34"/>
      <c r="Q36" s="34"/>
      <c r="R36" s="1006" t="str">
        <f>A36</f>
        <v>Maintenance Portion (7.14% of Conference Funding)</v>
      </c>
      <c r="S36" s="1006"/>
      <c r="T36" s="1006"/>
      <c r="U36" s="158"/>
      <c r="V36" s="161">
        <f>Y28</f>
        <v>973771.53</v>
      </c>
      <c r="W36" s="162" t="s">
        <v>48</v>
      </c>
      <c r="X36" s="163">
        <f>I36</f>
        <v>7.1400000000000005E-2</v>
      </c>
      <c r="Y36" s="212">
        <f>J36</f>
        <v>296624.75</v>
      </c>
    </row>
    <row r="37" spans="1:25" ht="20.25" customHeight="1" x14ac:dyDescent="0.25">
      <c r="A37" s="975" t="str">
        <f>Consolidated!B54</f>
        <v>Growth Portion (1.06% of Conference Funding)</v>
      </c>
      <c r="B37" s="975"/>
      <c r="C37" s="975"/>
      <c r="D37" s="975"/>
      <c r="E37" s="975"/>
      <c r="F37" s="36" t="s">
        <v>47</v>
      </c>
      <c r="G37" s="121">
        <v>4154408.29</v>
      </c>
      <c r="H37" s="37" t="s">
        <v>48</v>
      </c>
      <c r="I37" s="38">
        <f>Consolidated!H54</f>
        <v>1.06E-2</v>
      </c>
      <c r="J37" s="120">
        <f>ROUND(G37*I37,2)</f>
        <v>44036.73</v>
      </c>
      <c r="K37" s="39"/>
      <c r="L37" s="33"/>
      <c r="M37" s="33"/>
      <c r="N37" s="33"/>
      <c r="O37" s="31"/>
      <c r="P37" s="34"/>
      <c r="Q37" s="34"/>
      <c r="R37" s="1006" t="str">
        <f>A37</f>
        <v>Growth Portion (1.06% of Conference Funding)</v>
      </c>
      <c r="S37" s="1006"/>
      <c r="T37" s="1006"/>
      <c r="U37" s="158"/>
      <c r="V37" s="161">
        <f>Y28</f>
        <v>973771.53</v>
      </c>
      <c r="W37" s="162" t="s">
        <v>48</v>
      </c>
      <c r="X37" s="163">
        <f>I37</f>
        <v>1.06E-2</v>
      </c>
      <c r="Y37" s="212">
        <f>J37</f>
        <v>44036.73</v>
      </c>
    </row>
    <row r="38" spans="1:25" ht="20.25" customHeight="1" x14ac:dyDescent="0.25">
      <c r="A38" s="1012" t="s">
        <v>49</v>
      </c>
      <c r="B38" s="1012"/>
      <c r="C38" s="1012"/>
      <c r="D38" s="1012"/>
      <c r="E38" s="1012"/>
      <c r="F38" s="36" t="s">
        <v>50</v>
      </c>
      <c r="G38" s="40"/>
      <c r="H38" s="37"/>
      <c r="I38" s="41"/>
      <c r="J38" s="120">
        <f>SUM(J36:J37)</f>
        <v>340661.48</v>
      </c>
      <c r="K38" s="39"/>
      <c r="L38" s="33"/>
      <c r="M38" s="33"/>
      <c r="N38" s="33"/>
      <c r="O38" s="31"/>
      <c r="P38" s="34"/>
      <c r="Q38" s="34"/>
      <c r="R38" s="1015" t="s">
        <v>49</v>
      </c>
      <c r="S38" s="1015"/>
      <c r="T38" s="1015"/>
      <c r="U38" s="158" t="s">
        <v>50</v>
      </c>
      <c r="V38" s="164"/>
      <c r="W38" s="162"/>
      <c r="X38" s="165"/>
      <c r="Y38" s="146">
        <f>Y36+Y37</f>
        <v>340661.48</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3</v>
      </c>
      <c r="D43" s="122">
        <f>SUMIFS('ESE FTE'!G:G,'ESE FTE'!$A:$A,$I$2,'ESE FTE'!$E:$E,8)</f>
        <v>1.04</v>
      </c>
      <c r="E43" s="1073">
        <f t="shared" si="8"/>
        <v>4.04</v>
      </c>
      <c r="F43" s="1073"/>
      <c r="G43" s="37" t="s">
        <v>57</v>
      </c>
      <c r="H43" s="37">
        <v>253</v>
      </c>
      <c r="I43" s="125">
        <f>Consolidated!$H61</f>
        <v>6896</v>
      </c>
      <c r="J43" s="126">
        <f t="shared" si="9"/>
        <v>27859.84</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12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1</v>
      </c>
      <c r="D46" s="122">
        <f>SUMIFS('ESE FTE'!G:G,'ESE FTE'!$A:$A,$I$2,'ESE FTE'!$E:$E,11)</f>
        <v>0</v>
      </c>
      <c r="E46" s="1073">
        <f t="shared" si="8"/>
        <v>1</v>
      </c>
      <c r="F46" s="1073"/>
      <c r="G46" s="47" t="s">
        <v>58</v>
      </c>
      <c r="H46" s="37">
        <v>253</v>
      </c>
      <c r="I46" s="125">
        <f>Consolidated!$H64</f>
        <v>7023</v>
      </c>
      <c r="J46" s="46">
        <f t="shared" si="9"/>
        <v>7023</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5">
        <f>SUM(C41:C49)</f>
        <v>4</v>
      </c>
      <c r="D50" s="775">
        <f>SUM(D41:D49)</f>
        <v>1.04</v>
      </c>
      <c r="E50" s="1075">
        <f>SUM(E41:E49)</f>
        <v>5.04</v>
      </c>
      <c r="F50" s="1075"/>
      <c r="G50" s="1030" t="s">
        <v>61</v>
      </c>
      <c r="H50" s="1030"/>
      <c r="I50" s="1030"/>
      <c r="J50" s="220">
        <f>SUM(J41:J49)</f>
        <v>34882.839999999997</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173.06</v>
      </c>
      <c r="U52" s="173" t="s">
        <v>64</v>
      </c>
      <c r="V52" s="174"/>
      <c r="W52" s="175" t="s">
        <v>65</v>
      </c>
      <c r="X52" s="1037">
        <f>I53</f>
        <v>208856.94000000003</v>
      </c>
      <c r="Y52" s="1037"/>
    </row>
    <row r="53" spans="1:25" ht="16.5" customHeight="1" x14ac:dyDescent="0.25">
      <c r="A53" s="1013" t="s">
        <v>63</v>
      </c>
      <c r="B53" s="1013"/>
      <c r="C53" s="51"/>
      <c r="D53" s="51"/>
      <c r="E53" s="48">
        <f>E28</f>
        <v>173.06</v>
      </c>
      <c r="F53" s="49" t="s">
        <v>64</v>
      </c>
      <c r="G53" s="3"/>
      <c r="H53" s="50" t="s">
        <v>65</v>
      </c>
      <c r="I53" s="1111">
        <f>Consolidated!H$71</f>
        <v>208856.94000000003</v>
      </c>
      <c r="J53" s="1111"/>
      <c r="M53" s="2"/>
      <c r="R53" s="176"/>
      <c r="S53" s="177"/>
      <c r="T53" s="159"/>
      <c r="U53" s="159"/>
      <c r="V53" s="159"/>
      <c r="W53" s="178" t="s">
        <v>66</v>
      </c>
      <c r="X53" s="1038">
        <f>ROUND(T52/X52,6)</f>
        <v>8.2899999999999998E-4</v>
      </c>
      <c r="Y53" s="1038"/>
    </row>
    <row r="54" spans="1:25" ht="22.5" customHeight="1" x14ac:dyDescent="0.25">
      <c r="A54" s="51"/>
      <c r="B54" s="52"/>
      <c r="C54" s="52"/>
      <c r="D54" s="52"/>
      <c r="H54" s="53" t="s">
        <v>66</v>
      </c>
      <c r="I54" s="1064">
        <f>IFERROR(ROUND(E53/I53,6),0)</f>
        <v>8.2899999999999998E-4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173.06</v>
      </c>
      <c r="U55" s="173" t="s">
        <v>64</v>
      </c>
      <c r="V55" s="174"/>
      <c r="W55" s="175" t="s">
        <v>69</v>
      </c>
      <c r="X55" s="1037">
        <f>I56</f>
        <v>221542.28000000003</v>
      </c>
      <c r="Y55" s="1037"/>
    </row>
    <row r="56" spans="1:25" ht="16.5" customHeight="1" x14ac:dyDescent="0.25">
      <c r="A56" s="1013" t="s">
        <v>68</v>
      </c>
      <c r="B56" s="1013"/>
      <c r="C56" s="51"/>
      <c r="D56" s="51"/>
      <c r="E56" s="48">
        <f>G33</f>
        <v>738.32709999999997</v>
      </c>
      <c r="F56" s="49" t="s">
        <v>64</v>
      </c>
      <c r="G56" s="3"/>
      <c r="H56" s="50" t="s">
        <v>69</v>
      </c>
      <c r="I56" s="1111">
        <f>Consolidated!H$74</f>
        <v>221542.28000000003</v>
      </c>
      <c r="J56" s="1111"/>
      <c r="M56" s="2"/>
      <c r="R56" s="176"/>
      <c r="S56" s="159"/>
      <c r="T56" s="159"/>
      <c r="U56" s="159"/>
      <c r="V56" s="159"/>
      <c r="W56" s="178" t="s">
        <v>66</v>
      </c>
      <c r="X56" s="1038">
        <f>ROUND(T55/X55,6)</f>
        <v>7.8100000000000001E-4</v>
      </c>
      <c r="Y56" s="1038"/>
    </row>
    <row r="57" spans="1:25" ht="18.75" customHeight="1" x14ac:dyDescent="0.25">
      <c r="A57" s="51"/>
      <c r="H57" s="53" t="s">
        <v>66</v>
      </c>
      <c r="I57" s="1064">
        <f>IFERROR(ROUND(E56/I56,6),0)</f>
        <v>3.333E-3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173.06</v>
      </c>
      <c r="U58" s="173" t="s">
        <v>64</v>
      </c>
      <c r="V58" s="1036" t="s">
        <v>72</v>
      </c>
      <c r="W58" s="1036"/>
      <c r="X58" s="1037">
        <f>I59</f>
        <v>175905.69000000003</v>
      </c>
      <c r="Y58" s="1037"/>
    </row>
    <row r="59" spans="1:25" ht="18.75" customHeight="1" x14ac:dyDescent="0.25">
      <c r="A59" s="1013" t="s">
        <v>71</v>
      </c>
      <c r="B59" s="1013"/>
      <c r="C59" s="51"/>
      <c r="D59" s="51"/>
      <c r="E59" s="48">
        <f>E28</f>
        <v>173.06</v>
      </c>
      <c r="F59" s="49" t="s">
        <v>64</v>
      </c>
      <c r="G59" s="1107" t="s">
        <v>72</v>
      </c>
      <c r="H59" s="1107"/>
      <c r="I59" s="1111">
        <f>Consolidated!H$77</f>
        <v>175905.69000000003</v>
      </c>
      <c r="J59" s="1111"/>
      <c r="M59" s="2"/>
      <c r="R59" s="176"/>
      <c r="S59" s="159"/>
      <c r="T59" s="159"/>
      <c r="U59" s="159"/>
      <c r="V59" s="159"/>
      <c r="W59" s="178" t="s">
        <v>66</v>
      </c>
      <c r="X59" s="1038">
        <f>ROUND(T58/X58,6)</f>
        <v>9.8400000000000007E-4</v>
      </c>
      <c r="Y59" s="1038"/>
    </row>
    <row r="60" spans="1:25" ht="18" customHeight="1" x14ac:dyDescent="0.25">
      <c r="A60" s="51"/>
      <c r="H60" s="53" t="s">
        <v>66</v>
      </c>
      <c r="I60" s="1064">
        <f>IFERROR(ROUND(E59/I59,6),0)</f>
        <v>9.8400000000000007E-4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173.06</v>
      </c>
      <c r="U61" s="173" t="s">
        <v>64</v>
      </c>
      <c r="V61" s="1036" t="s">
        <v>74</v>
      </c>
      <c r="W61" s="1036"/>
      <c r="X61" s="1037">
        <f>I62</f>
        <v>208541.94000000003</v>
      </c>
      <c r="Y61" s="1037"/>
    </row>
    <row r="62" spans="1:25" ht="30.75" customHeight="1" x14ac:dyDescent="0.25">
      <c r="A62" s="1013" t="s">
        <v>71</v>
      </c>
      <c r="B62" s="1013"/>
      <c r="C62" s="51"/>
      <c r="D62" s="51"/>
      <c r="E62" s="48">
        <f>E28</f>
        <v>173.06</v>
      </c>
      <c r="F62" s="49" t="s">
        <v>64</v>
      </c>
      <c r="G62" s="1107" t="s">
        <v>74</v>
      </c>
      <c r="H62" s="1107"/>
      <c r="I62" s="1111">
        <f>Consolidated!H$80</f>
        <v>208541.94000000003</v>
      </c>
      <c r="J62" s="1111"/>
      <c r="M62" s="2"/>
      <c r="R62" s="176"/>
      <c r="S62" s="159"/>
      <c r="T62" s="159"/>
      <c r="U62" s="159"/>
      <c r="V62" s="159"/>
      <c r="W62" s="178" t="s">
        <v>66</v>
      </c>
      <c r="X62" s="1038">
        <f>ROUND(T61/X61,6)</f>
        <v>8.3000000000000001E-4</v>
      </c>
      <c r="Y62" s="1038"/>
    </row>
    <row r="63" spans="1:25" ht="19.5" customHeight="1" x14ac:dyDescent="0.25">
      <c r="A63" s="51"/>
      <c r="H63" s="53" t="s">
        <v>66</v>
      </c>
      <c r="I63" s="1064">
        <f>IFERROR(ROUND(E62/I62,6),0)</f>
        <v>8.3000000000000001E-4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173.06</v>
      </c>
      <c r="U64" s="173" t="s">
        <v>64</v>
      </c>
      <c r="V64" s="1036" t="s">
        <v>159</v>
      </c>
      <c r="W64" s="1036"/>
      <c r="X64" s="1037">
        <f>I65</f>
        <v>175590.69000000003</v>
      </c>
      <c r="Y64" s="1037"/>
    </row>
    <row r="65" spans="1:26" ht="49.5" customHeight="1" x14ac:dyDescent="0.25">
      <c r="A65" s="1013" t="s">
        <v>71</v>
      </c>
      <c r="B65" s="1013"/>
      <c r="C65" s="51"/>
      <c r="D65" s="51"/>
      <c r="E65" s="48">
        <f>E28</f>
        <v>173.06</v>
      </c>
      <c r="F65" s="49" t="s">
        <v>64</v>
      </c>
      <c r="G65" s="1107" t="s">
        <v>76</v>
      </c>
      <c r="H65" s="1107"/>
      <c r="I65" s="1111">
        <f>Consolidated!H$83</f>
        <v>175590.69000000003</v>
      </c>
      <c r="J65" s="1111"/>
      <c r="M65" s="2"/>
      <c r="R65" s="179"/>
      <c r="S65" s="159"/>
      <c r="T65" s="159"/>
      <c r="U65" s="159"/>
      <c r="V65" s="159"/>
      <c r="W65" s="178" t="s">
        <v>66</v>
      </c>
      <c r="X65" s="1038">
        <f>ROUND(T64/X64,6)</f>
        <v>9.859999999999999E-4</v>
      </c>
      <c r="Y65" s="1038"/>
    </row>
    <row r="66" spans="1:26" ht="19.5" customHeight="1" x14ac:dyDescent="0.25">
      <c r="A66" s="51"/>
      <c r="H66" s="53" t="s">
        <v>66</v>
      </c>
      <c r="I66" s="1064">
        <f>IFERROR(ROUND(E65/I65,6),0)</f>
        <v>9.859999999999999E-4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8.3000000000000001E-4</v>
      </c>
      <c r="Y67" s="215">
        <f>ROUND(V67*X67,2)</f>
        <v>38069.370000000003</v>
      </c>
    </row>
    <row r="68" spans="1:26" ht="30.75" customHeight="1" x14ac:dyDescent="0.25">
      <c r="A68" s="1065" t="s">
        <v>77</v>
      </c>
      <c r="B68" s="1065"/>
      <c r="C68" s="1065"/>
      <c r="D68" s="1065"/>
      <c r="E68" s="1065"/>
      <c r="F68" s="36" t="s">
        <v>78</v>
      </c>
      <c r="G68" s="221">
        <f>Consolidated!F$86</f>
        <v>45866714</v>
      </c>
      <c r="H68" s="37" t="s">
        <v>79</v>
      </c>
      <c r="I68" s="41">
        <f>I63</f>
        <v>8.3000000000000001E-4</v>
      </c>
      <c r="J68" s="127">
        <f>ROUND(G68*I68,2)</f>
        <v>38069.370000000003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8.2899999999999998E-4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8.2899999999999998E-4</v>
      </c>
      <c r="J70" s="127">
        <f>ROUND(G70*I70,2)</f>
        <v>0</v>
      </c>
      <c r="M70" s="2"/>
      <c r="R70" s="1015" t="s">
        <v>161</v>
      </c>
      <c r="S70" s="1015"/>
      <c r="T70" s="1015"/>
      <c r="U70" s="158"/>
      <c r="V70" s="182">
        <f>G71</f>
        <v>18834423</v>
      </c>
      <c r="W70" s="162" t="s">
        <v>79</v>
      </c>
      <c r="X70" s="165">
        <f>X65</f>
        <v>9.859999999999999E-4</v>
      </c>
      <c r="Y70" s="212">
        <f t="shared" si="11"/>
        <v>18570.740000000002</v>
      </c>
    </row>
    <row r="71" spans="1:26" ht="19.5" customHeight="1" x14ac:dyDescent="0.25">
      <c r="A71" s="1012" t="s">
        <v>83</v>
      </c>
      <c r="B71" s="1012"/>
      <c r="C71" s="1012"/>
      <c r="D71" s="1012"/>
      <c r="E71" s="1012"/>
      <c r="F71" s="36" t="s">
        <v>84</v>
      </c>
      <c r="G71" s="221">
        <f>Consolidated!F$91</f>
        <v>18834423</v>
      </c>
      <c r="H71" s="37" t="s">
        <v>79</v>
      </c>
      <c r="I71" s="41">
        <f>I66</f>
        <v>9.859999999999999E-4</v>
      </c>
      <c r="J71" s="127">
        <f>ROUND(G71*I71,2)</f>
        <v>18570.740000000002</v>
      </c>
      <c r="M71" s="2"/>
      <c r="R71" s="166" t="s">
        <v>162</v>
      </c>
      <c r="S71" s="166"/>
      <c r="T71" s="166"/>
      <c r="U71" s="158"/>
      <c r="V71" s="160">
        <f>G72</f>
        <v>11226031</v>
      </c>
      <c r="W71" s="162" t="s">
        <v>79</v>
      </c>
      <c r="X71" s="165">
        <f>X59</f>
        <v>9.8400000000000007E-4</v>
      </c>
      <c r="Y71" s="212">
        <f t="shared" si="11"/>
        <v>11046.41</v>
      </c>
    </row>
    <row r="72" spans="1:26" ht="19.5" customHeight="1" x14ac:dyDescent="0.25">
      <c r="A72" s="42" t="s">
        <v>85</v>
      </c>
      <c r="B72" s="42"/>
      <c r="C72" s="42"/>
      <c r="D72" s="42"/>
      <c r="E72" s="42"/>
      <c r="F72" s="36" t="s">
        <v>86</v>
      </c>
      <c r="G72" s="221">
        <f>Consolidated!F$93</f>
        <v>11226031</v>
      </c>
      <c r="H72" s="37" t="s">
        <v>79</v>
      </c>
      <c r="I72" s="41">
        <f>I60</f>
        <v>9.8400000000000007E-4</v>
      </c>
      <c r="J72" s="127">
        <f>ROUND(G72*I72,2)</f>
        <v>11046.41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3.333E-3</v>
      </c>
      <c r="J85" s="127">
        <f>ROUND(G85*I85,2)</f>
        <v>946222.67</v>
      </c>
      <c r="K85" s="70"/>
      <c r="L85" s="70"/>
      <c r="M85" s="71"/>
      <c r="N85" s="70"/>
      <c r="O85" s="70"/>
      <c r="P85" s="70"/>
      <c r="Q85" s="70"/>
      <c r="R85" s="1015" t="s">
        <v>166</v>
      </c>
      <c r="S85" s="1015"/>
      <c r="T85" s="1015"/>
      <c r="U85" s="158"/>
      <c r="V85" s="160">
        <f>G85</f>
        <v>283895192</v>
      </c>
      <c r="W85" s="162" t="s">
        <v>79</v>
      </c>
      <c r="X85" s="165">
        <f>X56</f>
        <v>7.8100000000000001E-4</v>
      </c>
      <c r="Y85" s="212">
        <f t="shared" ref="Y85:Y87" si="12">ROUND(V85*X85,2)</f>
        <v>221722.14</v>
      </c>
    </row>
    <row r="86" spans="1:26" ht="14.25" customHeight="1" x14ac:dyDescent="0.25">
      <c r="A86" s="1012" t="s">
        <v>102</v>
      </c>
      <c r="B86" s="1012"/>
      <c r="C86" s="1012"/>
      <c r="D86" s="1012"/>
      <c r="E86" s="1012"/>
      <c r="F86" s="36" t="s">
        <v>101</v>
      </c>
      <c r="G86" s="128">
        <v>0</v>
      </c>
      <c r="H86" s="37" t="s">
        <v>79</v>
      </c>
      <c r="I86" s="41">
        <f>I57</f>
        <v>3.333E-3</v>
      </c>
      <c r="J86" s="127">
        <f>ROUND(G86*I86,2)</f>
        <v>0</v>
      </c>
      <c r="K86" s="70"/>
      <c r="L86" s="71"/>
      <c r="M86" s="76"/>
      <c r="N86" s="76"/>
      <c r="O86" s="76"/>
      <c r="P86" s="76"/>
      <c r="Q86" s="70"/>
      <c r="R86" s="1015" t="s">
        <v>167</v>
      </c>
      <c r="S86" s="1015"/>
      <c r="T86" s="1015"/>
      <c r="U86" s="158"/>
      <c r="V86" s="192">
        <v>0</v>
      </c>
      <c r="W86" s="162" t="s">
        <v>79</v>
      </c>
      <c r="X86" s="165">
        <f>X56</f>
        <v>7.8100000000000001E-4</v>
      </c>
      <c r="Y86" s="212">
        <f t="shared" si="12"/>
        <v>0</v>
      </c>
    </row>
    <row r="87" spans="1:26" ht="18" customHeight="1" x14ac:dyDescent="0.25">
      <c r="A87" s="1012" t="s">
        <v>103</v>
      </c>
      <c r="B87" s="1012"/>
      <c r="C87" s="1012"/>
      <c r="D87" s="1012"/>
      <c r="E87" s="1012"/>
      <c r="F87" s="36" t="s">
        <v>82</v>
      </c>
      <c r="G87" s="128">
        <v>0</v>
      </c>
      <c r="H87" s="37" t="s">
        <v>79</v>
      </c>
      <c r="I87" s="41">
        <f>I54</f>
        <v>8.2899999999999998E-4</v>
      </c>
      <c r="J87" s="62">
        <f>ROUND(G87*I87,2)</f>
        <v>0</v>
      </c>
      <c r="K87" s="77"/>
      <c r="L87" s="70"/>
      <c r="M87" s="71"/>
      <c r="N87" s="70"/>
      <c r="O87" s="70"/>
      <c r="P87" s="70"/>
      <c r="Q87" s="70"/>
      <c r="R87" s="166" t="s">
        <v>168</v>
      </c>
      <c r="S87" s="166"/>
      <c r="T87" s="166"/>
      <c r="U87" s="158"/>
      <c r="V87" s="192">
        <v>0</v>
      </c>
      <c r="W87" s="162" t="s">
        <v>79</v>
      </c>
      <c r="X87" s="165">
        <f>X53</f>
        <v>8.2899999999999998E-4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449.78210000000001</v>
      </c>
      <c r="C90" s="80"/>
      <c r="D90" s="981">
        <f>I6</f>
        <v>1.0309999999999999</v>
      </c>
      <c r="E90" s="981"/>
      <c r="F90" s="981"/>
      <c r="G90" s="113">
        <f>Consolidated!F$118</f>
        <v>961.57</v>
      </c>
      <c r="H90" s="47" t="s">
        <v>66</v>
      </c>
      <c r="I90" s="130">
        <f>ROUND(B90*D90*G90,2)</f>
        <v>445904.38</v>
      </c>
      <c r="J90" s="81"/>
      <c r="K90" s="70"/>
      <c r="L90" s="70"/>
      <c r="M90" s="71"/>
      <c r="N90" s="70"/>
      <c r="O90" s="70"/>
      <c r="P90" s="70"/>
      <c r="Q90" s="70"/>
      <c r="R90" s="155" t="s">
        <v>108</v>
      </c>
      <c r="S90" s="193">
        <f>X12+X13+X18+X21+X24</f>
        <v>105.56</v>
      </c>
      <c r="T90" s="1044">
        <f>X6</f>
        <v>1.0309999999999999</v>
      </c>
      <c r="U90" s="1044"/>
      <c r="V90" s="113">
        <f>G90</f>
        <v>961.57</v>
      </c>
      <c r="W90" s="171" t="s">
        <v>66</v>
      </c>
      <c r="X90" s="216">
        <f>ROUND(S90*T90*V90,2)</f>
        <v>104649.93</v>
      </c>
      <c r="Y90" s="194"/>
    </row>
    <row r="91" spans="1:26" ht="21" customHeight="1" x14ac:dyDescent="0.25">
      <c r="A91" s="82" t="s">
        <v>58</v>
      </c>
      <c r="B91" s="80">
        <f>I14+I15+I19+I22+I25</f>
        <v>288.54499999999996</v>
      </c>
      <c r="C91" s="80"/>
      <c r="D91" s="981">
        <f>I6</f>
        <v>1.0309999999999999</v>
      </c>
      <c r="E91" s="981"/>
      <c r="F91" s="981"/>
      <c r="G91" s="113">
        <f>Consolidated!F$119</f>
        <v>918.1</v>
      </c>
      <c r="H91" s="47" t="s">
        <v>66</v>
      </c>
      <c r="I91" s="129">
        <f>ROUND(B91*D91*G91,2)</f>
        <v>273125.46999999997</v>
      </c>
      <c r="K91" s="70"/>
      <c r="L91" s="70"/>
      <c r="M91" s="71"/>
      <c r="N91" s="70"/>
      <c r="O91" s="70"/>
      <c r="P91" s="70"/>
      <c r="Q91" s="70"/>
      <c r="R91" s="195" t="s">
        <v>58</v>
      </c>
      <c r="S91" s="193">
        <f>X14+X15+X19+X22+X25</f>
        <v>67.5</v>
      </c>
      <c r="T91" s="1044">
        <f>X6</f>
        <v>1.0309999999999999</v>
      </c>
      <c r="U91" s="1044"/>
      <c r="V91" s="113">
        <f>G91</f>
        <v>918.1</v>
      </c>
      <c r="W91" s="171" t="s">
        <v>66</v>
      </c>
      <c r="X91" s="216">
        <f>ROUND(S91*T91*V91,2)</f>
        <v>63892.87</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738.32709999999997</v>
      </c>
      <c r="C93" s="80"/>
      <c r="D93" s="80"/>
      <c r="E93" s="1059" t="s">
        <v>110</v>
      </c>
      <c r="F93" s="1059"/>
      <c r="G93" s="1059"/>
      <c r="H93" s="1059"/>
      <c r="I93" s="1059"/>
      <c r="J93" s="116">
        <f>IF(A1=75,0,I92+I91+I90)</f>
        <v>719029.85</v>
      </c>
      <c r="K93" s="70"/>
      <c r="L93" s="70"/>
      <c r="M93" s="71"/>
      <c r="N93" s="70"/>
      <c r="O93" s="70"/>
      <c r="P93" s="70"/>
      <c r="Q93" s="70"/>
      <c r="R93" s="198" t="s">
        <v>109</v>
      </c>
      <c r="S93" s="199">
        <f>SUM(S90:S92)</f>
        <v>173.06</v>
      </c>
      <c r="T93" s="1045" t="s">
        <v>110</v>
      </c>
      <c r="U93" s="1046"/>
      <c r="V93" s="1046"/>
      <c r="W93" s="1046"/>
      <c r="X93" s="1046"/>
      <c r="Y93" s="212">
        <f>IF(R1=75,0,X92+X91+X90)</f>
        <v>168542.8</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062">
        <f>IF(D97&gt;0,(C97+D97)/2,C97)</f>
        <v>0</v>
      </c>
      <c r="F97" s="1062"/>
      <c r="G97" s="106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95">
        <f>SUM(J106,J105,J98,J97,J93,J86,J85,J71,J70,J68,J33,J72,J50,J87,J84)</f>
        <v>5922230.1699999999</v>
      </c>
      <c r="L107" s="533"/>
      <c r="R107" s="1015" t="s">
        <v>123</v>
      </c>
      <c r="S107" s="1015"/>
      <c r="T107" s="1015"/>
      <c r="U107" s="1015"/>
      <c r="V107" s="1015"/>
      <c r="W107" s="1015"/>
      <c r="X107" s="1015"/>
      <c r="Y107" s="208">
        <f>SUM(Y106,Y105,Y97,Y96,Y93,Y86,Y85,Y84,Y70,Y69,Y67,Y33,Y71,Y50,Y87,Y83)</f>
        <v>1431722.99</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5581568.6899999995</v>
      </c>
      <c r="R109" s="159" t="s">
        <v>174</v>
      </c>
      <c r="S109" s="159"/>
      <c r="T109" s="159"/>
      <c r="U109" s="159"/>
      <c r="V109" s="159"/>
      <c r="W109" s="159"/>
      <c r="X109" s="159"/>
      <c r="Y109" s="209">
        <f>Y107-Y38</f>
        <v>1091061.51</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v>1</v>
      </c>
      <c r="J111" s="126">
        <f>Y109</f>
        <v>1091061.51</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638"/>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39">
        <f>IF(I111=1,J111,J109)</f>
        <v>1091061.51</v>
      </c>
      <c r="J114" s="640">
        <f>ROUND(IF(E28=0,0,IF(E28&gt;250,-(((250/E28)*I114)*IF(H113="H",0.02,0.05)),IF(H113="H",-0.02*I114,-0.05*I114))),2)</f>
        <v>-54553.08</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5867677.0899999999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Payments'!R80</f>
        <v>-980063.77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4887613.32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488761.33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40"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484</v>
      </c>
      <c r="B2" s="101"/>
      <c r="C2" s="101"/>
      <c r="D2" s="101"/>
      <c r="E2" s="6"/>
      <c r="F2" s="6"/>
      <c r="G2" s="6"/>
      <c r="H2" s="6"/>
      <c r="I2" s="685" t="str">
        <f>RIGHT(A2,4)</f>
        <v>2801</v>
      </c>
      <c r="J2" s="6"/>
      <c r="K2" s="6"/>
      <c r="L2" s="6"/>
      <c r="M2" s="6"/>
      <c r="N2" s="6"/>
      <c r="O2" s="6"/>
      <c r="P2" s="6"/>
      <c r="Q2" s="6"/>
      <c r="R2" s="987" t="str">
        <f>Revenue_Estimate_Worksheet_for___________Charter_School</f>
        <v>Revenue Estimate Worksheet: Palm Beach Maritime Academy Elementary - 2801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111.37</v>
      </c>
      <c r="D12" s="699">
        <f>SUMIFS('Surv2-3'!K:K,'Surv2-3'!$H:$H,$I$2,'Surv2-3'!$I:$I,$O12)</f>
        <v>105.00999999999999</v>
      </c>
      <c r="E12" s="1081">
        <f t="shared" ref="E12:E27" si="0">IF($D$28=0,C12*2,C12+D12)</f>
        <v>216.38</v>
      </c>
      <c r="F12" s="1081"/>
      <c r="G12" s="1096">
        <f>Consolidated!$F14</f>
        <v>1.107</v>
      </c>
      <c r="H12" s="1096">
        <f>Consolidated!$H$9</f>
        <v>1</v>
      </c>
      <c r="I12" s="534">
        <f>ROUND(E12*G12,4)</f>
        <v>239.53270000000001</v>
      </c>
      <c r="J12" s="535">
        <f t="shared" ref="J12:J27" si="1">ROUND(ROUND(ROUND(I12*$E$6,4)*($I$6),2)*(MAX($I$7,1)),2)</f>
        <v>1347799.15</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25</v>
      </c>
      <c r="D13" s="389">
        <f>SUMIFS('Surv2-3'!K:K,'Surv2-3'!$H:$H,$I$2,'Surv2-3'!$I:$I,$O13)</f>
        <v>29.509999999999998</v>
      </c>
      <c r="E13" s="1080">
        <f t="shared" si="0"/>
        <v>54.51</v>
      </c>
      <c r="F13" s="1080"/>
      <c r="G13" s="1086">
        <f>Consolidated!$F15</f>
        <v>1.107</v>
      </c>
      <c r="H13" s="1086">
        <f>Consolidated!$H$9</f>
        <v>1</v>
      </c>
      <c r="I13" s="534">
        <f t="shared" ref="I13:I27" si="3">ROUND(E13*G13,4)</f>
        <v>60.342599999999997</v>
      </c>
      <c r="J13" s="535">
        <f t="shared" si="1"/>
        <v>339534.87</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59.899999999999991</v>
      </c>
      <c r="D14" s="389">
        <f>SUMIFS('Surv2-3'!L:L,'Surv2-3'!$H:$H,$I$2,'Surv2-3'!$I:$I,$O14)</f>
        <v>57.849999999999994</v>
      </c>
      <c r="E14" s="1080">
        <f t="shared" si="0"/>
        <v>117.74999999999999</v>
      </c>
      <c r="F14" s="1080"/>
      <c r="G14" s="1086">
        <f>Consolidated!$F16</f>
        <v>1</v>
      </c>
      <c r="H14" s="1086">
        <f>Consolidated!$H$9</f>
        <v>1</v>
      </c>
      <c r="I14" s="534">
        <f t="shared" si="3"/>
        <v>117.75</v>
      </c>
      <c r="J14" s="535">
        <f>ROUND(ROUND(ROUND(I14*$E$6,4)*($I$6),2)*(MAX($I$7,1)),2)</f>
        <v>662554</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14</v>
      </c>
      <c r="D15" s="389">
        <f>SUMIFS('Surv2-3'!L:L,'Surv2-3'!$H:$H,$I$2,'Surv2-3'!$I:$I,$O15)</f>
        <v>14.98</v>
      </c>
      <c r="E15" s="1080">
        <f t="shared" si="0"/>
        <v>28.98</v>
      </c>
      <c r="F15" s="1080"/>
      <c r="G15" s="1086">
        <f>Consolidated!$F17</f>
        <v>1</v>
      </c>
      <c r="H15" s="1086">
        <f>Consolidated!$H$9</f>
        <v>1</v>
      </c>
      <c r="I15" s="534">
        <f t="shared" si="3"/>
        <v>28.98</v>
      </c>
      <c r="J15" s="535">
        <f t="shared" si="1"/>
        <v>163064.25</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57.629999999999995</v>
      </c>
      <c r="D24" s="389">
        <f>SUMIFS('Surv2-3'!K:K,'Surv2-3'!$H:$H,$I$2,'Surv2-3'!$I:$I,$O24)</f>
        <v>55.93</v>
      </c>
      <c r="E24" s="1080">
        <f t="shared" si="0"/>
        <v>113.56</v>
      </c>
      <c r="F24" s="1080"/>
      <c r="G24" s="1086">
        <f>Consolidated!$F26</f>
        <v>1.161</v>
      </c>
      <c r="H24" s="1086">
        <f>Consolidated!$H$9</f>
        <v>1</v>
      </c>
      <c r="I24" s="534">
        <f t="shared" si="3"/>
        <v>131.8432</v>
      </c>
      <c r="J24" s="535">
        <f t="shared" si="1"/>
        <v>741853.42</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12.1</v>
      </c>
      <c r="D25" s="389">
        <f>SUMIFS('Surv2-3'!L:L,'Surv2-3'!$H:$H,$I$2,'Surv2-3'!$I:$I,$O25)</f>
        <v>12.09</v>
      </c>
      <c r="E25" s="1080">
        <f t="shared" si="0"/>
        <v>24.189999999999998</v>
      </c>
      <c r="F25" s="1080"/>
      <c r="G25" s="1086">
        <f>Consolidated!$F27</f>
        <v>1.161</v>
      </c>
      <c r="H25" s="1086">
        <f>Consolidated!$H$9</f>
        <v>1</v>
      </c>
      <c r="I25" s="534">
        <f t="shared" si="3"/>
        <v>28.084599999999998</v>
      </c>
      <c r="J25" s="535">
        <f t="shared" si="1"/>
        <v>158026.01999999999</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280</v>
      </c>
      <c r="D28" s="773">
        <f>SUM(D12:D27)</f>
        <v>275.36999999999995</v>
      </c>
      <c r="E28" s="1085">
        <f>SUM(E12:E27)</f>
        <v>555.37000000000012</v>
      </c>
      <c r="F28" s="1085"/>
      <c r="G28" s="1080"/>
      <c r="H28" s="1080"/>
      <c r="I28" s="23">
        <f>SUM(I12:I27)</f>
        <v>606.53309999999999</v>
      </c>
      <c r="J28" s="116">
        <f>SUM(J12:J27)</f>
        <v>3412831.71</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606.53309999999999</v>
      </c>
      <c r="H33" s="1080" t="s">
        <v>45</v>
      </c>
      <c r="I33" s="1080"/>
      <c r="J33" s="32">
        <f>SUM(J32,J28)</f>
        <v>3412831.71</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3412831.71</v>
      </c>
      <c r="H36" s="37" t="s">
        <v>48</v>
      </c>
      <c r="I36" s="38">
        <f>Consolidated!H53</f>
        <v>7.1400000000000005E-2</v>
      </c>
      <c r="J36" s="120">
        <f>ROUND(G36*I36,2)</f>
        <v>243676.18</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3412831.71</v>
      </c>
      <c r="H37" s="37" t="s">
        <v>48</v>
      </c>
      <c r="I37" s="38">
        <f>Consolidated!H54</f>
        <v>1.06E-2</v>
      </c>
      <c r="J37" s="120">
        <f>ROUND(G37*I37,2)</f>
        <v>36176.019999999997</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279852.2</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24</v>
      </c>
      <c r="D41" s="776">
        <f>SUMIFS('ESE FTE'!G:G,'ESE FTE'!$A:$A,$I$2,'ESE FTE'!$E:$E,6)</f>
        <v>28.33</v>
      </c>
      <c r="E41" s="1073">
        <f t="shared" ref="E41:E49" si="8">IF($D$50=0,C41*2,C41+D41)</f>
        <v>52.33</v>
      </c>
      <c r="F41" s="1073"/>
      <c r="G41" s="37" t="s">
        <v>57</v>
      </c>
      <c r="H41" s="37">
        <v>251</v>
      </c>
      <c r="I41" s="125">
        <f>Consolidated!$H59</f>
        <v>1047</v>
      </c>
      <c r="J41" s="126">
        <f t="shared" ref="J41:J49" si="9">ROUND(E41*I41,2)</f>
        <v>54789.51</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1</v>
      </c>
      <c r="D42" s="122">
        <f>SUMIFS('ESE FTE'!G:G,'ESE FTE'!$A:$A,$I$2,'ESE FTE'!$E:$E,7)</f>
        <v>1.18</v>
      </c>
      <c r="E42" s="1073">
        <f t="shared" si="8"/>
        <v>2.1799999999999997</v>
      </c>
      <c r="F42" s="1073"/>
      <c r="G42" s="37" t="s">
        <v>57</v>
      </c>
      <c r="H42" s="37">
        <v>252</v>
      </c>
      <c r="I42" s="125">
        <f>Consolidated!$H60</f>
        <v>3380</v>
      </c>
      <c r="J42" s="126">
        <f t="shared" si="9"/>
        <v>7368.4</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12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13.5</v>
      </c>
      <c r="D44" s="776">
        <f>SUMIFS('ESE FTE'!G:G,'ESE FTE'!$A:$A,$I$2,'ESE FTE'!$E:$E,9)</f>
        <v>14.45</v>
      </c>
      <c r="E44" s="1073">
        <f t="shared" si="8"/>
        <v>27.95</v>
      </c>
      <c r="F44" s="1073"/>
      <c r="G44" s="47" t="s">
        <v>58</v>
      </c>
      <c r="H44" s="37">
        <v>251</v>
      </c>
      <c r="I44" s="125">
        <f>Consolidated!$H62</f>
        <v>1173</v>
      </c>
      <c r="J44" s="126">
        <f t="shared" si="9"/>
        <v>32785.35</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0.5</v>
      </c>
      <c r="D45" s="122">
        <f>SUMIFS('ESE FTE'!G:G,'ESE FTE'!$A:$A,$I$2,'ESE FTE'!$E:$E,10)</f>
        <v>0.53</v>
      </c>
      <c r="E45" s="1073">
        <f t="shared" si="8"/>
        <v>1.03</v>
      </c>
      <c r="F45" s="1073"/>
      <c r="G45" s="47" t="s">
        <v>58</v>
      </c>
      <c r="H45" s="37">
        <v>252</v>
      </c>
      <c r="I45" s="125">
        <f>Consolidated!$H63</f>
        <v>3506</v>
      </c>
      <c r="J45" s="46">
        <f t="shared" si="9"/>
        <v>3611.18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5">
        <f>SUM(C41:C49)</f>
        <v>39</v>
      </c>
      <c r="D50" s="775">
        <f>SUM(D41:D49)</f>
        <v>44.489999999999995</v>
      </c>
      <c r="E50" s="1075">
        <f>SUM(E41:E49)</f>
        <v>83.49</v>
      </c>
      <c r="F50" s="1075"/>
      <c r="G50" s="1030" t="s">
        <v>61</v>
      </c>
      <c r="H50" s="1030"/>
      <c r="I50" s="1030"/>
      <c r="J50" s="220">
        <f>SUM(J41:J49)</f>
        <v>98554.44</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555.37000000000012</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2.6589999999999999E-3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606.53309999999999</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2.738E-3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555.37000000000012</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3.1570000000000001E-3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555.37000000000012</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2.663E-3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555.37000000000012</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3.163E-3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2.663E-3</v>
      </c>
      <c r="J68" s="127">
        <f>ROUND(G68*I68,2)</f>
        <v>122143.06</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2.6589999999999999E-3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3.163E-3</v>
      </c>
      <c r="J71" s="127">
        <f>ROUND(G71*I71,2)</f>
        <v>59573.279999999999</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3.1570000000000001E-3</v>
      </c>
      <c r="J72" s="127">
        <f>ROUND(G72*I72,2)</f>
        <v>35440.58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2.738E-3</v>
      </c>
      <c r="J85" s="127">
        <f>ROUND(G85*I85,2)</f>
        <v>777305.04</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2.738E-3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2.6589999999999999E-3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431.71849999999995</v>
      </c>
      <c r="C90" s="80"/>
      <c r="D90" s="981">
        <f>I6</f>
        <v>1.0309999999999999</v>
      </c>
      <c r="E90" s="981"/>
      <c r="F90" s="981"/>
      <c r="G90" s="113">
        <f>Consolidated!F$118</f>
        <v>961.57</v>
      </c>
      <c r="H90" s="47" t="s">
        <v>66</v>
      </c>
      <c r="I90" s="130">
        <f>ROUND(B90*D90*G90,2)</f>
        <v>427996.51</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174.81459999999998</v>
      </c>
      <c r="C91" s="80"/>
      <c r="D91" s="981">
        <f>I6</f>
        <v>1.0309999999999999</v>
      </c>
      <c r="E91" s="981"/>
      <c r="F91" s="981"/>
      <c r="G91" s="113">
        <f>Consolidated!F$119</f>
        <v>918.1</v>
      </c>
      <c r="H91" s="47" t="s">
        <v>66</v>
      </c>
      <c r="I91" s="129">
        <f>ROUND(B91*D91*G91,2)</f>
        <v>165472.70000000001</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606.53309999999988</v>
      </c>
      <c r="C93" s="80"/>
      <c r="D93" s="80"/>
      <c r="E93" s="1059" t="s">
        <v>110</v>
      </c>
      <c r="F93" s="1059"/>
      <c r="G93" s="1059"/>
      <c r="H93" s="1059"/>
      <c r="I93" s="1059"/>
      <c r="J93" s="116">
        <f>IF(A1=75,0,I92+I91+I90)</f>
        <v>593469.21</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224</v>
      </c>
      <c r="D97" s="223">
        <v>222</v>
      </c>
      <c r="E97" s="1062">
        <f>IF(D97&gt;0,(C97+D97)/2,C97)</f>
        <v>223</v>
      </c>
      <c r="F97" s="1062"/>
      <c r="G97" s="1062"/>
      <c r="H97" s="85" t="s">
        <v>115</v>
      </c>
      <c r="I97" s="119">
        <f>Consolidated!G$127</f>
        <v>583</v>
      </c>
      <c r="J97" s="127">
        <f>ROUND(I97*E97,2)</f>
        <v>130009</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536">
        <f>SUM(J106,J105,J98,J97,J93,J86,J85,J71,J70,J68,J33,J72,J50,J87,J84)</f>
        <v>5229326.32</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4949474.12</v>
      </c>
      <c r="R109" s="159" t="s">
        <v>174</v>
      </c>
      <c r="S109" s="159"/>
      <c r="T109" s="159"/>
      <c r="U109" s="159"/>
      <c r="V109" s="159"/>
      <c r="W109" s="159"/>
      <c r="X109" s="159"/>
      <c r="Y109" s="209">
        <f>Y107-Y38</f>
        <v>0</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c r="J111" s="4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638"/>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39">
        <f>IF(I111=1,J111,J109)</f>
        <v>4949474.12</v>
      </c>
      <c r="J114" s="640">
        <f>ROUND(IF(E28=0,0,IF(E28&gt;250,-(((250/E28)*I114)*IF(H113="H",0.02,0.05)),IF(H113="H",-0.02*I114,-0.05*I114))),2)</f>
        <v>-111400.38</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5117925.9400000004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Payments'!R81</f>
        <v>-851970.17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4265955.7700000005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426595.58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ROUND(IF(H113="H",(I114*0.02)+J114,(I114*0.05)+J114),2)</f>
        <v>136073.32999999999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43"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485</v>
      </c>
      <c r="B2" s="101"/>
      <c r="C2" s="101"/>
      <c r="D2" s="101"/>
      <c r="E2" s="6"/>
      <c r="F2" s="6"/>
      <c r="G2" s="6"/>
      <c r="H2" s="6"/>
      <c r="I2" s="685" t="str">
        <f>RIGHT(A2,4)</f>
        <v>2911</v>
      </c>
      <c r="J2" s="6"/>
      <c r="K2" s="6"/>
      <c r="L2" s="6"/>
      <c r="M2" s="6"/>
      <c r="N2" s="6"/>
      <c r="O2" s="6"/>
      <c r="P2" s="6"/>
      <c r="Q2" s="6"/>
      <c r="R2" s="987" t="str">
        <f>Revenue_Estimate_Worksheet_for___________Charter_School</f>
        <v>Revenue Estimate Worksheet: Western Academy Charter School - 2911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129.24</v>
      </c>
      <c r="D12" s="699">
        <f>SUMIFS('Surv2-3'!K:K,'Surv2-3'!$H:$H,$I$2,'Surv2-3'!$I:$I,$O12)</f>
        <v>128.4</v>
      </c>
      <c r="E12" s="1081">
        <f t="shared" ref="E12:E27" si="0">IF($D$28=0,C12*2,C12+D12)</f>
        <v>257.64</v>
      </c>
      <c r="F12" s="1081"/>
      <c r="G12" s="1096">
        <f>Consolidated!$F14</f>
        <v>1.107</v>
      </c>
      <c r="H12" s="1096">
        <f>Consolidated!$H$9</f>
        <v>1</v>
      </c>
      <c r="I12" s="534">
        <f>ROUND(E12*G12,4)</f>
        <v>285.20749999999998</v>
      </c>
      <c r="J12" s="535">
        <f t="shared" ref="J12:J27" si="1">ROUND(ROUND(ROUND(I12*$E$6,4)*($I$6),2)*(MAX($I$7,1)),2)</f>
        <v>1604801.45</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30.5</v>
      </c>
      <c r="D13" s="389">
        <f>SUMIFS('Surv2-3'!K:K,'Surv2-3'!$H:$H,$I$2,'Surv2-3'!$I:$I,$O13)</f>
        <v>31.53</v>
      </c>
      <c r="E13" s="1080">
        <f t="shared" si="0"/>
        <v>62.03</v>
      </c>
      <c r="F13" s="1080"/>
      <c r="G13" s="1086">
        <f>Consolidated!$F15</f>
        <v>1.107</v>
      </c>
      <c r="H13" s="1086">
        <f>Consolidated!$H$9</f>
        <v>1</v>
      </c>
      <c r="I13" s="534">
        <f t="shared" ref="I13:I27" si="3">ROUND(E13*G13,4)</f>
        <v>68.667199999999994</v>
      </c>
      <c r="J13" s="535">
        <f t="shared" si="1"/>
        <v>386375.61</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171.85</v>
      </c>
      <c r="D14" s="389">
        <f>SUMIFS('Surv2-3'!L:L,'Surv2-3'!$H:$H,$I$2,'Surv2-3'!$I:$I,$O14)</f>
        <v>167.87</v>
      </c>
      <c r="E14" s="1080">
        <f t="shared" si="0"/>
        <v>339.72</v>
      </c>
      <c r="F14" s="1080"/>
      <c r="G14" s="1086">
        <f>Consolidated!$F16</f>
        <v>1</v>
      </c>
      <c r="H14" s="1086">
        <f>Consolidated!$H$9</f>
        <v>1</v>
      </c>
      <c r="I14" s="534">
        <f t="shared" si="3"/>
        <v>339.72</v>
      </c>
      <c r="J14" s="535">
        <f>ROUND(ROUND(ROUND(I14*$E$6,4)*($I$6),2)*(MAX($I$7,1)),2)</f>
        <v>1911531.6</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53.83</v>
      </c>
      <c r="D15" s="389">
        <f>SUMIFS('Surv2-3'!L:L,'Surv2-3'!$H:$H,$I$2,'Surv2-3'!$I:$I,$O15)</f>
        <v>53.449999999999996</v>
      </c>
      <c r="E15" s="1080">
        <f t="shared" si="0"/>
        <v>107.28</v>
      </c>
      <c r="F15" s="1080"/>
      <c r="G15" s="1086">
        <f>Consolidated!$F17</f>
        <v>1</v>
      </c>
      <c r="H15" s="1086">
        <f>Consolidated!$H$9</f>
        <v>1</v>
      </c>
      <c r="I15" s="534">
        <f t="shared" si="3"/>
        <v>107.28</v>
      </c>
      <c r="J15" s="535">
        <f t="shared" si="1"/>
        <v>603641.56000000006</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5.76</v>
      </c>
      <c r="D24" s="389">
        <f>SUMIFS('Surv2-3'!K:K,'Surv2-3'!$H:$H,$I$2,'Surv2-3'!$I:$I,$O24)</f>
        <v>5.78</v>
      </c>
      <c r="E24" s="1080">
        <f t="shared" si="0"/>
        <v>11.54</v>
      </c>
      <c r="F24" s="1080"/>
      <c r="G24" s="1086">
        <f>Consolidated!$F26</f>
        <v>1.161</v>
      </c>
      <c r="H24" s="1086">
        <f>Consolidated!$H$9</f>
        <v>1</v>
      </c>
      <c r="I24" s="534">
        <f t="shared" si="3"/>
        <v>13.3979</v>
      </c>
      <c r="J24" s="535">
        <f t="shared" si="1"/>
        <v>75387.11</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0.91</v>
      </c>
      <c r="E25" s="1080">
        <f t="shared" si="0"/>
        <v>0.91</v>
      </c>
      <c r="F25" s="1080"/>
      <c r="G25" s="1086">
        <f>Consolidated!$F27</f>
        <v>1.161</v>
      </c>
      <c r="H25" s="1086">
        <f>Consolidated!$H$9</f>
        <v>1</v>
      </c>
      <c r="I25" s="534">
        <f t="shared" si="3"/>
        <v>1.0565</v>
      </c>
      <c r="J25" s="535">
        <f t="shared" si="1"/>
        <v>5944.7</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391.18</v>
      </c>
      <c r="D28" s="773">
        <f>SUM(D12:D27)</f>
        <v>387.94</v>
      </c>
      <c r="E28" s="1085">
        <f>SUM(E12:E27)</f>
        <v>779.11999999999989</v>
      </c>
      <c r="F28" s="1085"/>
      <c r="G28" s="1080"/>
      <c r="H28" s="1080"/>
      <c r="I28" s="23">
        <f>SUM(I12:I27)</f>
        <v>815.32910000000004</v>
      </c>
      <c r="J28" s="116">
        <f>SUM(J12:J27)</f>
        <v>4587682.0300000012</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815.32910000000004</v>
      </c>
      <c r="H33" s="1080" t="s">
        <v>45</v>
      </c>
      <c r="I33" s="1080"/>
      <c r="J33" s="32">
        <f>SUM(J32,J28)</f>
        <v>4587682.0300000012</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4587682.0300000012</v>
      </c>
      <c r="H36" s="37" t="s">
        <v>48</v>
      </c>
      <c r="I36" s="38">
        <f>Consolidated!H53</f>
        <v>7.1400000000000005E-2</v>
      </c>
      <c r="J36" s="120">
        <f>ROUND(G36*I36,2)</f>
        <v>327560.5</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4587682.0300000012</v>
      </c>
      <c r="H37" s="37" t="s">
        <v>48</v>
      </c>
      <c r="I37" s="38">
        <f>Consolidated!H54</f>
        <v>1.06E-2</v>
      </c>
      <c r="J37" s="120">
        <f>ROUND(G37*I37,2)</f>
        <v>48629.43</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376189.93</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25.5</v>
      </c>
      <c r="D41" s="776">
        <f>SUMIFS('ESE FTE'!G:G,'ESE FTE'!$A:$A,$I$2,'ESE FTE'!$E:$E,6)</f>
        <v>26.36</v>
      </c>
      <c r="E41" s="1073">
        <f t="shared" ref="E41:E49" si="8">IF($D$50=0,C41*2,C41+D41)</f>
        <v>51.86</v>
      </c>
      <c r="F41" s="1073"/>
      <c r="G41" s="37" t="s">
        <v>57</v>
      </c>
      <c r="H41" s="37">
        <v>251</v>
      </c>
      <c r="I41" s="125">
        <f>Consolidated!$H59</f>
        <v>1047</v>
      </c>
      <c r="J41" s="46">
        <f t="shared" ref="J41:J49" si="9">ROUND(E41*I41,2)</f>
        <v>54297.42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5</v>
      </c>
      <c r="D42" s="122">
        <f>SUMIFS('ESE FTE'!G:G,'ESE FTE'!$A:$A,$I$2,'ESE FTE'!$E:$E,7)</f>
        <v>5.17</v>
      </c>
      <c r="E42" s="1073">
        <f t="shared" si="8"/>
        <v>10.17</v>
      </c>
      <c r="F42" s="1073"/>
      <c r="G42" s="37" t="s">
        <v>57</v>
      </c>
      <c r="H42" s="37">
        <v>252</v>
      </c>
      <c r="I42" s="125">
        <f>Consolidated!$H60</f>
        <v>3380</v>
      </c>
      <c r="J42" s="46">
        <f t="shared" si="9"/>
        <v>34374.6</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46.18</v>
      </c>
      <c r="D44" s="776">
        <f>SUMIFS('ESE FTE'!G:G,'ESE FTE'!$A:$A,$I$2,'ESE FTE'!$E:$E,9)</f>
        <v>45.86</v>
      </c>
      <c r="E44" s="1073">
        <f t="shared" si="8"/>
        <v>92.039999999999992</v>
      </c>
      <c r="F44" s="1073"/>
      <c r="G44" s="47" t="s">
        <v>58</v>
      </c>
      <c r="H44" s="37">
        <v>251</v>
      </c>
      <c r="I44" s="125">
        <f>Consolidated!$H62</f>
        <v>1173</v>
      </c>
      <c r="J44" s="126">
        <f t="shared" si="9"/>
        <v>107962.92</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7.14</v>
      </c>
      <c r="D45" s="122">
        <f>SUMIFS('ESE FTE'!G:G,'ESE FTE'!$A:$A,$I$2,'ESE FTE'!$E:$E,10)</f>
        <v>7.09</v>
      </c>
      <c r="E45" s="1073">
        <f t="shared" si="8"/>
        <v>14.23</v>
      </c>
      <c r="F45" s="1073"/>
      <c r="G45" s="47" t="s">
        <v>58</v>
      </c>
      <c r="H45" s="37">
        <v>252</v>
      </c>
      <c r="I45" s="125">
        <f>Consolidated!$H63</f>
        <v>3506</v>
      </c>
      <c r="J45" s="46">
        <f t="shared" si="9"/>
        <v>49890.38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0.51</v>
      </c>
      <c r="D46" s="122">
        <f>SUMIFS('ESE FTE'!G:G,'ESE FTE'!$A:$A,$I$2,'ESE FTE'!$E:$E,11)</f>
        <v>0.5</v>
      </c>
      <c r="E46" s="1073">
        <f t="shared" si="8"/>
        <v>1.01</v>
      </c>
      <c r="F46" s="1073"/>
      <c r="G46" s="47" t="s">
        <v>58</v>
      </c>
      <c r="H46" s="37">
        <v>253</v>
      </c>
      <c r="I46" s="125">
        <f>Consolidated!$H64</f>
        <v>7023</v>
      </c>
      <c r="J46" s="46">
        <f t="shared" si="9"/>
        <v>7093.23</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84.330000000000013</v>
      </c>
      <c r="D50" s="774">
        <f>SUM(D41:D49)</f>
        <v>84.98</v>
      </c>
      <c r="E50" s="1075">
        <f>SUM(E41:E49)</f>
        <v>169.30999999999997</v>
      </c>
      <c r="F50" s="1075"/>
      <c r="G50" s="1030" t="s">
        <v>61</v>
      </c>
      <c r="H50" s="1030"/>
      <c r="I50" s="1030"/>
      <c r="J50" s="220">
        <f>SUM(J41:J49)</f>
        <v>253618.55000000002</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779.11999999999989</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3.7299999999999998E-3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815.32910000000004</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3.6800000000000001E-3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779.11999999999989</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4.4289999999999998E-3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779.11999999999989</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3.7360000000000002E-3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779.11999999999989</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4.437E-3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3.7360000000000002E-3</v>
      </c>
      <c r="J68" s="127">
        <f>ROUND(G68*I68,2)</f>
        <v>171358.04</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3.7299999999999998E-3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4.437E-3</v>
      </c>
      <c r="J71" s="127">
        <f>ROUND(G71*I71,2)</f>
        <v>83568.33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4.4289999999999998E-3</v>
      </c>
      <c r="J72" s="127">
        <f>ROUND(G72*I72,2)</f>
        <v>49720.09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3.6800000000000001E-3</v>
      </c>
      <c r="J85" s="127">
        <f>ROUND(G85*I85,2)</f>
        <v>1044734.31</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3.6800000000000001E-3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3.7299999999999998E-3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367.27259999999995</v>
      </c>
      <c r="C90" s="80"/>
      <c r="D90" s="981">
        <f>I6</f>
        <v>1.0309999999999999</v>
      </c>
      <c r="E90" s="981"/>
      <c r="F90" s="981"/>
      <c r="G90" s="113">
        <f>Consolidated!F$118</f>
        <v>961.57</v>
      </c>
      <c r="H90" s="47" t="s">
        <v>66</v>
      </c>
      <c r="I90" s="130">
        <f>ROUND(B90*D90*G90,2)</f>
        <v>364106.22</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448.05650000000003</v>
      </c>
      <c r="C91" s="80"/>
      <c r="D91" s="981">
        <f>I6</f>
        <v>1.0309999999999999</v>
      </c>
      <c r="E91" s="981"/>
      <c r="F91" s="981"/>
      <c r="G91" s="113">
        <f>Consolidated!F$119</f>
        <v>918.1</v>
      </c>
      <c r="H91" s="47" t="s">
        <v>66</v>
      </c>
      <c r="I91" s="129">
        <f>ROUND(B91*D91*G91,2)</f>
        <v>424112.85</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815.32909999999993</v>
      </c>
      <c r="C93" s="80"/>
      <c r="D93" s="80"/>
      <c r="E93" s="1059" t="s">
        <v>110</v>
      </c>
      <c r="F93" s="1059"/>
      <c r="G93" s="1059"/>
      <c r="H93" s="1059"/>
      <c r="I93" s="1059"/>
      <c r="J93" s="116">
        <f>IF(A1=75,0,I92+I91+I90)</f>
        <v>788219.07</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536">
        <f>SUM(J106,J105,J98,J97,J93,J86,J85,J71,J70,J68,J33,J72,J50,J87,J84)</f>
        <v>6978900.4200000009</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6602710.4900000012</v>
      </c>
      <c r="R109" s="159" t="s">
        <v>174</v>
      </c>
      <c r="S109" s="159"/>
      <c r="T109" s="159"/>
      <c r="U109" s="159"/>
      <c r="V109" s="159"/>
      <c r="W109" s="159"/>
      <c r="X109" s="159"/>
      <c r="Y109" s="209">
        <f>Y107-Y38</f>
        <v>0</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c r="J111" s="4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638" t="s">
        <v>478</v>
      </c>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39">
        <f>IF(I111=1,J111,J109)</f>
        <v>6602710.4900000012</v>
      </c>
      <c r="J114" s="640">
        <f>ROUND(IF(E28=0,0,IF(E28&gt;250,-(((250/E28)*I114)*IF(H113="H",0.02,0.05)),IF(H113="H",-0.02*I114,-0.05*I114))),2)</f>
        <v>-42372.87</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6936527.5500000007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Payments'!R82</f>
        <v>-1162430.71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5774096.8400000008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577409.68000000005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ROUND(IF(H113="H",(I114*0.02)+J114,(I114*0.05)+J114),2)</f>
        <v>89681.34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40" workbookViewId="0">
      <selection activeCell="G36" sqref="G36:G37"/>
    </sheetView>
  </sheetViews>
  <sheetFormatPr defaultRowHeight="15.75" x14ac:dyDescent="0.25"/>
  <cols>
    <col min="1" max="1" width="13" style="42"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486</v>
      </c>
      <c r="B2" s="101"/>
      <c r="C2" s="101"/>
      <c r="D2" s="101"/>
      <c r="E2" s="6"/>
      <c r="F2" s="6"/>
      <c r="G2" s="6"/>
      <c r="H2" s="6"/>
      <c r="I2" s="685" t="str">
        <f>RIGHT(A2,4)</f>
        <v>2941</v>
      </c>
      <c r="J2" s="6"/>
      <c r="K2" s="6"/>
      <c r="L2" s="6"/>
      <c r="M2" s="6"/>
      <c r="N2" s="6"/>
      <c r="O2" s="6"/>
      <c r="P2" s="6"/>
      <c r="Q2" s="6"/>
      <c r="R2" s="987" t="str">
        <f>Revenue_Estimate_Worksheet_for___________Charter_School</f>
        <v>Revenue Estimate Worksheet: Palm Beach School for Autism - 2941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0.5</v>
      </c>
      <c r="D12" s="699">
        <f>SUMIFS('Surv2-3'!K:K,'Surv2-3'!$H:$H,$I$2,'Surv2-3'!$I:$I,$O12)</f>
        <v>0</v>
      </c>
      <c r="E12" s="1081">
        <f t="shared" ref="E12:E27" si="0">IF($D$28=0,C12*2,C12+D12)</f>
        <v>0.5</v>
      </c>
      <c r="F12" s="1081"/>
      <c r="G12" s="1096">
        <f>Consolidated!$F14</f>
        <v>1.107</v>
      </c>
      <c r="H12" s="1096">
        <f>Consolidated!$H$9</f>
        <v>1</v>
      </c>
      <c r="I12" s="534">
        <f>ROUND(E12*G12,4)</f>
        <v>0.55349999999999999</v>
      </c>
      <c r="J12" s="535">
        <f t="shared" ref="J12:J27" si="1">ROUND(ROUND(ROUND(I12*$E$6,4)*($I$6),2)*(MAX($I$7,1)),2)</f>
        <v>3114.43</v>
      </c>
      <c r="L12" s="21"/>
      <c r="M12" s="2"/>
      <c r="O12" s="2" t="str">
        <f t="shared" ref="O12:O27" si="2">LEFT(R12,3)</f>
        <v>101</v>
      </c>
      <c r="R12" s="1003" t="s">
        <v>20</v>
      </c>
      <c r="S12" s="1003"/>
      <c r="T12" s="1004">
        <f>IF($I$111=1,E12,0)</f>
        <v>0.5</v>
      </c>
      <c r="U12" s="1004"/>
      <c r="V12" s="1005">
        <v>1</v>
      </c>
      <c r="W12" s="1005"/>
      <c r="X12" s="145">
        <f>ROUND(T12*V12,4)</f>
        <v>0.5</v>
      </c>
      <c r="Y12" s="212">
        <f>ROUND(ROUND(ROUND(X12*$E$6,4)*($I$6),2)*(MAX($I$7,1)),2)</f>
        <v>2813.39</v>
      </c>
    </row>
    <row r="13" spans="1:25" x14ac:dyDescent="0.25">
      <c r="A13" s="975" t="s">
        <v>21</v>
      </c>
      <c r="B13" s="975"/>
      <c r="C13" s="389">
        <f>SUMIFS('Surv2-3'!D:D,'Surv2-3'!$A:$A,$I$2,'Surv2-3'!$B:$B,$O13)</f>
        <v>7.5</v>
      </c>
      <c r="D13" s="389">
        <f>SUMIFS('Surv2-3'!K:K,'Surv2-3'!$H:$H,$I$2,'Surv2-3'!$I:$I,$O13)</f>
        <v>5</v>
      </c>
      <c r="E13" s="1080">
        <f t="shared" si="0"/>
        <v>12.5</v>
      </c>
      <c r="F13" s="1080"/>
      <c r="G13" s="1086">
        <f>Consolidated!$F15</f>
        <v>1.107</v>
      </c>
      <c r="H13" s="1086">
        <f>Consolidated!$H$9</f>
        <v>1</v>
      </c>
      <c r="I13" s="534">
        <f t="shared" ref="I13:I27" si="3">ROUND(E13*G13,4)</f>
        <v>13.8375</v>
      </c>
      <c r="J13" s="535">
        <f t="shared" si="1"/>
        <v>77860.649999999994</v>
      </c>
      <c r="L13" s="21"/>
      <c r="M13" s="2"/>
      <c r="O13" s="2" t="str">
        <f t="shared" si="2"/>
        <v>111</v>
      </c>
      <c r="R13" s="1006" t="s">
        <v>21</v>
      </c>
      <c r="S13" s="1006"/>
      <c r="T13" s="1004">
        <f t="shared" ref="T13:T27" si="4">IF($I$111=1,E13,0)</f>
        <v>12.5</v>
      </c>
      <c r="U13" s="1004"/>
      <c r="V13" s="1010">
        <v>1</v>
      </c>
      <c r="W13" s="1010"/>
      <c r="X13" s="145">
        <f t="shared" ref="X13:X27" si="5">ROUND(T13*V13,4)</f>
        <v>12.5</v>
      </c>
      <c r="Y13" s="212">
        <f t="shared" ref="Y13" si="6">ROUND(ROUND(ROUND(X13*$E$6,4)*($I$6),2)*(MAX($I$7,1)),2)</f>
        <v>70334.820000000007</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11</v>
      </c>
      <c r="D15" s="389">
        <f>SUMIFS('Surv2-3'!L:L,'Surv2-3'!$H:$H,$I$2,'Surv2-3'!$I:$I,$O15)</f>
        <v>10.53</v>
      </c>
      <c r="E15" s="1080">
        <f t="shared" si="0"/>
        <v>21.53</v>
      </c>
      <c r="F15" s="1080"/>
      <c r="G15" s="1086">
        <f>Consolidated!$F17</f>
        <v>1</v>
      </c>
      <c r="H15" s="1086">
        <f>Consolidated!$H$9</f>
        <v>1</v>
      </c>
      <c r="I15" s="534">
        <f t="shared" si="3"/>
        <v>21.53</v>
      </c>
      <c r="J15" s="535">
        <f t="shared" si="1"/>
        <v>121144.69</v>
      </c>
      <c r="M15" s="2"/>
      <c r="O15" s="2" t="str">
        <f t="shared" si="2"/>
        <v>112</v>
      </c>
      <c r="R15" s="1006" t="s">
        <v>23</v>
      </c>
      <c r="S15" s="1006"/>
      <c r="T15" s="1004">
        <f t="shared" si="4"/>
        <v>21.53</v>
      </c>
      <c r="U15" s="1004"/>
      <c r="V15" s="1010">
        <v>1</v>
      </c>
      <c r="W15" s="1010"/>
      <c r="X15" s="145">
        <f t="shared" si="5"/>
        <v>21.53</v>
      </c>
      <c r="Y15" s="212">
        <f t="shared" ref="Y15:Y27" si="7">ROUND(ROUND(ROUND(X15*$E$6,4)*($I$6),2)*(MAX($I$7,1)),2)</f>
        <v>121144.69</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23.15</v>
      </c>
      <c r="D17" s="389">
        <f>SUMIFS('Surv2-3'!M:M,'Surv2-3'!$H:$H,$I$2,'Surv2-3'!$I:$I,$O17)</f>
        <v>23.9</v>
      </c>
      <c r="E17" s="1080">
        <f t="shared" si="0"/>
        <v>47.05</v>
      </c>
      <c r="F17" s="1080"/>
      <c r="G17" s="1086">
        <f>Consolidated!$F19</f>
        <v>0.96499999999999997</v>
      </c>
      <c r="H17" s="1086">
        <f>Consolidated!$H$9</f>
        <v>1</v>
      </c>
      <c r="I17" s="534">
        <f t="shared" si="3"/>
        <v>45.403300000000002</v>
      </c>
      <c r="J17" s="535">
        <f t="shared" si="1"/>
        <v>255474.63</v>
      </c>
      <c r="M17" s="2"/>
      <c r="O17" s="2" t="str">
        <f t="shared" si="2"/>
        <v>113</v>
      </c>
      <c r="R17" s="1006" t="s">
        <v>25</v>
      </c>
      <c r="S17" s="1006"/>
      <c r="T17" s="1004">
        <f t="shared" si="4"/>
        <v>47.05</v>
      </c>
      <c r="U17" s="1004"/>
      <c r="V17" s="1010">
        <v>1</v>
      </c>
      <c r="W17" s="1010"/>
      <c r="X17" s="145">
        <f t="shared" si="5"/>
        <v>47.05</v>
      </c>
      <c r="Y17" s="212">
        <f t="shared" si="7"/>
        <v>264740.26</v>
      </c>
    </row>
    <row r="18" spans="1:25" x14ac:dyDescent="0.25">
      <c r="A18" s="975" t="s">
        <v>26</v>
      </c>
      <c r="B18" s="975"/>
      <c r="C18" s="389">
        <f>SUMIFS('Surv2-3'!D:D,'Surv2-3'!$A:$A,$I$2,'Surv2-3'!$B:$B,$O18)</f>
        <v>42.5</v>
      </c>
      <c r="D18" s="389">
        <f>SUMIFS('Surv2-3'!K:K,'Surv2-3'!$H:$H,$I$2,'Surv2-3'!$I:$I,$O18)</f>
        <v>40.49</v>
      </c>
      <c r="E18" s="1080">
        <f t="shared" si="0"/>
        <v>82.990000000000009</v>
      </c>
      <c r="F18" s="1080"/>
      <c r="G18" s="1086">
        <f>Consolidated!$F20</f>
        <v>3.5150000000000001</v>
      </c>
      <c r="H18" s="1086">
        <f>Consolidated!$H$9</f>
        <v>1</v>
      </c>
      <c r="I18" s="534">
        <f t="shared" si="3"/>
        <v>291.7099</v>
      </c>
      <c r="J18" s="535">
        <f t="shared" si="1"/>
        <v>1641389.06</v>
      </c>
      <c r="M18" s="2"/>
      <c r="O18" s="2" t="str">
        <f t="shared" si="2"/>
        <v>254</v>
      </c>
      <c r="R18" s="1006" t="s">
        <v>26</v>
      </c>
      <c r="S18" s="1006"/>
      <c r="T18" s="1004">
        <f t="shared" si="4"/>
        <v>82.990000000000009</v>
      </c>
      <c r="U18" s="1004"/>
      <c r="V18" s="1010">
        <v>1</v>
      </c>
      <c r="W18" s="1010"/>
      <c r="X18" s="145">
        <f t="shared" si="5"/>
        <v>82.99</v>
      </c>
      <c r="Y18" s="212">
        <f t="shared" si="7"/>
        <v>466966.94</v>
      </c>
    </row>
    <row r="19" spans="1:25" x14ac:dyDescent="0.25">
      <c r="A19" s="975" t="s">
        <v>27</v>
      </c>
      <c r="B19" s="975"/>
      <c r="C19" s="389">
        <f>SUMIFS('Surv2-3'!E:E,'Surv2-3'!$A:$A,$I$2,'Surv2-3'!$B:$B,$O19)</f>
        <v>30</v>
      </c>
      <c r="D19" s="389">
        <f>SUMIFS('Surv2-3'!L:L,'Surv2-3'!$H:$H,$I$2,'Surv2-3'!$I:$I,$O19)</f>
        <v>31</v>
      </c>
      <c r="E19" s="1080">
        <f t="shared" si="0"/>
        <v>61</v>
      </c>
      <c r="F19" s="1080"/>
      <c r="G19" s="1086">
        <f>Consolidated!$F21</f>
        <v>3.5150000000000001</v>
      </c>
      <c r="H19" s="1086">
        <f>Consolidated!$H$9</f>
        <v>1</v>
      </c>
      <c r="I19" s="534">
        <f t="shared" si="3"/>
        <v>214.41499999999999</v>
      </c>
      <c r="J19" s="535">
        <f t="shared" si="1"/>
        <v>1206467.23</v>
      </c>
      <c r="M19" s="2"/>
      <c r="O19" s="2" t="str">
        <f t="shared" si="2"/>
        <v>254</v>
      </c>
      <c r="R19" s="1006" t="s">
        <v>27</v>
      </c>
      <c r="S19" s="1006"/>
      <c r="T19" s="1004">
        <f t="shared" si="4"/>
        <v>61</v>
      </c>
      <c r="U19" s="1004"/>
      <c r="V19" s="1010">
        <v>1</v>
      </c>
      <c r="W19" s="1010"/>
      <c r="X19" s="145">
        <f t="shared" si="5"/>
        <v>61</v>
      </c>
      <c r="Y19" s="212">
        <f t="shared" si="7"/>
        <v>343233.92</v>
      </c>
    </row>
    <row r="20" spans="1:25" x14ac:dyDescent="0.25">
      <c r="A20" s="975" t="s">
        <v>28</v>
      </c>
      <c r="B20" s="975"/>
      <c r="C20" s="389">
        <f>SUMIFS('Surv2-3'!F:F,'Surv2-3'!$A:$A,$I$2,'Surv2-3'!$B:$B,$O20)</f>
        <v>32.5</v>
      </c>
      <c r="D20" s="389">
        <f>SUMIFS('Surv2-3'!M:M,'Surv2-3'!$H:$H,$I$2,'Surv2-3'!$I:$I,$O20)</f>
        <v>31.5</v>
      </c>
      <c r="E20" s="1080">
        <f t="shared" si="0"/>
        <v>64</v>
      </c>
      <c r="F20" s="1080"/>
      <c r="G20" s="1086">
        <f>Consolidated!$F22</f>
        <v>3.5150000000000001</v>
      </c>
      <c r="H20" s="1086">
        <f>Consolidated!$H$9</f>
        <v>1</v>
      </c>
      <c r="I20" s="534">
        <f t="shared" si="3"/>
        <v>224.96</v>
      </c>
      <c r="J20" s="535">
        <f t="shared" si="1"/>
        <v>1265801.69</v>
      </c>
      <c r="M20" s="2"/>
      <c r="O20" s="2" t="str">
        <f t="shared" si="2"/>
        <v>254</v>
      </c>
      <c r="R20" s="1006" t="s">
        <v>28</v>
      </c>
      <c r="S20" s="1006"/>
      <c r="T20" s="1004">
        <f t="shared" si="4"/>
        <v>64</v>
      </c>
      <c r="U20" s="1004"/>
      <c r="V20" s="1010">
        <v>1</v>
      </c>
      <c r="W20" s="1010"/>
      <c r="X20" s="145">
        <f t="shared" si="5"/>
        <v>64</v>
      </c>
      <c r="Y20" s="212">
        <f t="shared" si="7"/>
        <v>360114.28</v>
      </c>
    </row>
    <row r="21" spans="1:25" ht="15" customHeight="1" x14ac:dyDescent="0.25">
      <c r="A21" s="975" t="s">
        <v>29</v>
      </c>
      <c r="B21" s="975"/>
      <c r="C21" s="389">
        <f>SUMIFS('Surv2-3'!D:D,'Surv2-3'!$A:$A,$I$2,'Surv2-3'!$B:$B,$O21)</f>
        <v>12.5</v>
      </c>
      <c r="D21" s="389">
        <f>SUMIFS('Surv2-3'!K:K,'Surv2-3'!$H:$H,$I$2,'Surv2-3'!$I:$I,$O21)</f>
        <v>18</v>
      </c>
      <c r="E21" s="1080">
        <f t="shared" si="0"/>
        <v>30.5</v>
      </c>
      <c r="F21" s="1080"/>
      <c r="G21" s="1086">
        <f>Consolidated!$F23</f>
        <v>5.9059999999999997</v>
      </c>
      <c r="H21" s="1086">
        <f>Consolidated!$H$9</f>
        <v>1</v>
      </c>
      <c r="I21" s="534">
        <f t="shared" si="3"/>
        <v>180.13300000000001</v>
      </c>
      <c r="J21" s="535">
        <f t="shared" si="1"/>
        <v>1013569.77</v>
      </c>
      <c r="M21" s="2"/>
      <c r="O21" s="2" t="str">
        <f t="shared" si="2"/>
        <v>255</v>
      </c>
      <c r="R21" s="1006" t="s">
        <v>29</v>
      </c>
      <c r="S21" s="1006"/>
      <c r="T21" s="1004">
        <f t="shared" si="4"/>
        <v>30.5</v>
      </c>
      <c r="U21" s="1004"/>
      <c r="V21" s="1010">
        <v>1</v>
      </c>
      <c r="W21" s="1010"/>
      <c r="X21" s="145">
        <f t="shared" si="5"/>
        <v>30.5</v>
      </c>
      <c r="Y21" s="212">
        <f t="shared" si="7"/>
        <v>171616.96</v>
      </c>
    </row>
    <row r="22" spans="1:25" ht="15" customHeight="1" x14ac:dyDescent="0.25">
      <c r="A22" s="975" t="s">
        <v>30</v>
      </c>
      <c r="B22" s="975"/>
      <c r="C22" s="389">
        <f>SUMIFS('Surv2-3'!E:E,'Surv2-3'!$A:$A,$I$2,'Surv2-3'!$B:$B,$O22)</f>
        <v>18.5</v>
      </c>
      <c r="D22" s="389">
        <f>SUMIFS('Surv2-3'!L:L,'Surv2-3'!$H:$H,$I$2,'Surv2-3'!$I:$I,$O22)</f>
        <v>18</v>
      </c>
      <c r="E22" s="1080">
        <f t="shared" si="0"/>
        <v>36.5</v>
      </c>
      <c r="F22" s="1080"/>
      <c r="G22" s="1086">
        <f>Consolidated!$F24</f>
        <v>5.9059999999999997</v>
      </c>
      <c r="H22" s="1086">
        <f>Consolidated!$H$9</f>
        <v>1</v>
      </c>
      <c r="I22" s="534">
        <f t="shared" si="3"/>
        <v>215.56899999999999</v>
      </c>
      <c r="J22" s="535">
        <f t="shared" si="1"/>
        <v>1212960.55</v>
      </c>
      <c r="M22" s="2"/>
      <c r="O22" s="2" t="str">
        <f t="shared" si="2"/>
        <v>255</v>
      </c>
      <c r="R22" s="1006" t="s">
        <v>30</v>
      </c>
      <c r="S22" s="1006"/>
      <c r="T22" s="1004">
        <f t="shared" si="4"/>
        <v>36.5</v>
      </c>
      <c r="U22" s="1004"/>
      <c r="V22" s="1010">
        <v>1</v>
      </c>
      <c r="W22" s="1010"/>
      <c r="X22" s="145">
        <f t="shared" si="5"/>
        <v>36.5</v>
      </c>
      <c r="Y22" s="212">
        <f t="shared" si="7"/>
        <v>205377.67</v>
      </c>
    </row>
    <row r="23" spans="1:25" ht="15" customHeight="1" x14ac:dyDescent="0.25">
      <c r="A23" s="975" t="s">
        <v>31</v>
      </c>
      <c r="B23" s="975"/>
      <c r="C23" s="389">
        <f>SUMIFS('Surv2-3'!F:F,'Surv2-3'!$A:$A,$I$2,'Surv2-3'!$B:$B,$O23)</f>
        <v>12.5</v>
      </c>
      <c r="D23" s="389">
        <f>SUMIFS('Surv2-3'!M:M,'Surv2-3'!$H:$H,$I$2,'Surv2-3'!$I:$I,$O23)</f>
        <v>11</v>
      </c>
      <c r="E23" s="1080">
        <f t="shared" si="0"/>
        <v>23.5</v>
      </c>
      <c r="F23" s="1080"/>
      <c r="G23" s="1086">
        <f>Consolidated!$F25</f>
        <v>5.9059999999999997</v>
      </c>
      <c r="H23" s="1086">
        <f>Consolidated!$H$9</f>
        <v>1</v>
      </c>
      <c r="I23" s="534">
        <f t="shared" si="3"/>
        <v>138.791</v>
      </c>
      <c r="J23" s="535">
        <f t="shared" si="1"/>
        <v>780947.2</v>
      </c>
      <c r="M23" s="2"/>
      <c r="O23" s="2" t="str">
        <f t="shared" si="2"/>
        <v>255</v>
      </c>
      <c r="R23" s="1006" t="s">
        <v>31</v>
      </c>
      <c r="S23" s="1006"/>
      <c r="T23" s="1004">
        <f t="shared" si="4"/>
        <v>23.5</v>
      </c>
      <c r="U23" s="1004"/>
      <c r="V23" s="1010">
        <v>1</v>
      </c>
      <c r="W23" s="1010"/>
      <c r="X23" s="145">
        <f t="shared" si="5"/>
        <v>23.5</v>
      </c>
      <c r="Y23" s="212">
        <f t="shared" si="7"/>
        <v>132229.46</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190.65</v>
      </c>
      <c r="D28" s="773">
        <f>SUM(D12:D27)</f>
        <v>189.42000000000002</v>
      </c>
      <c r="E28" s="1085">
        <f>SUM(E12:E27)</f>
        <v>380.07</v>
      </c>
      <c r="F28" s="1085"/>
      <c r="G28" s="1080"/>
      <c r="H28" s="1080"/>
      <c r="I28" s="23">
        <f>SUM(I12:I27)</f>
        <v>1346.9022</v>
      </c>
      <c r="J28" s="116">
        <f>SUM(J12:J27)</f>
        <v>7578729.9000000004</v>
      </c>
      <c r="M28" s="2"/>
      <c r="R28" s="1023" t="s">
        <v>36</v>
      </c>
      <c r="S28" s="1023"/>
      <c r="T28" s="1024">
        <f>SUM(T12:T27)</f>
        <v>380.07</v>
      </c>
      <c r="U28" s="1024"/>
      <c r="V28" s="1025"/>
      <c r="W28" s="1025"/>
      <c r="X28" s="147">
        <f>SUM(X12:X27)</f>
        <v>380.07</v>
      </c>
      <c r="Y28" s="212">
        <f>SUM(Y12:Y27)</f>
        <v>2138572.39</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1346.9022</v>
      </c>
      <c r="H33" s="1080" t="s">
        <v>45</v>
      </c>
      <c r="I33" s="1080"/>
      <c r="J33" s="32">
        <f>SUM(J32,J28)</f>
        <v>7578729.9000000004</v>
      </c>
      <c r="M33" s="2"/>
      <c r="R33" s="1029" t="s">
        <v>44</v>
      </c>
      <c r="S33" s="1029"/>
      <c r="T33" s="1029"/>
      <c r="U33" s="1029"/>
      <c r="V33" s="153">
        <f>V32+X28</f>
        <v>380.07</v>
      </c>
      <c r="W33" s="1025" t="s">
        <v>45</v>
      </c>
      <c r="X33" s="1025"/>
      <c r="Y33" s="154">
        <f>SUM(Y32,Y28)</f>
        <v>2138572.39</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7578729.9000000004</v>
      </c>
      <c r="H36" s="37" t="s">
        <v>48</v>
      </c>
      <c r="I36" s="38">
        <f>Consolidated!H53</f>
        <v>7.1400000000000005E-2</v>
      </c>
      <c r="J36" s="120">
        <f>ROUND(G36*I36,2)</f>
        <v>541121.31000000006</v>
      </c>
      <c r="K36" s="39"/>
      <c r="L36" s="33"/>
      <c r="M36" s="33"/>
      <c r="N36" s="33"/>
      <c r="O36" s="31"/>
      <c r="P36" s="34"/>
      <c r="Q36" s="34"/>
      <c r="R36" s="1006" t="str">
        <f>A36</f>
        <v>Maintenance Portion (7.14% of Conference Funding)</v>
      </c>
      <c r="S36" s="1006"/>
      <c r="T36" s="1006"/>
      <c r="U36" s="158"/>
      <c r="V36" s="161">
        <f>Y28</f>
        <v>2138572.39</v>
      </c>
      <c r="W36" s="162" t="s">
        <v>48</v>
      </c>
      <c r="X36" s="163">
        <f>I36</f>
        <v>7.1400000000000005E-2</v>
      </c>
      <c r="Y36" s="212">
        <f>J36</f>
        <v>541121.31000000006</v>
      </c>
    </row>
    <row r="37" spans="1:25" ht="20.25" customHeight="1" x14ac:dyDescent="0.25">
      <c r="A37" s="975" t="str">
        <f>Consolidated!B54</f>
        <v>Growth Portion (1.06% of Conference Funding)</v>
      </c>
      <c r="B37" s="975"/>
      <c r="C37" s="975"/>
      <c r="D37" s="975"/>
      <c r="E37" s="975"/>
      <c r="F37" s="36" t="s">
        <v>47</v>
      </c>
      <c r="G37" s="121">
        <v>7578729.9000000004</v>
      </c>
      <c r="H37" s="37" t="s">
        <v>48</v>
      </c>
      <c r="I37" s="38">
        <f>Consolidated!H54</f>
        <v>1.06E-2</v>
      </c>
      <c r="J37" s="120">
        <f>ROUND(G37*I37,2)</f>
        <v>80334.539999999994</v>
      </c>
      <c r="K37" s="39"/>
      <c r="L37" s="33"/>
      <c r="M37" s="33"/>
      <c r="N37" s="33"/>
      <c r="O37" s="31"/>
      <c r="P37" s="34"/>
      <c r="Q37" s="34"/>
      <c r="R37" s="1006" t="str">
        <f>A37</f>
        <v>Growth Portion (1.06% of Conference Funding)</v>
      </c>
      <c r="S37" s="1006"/>
      <c r="T37" s="1006"/>
      <c r="U37" s="158"/>
      <c r="V37" s="161">
        <f>Y28</f>
        <v>2138572.39</v>
      </c>
      <c r="W37" s="162" t="s">
        <v>48</v>
      </c>
      <c r="X37" s="163">
        <f>I37</f>
        <v>1.06E-2</v>
      </c>
      <c r="Y37" s="212">
        <f>J37</f>
        <v>80334.539999999994</v>
      </c>
    </row>
    <row r="38" spans="1:25" ht="20.25" customHeight="1" x14ac:dyDescent="0.25">
      <c r="A38" s="1012" t="s">
        <v>49</v>
      </c>
      <c r="B38" s="1012"/>
      <c r="C38" s="1012"/>
      <c r="D38" s="1012"/>
      <c r="E38" s="1012"/>
      <c r="F38" s="36" t="s">
        <v>50</v>
      </c>
      <c r="G38" s="40"/>
      <c r="H38" s="37"/>
      <c r="I38" s="41"/>
      <c r="J38" s="120">
        <f>SUM(J36:J37)</f>
        <v>621455.85000000009</v>
      </c>
      <c r="K38" s="39"/>
      <c r="L38" s="33"/>
      <c r="M38" s="33"/>
      <c r="N38" s="33"/>
      <c r="O38" s="31"/>
      <c r="P38" s="34"/>
      <c r="Q38" s="34"/>
      <c r="R38" s="1015" t="s">
        <v>49</v>
      </c>
      <c r="S38" s="1015"/>
      <c r="T38" s="1015"/>
      <c r="U38" s="158" t="s">
        <v>50</v>
      </c>
      <c r="V38" s="164"/>
      <c r="W38" s="162"/>
      <c r="X38" s="165"/>
      <c r="Y38" s="212">
        <f>Y36+Y37</f>
        <v>621455.85000000009</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0.83</v>
      </c>
      <c r="D41" s="776">
        <f>SUMIFS('ESE FTE'!G:G,'ESE FTE'!$A:$A,$I$2,'ESE FTE'!$E:$E,6)</f>
        <v>0.56000000000000005</v>
      </c>
      <c r="E41" s="1073">
        <f t="shared" ref="E41:E49" si="8">IF($D$50=0,C41*2,C41+D41)</f>
        <v>1.3900000000000001</v>
      </c>
      <c r="F41" s="1073"/>
      <c r="G41" s="37" t="s">
        <v>57</v>
      </c>
      <c r="H41" s="37">
        <v>251</v>
      </c>
      <c r="I41" s="125">
        <f>Consolidated!$H59</f>
        <v>1047</v>
      </c>
      <c r="J41" s="126">
        <f t="shared" ref="J41:J49" si="9">ROUND(E41*I41,2)</f>
        <v>1455.33</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12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6.67</v>
      </c>
      <c r="D43" s="122">
        <f>SUMIFS('ESE FTE'!G:G,'ESE FTE'!$A:$A,$I$2,'ESE FTE'!$E:$E,8)</f>
        <v>4.4400000000000004</v>
      </c>
      <c r="E43" s="1073">
        <f t="shared" si="8"/>
        <v>11.11</v>
      </c>
      <c r="F43" s="1073"/>
      <c r="G43" s="37" t="s">
        <v>57</v>
      </c>
      <c r="H43" s="37">
        <v>253</v>
      </c>
      <c r="I43" s="125">
        <f>Consolidated!$H61</f>
        <v>6896</v>
      </c>
      <c r="J43" s="126">
        <f t="shared" si="9"/>
        <v>76614.559999999998</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12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11</v>
      </c>
      <c r="D46" s="122">
        <f>SUMIFS('ESE FTE'!G:G,'ESE FTE'!$A:$A,$I$2,'ESE FTE'!$E:$E,11)</f>
        <v>10.53</v>
      </c>
      <c r="E46" s="1073">
        <f t="shared" si="8"/>
        <v>21.53</v>
      </c>
      <c r="F46" s="1073"/>
      <c r="G46" s="47" t="s">
        <v>58</v>
      </c>
      <c r="H46" s="37">
        <v>253</v>
      </c>
      <c r="I46" s="125">
        <f>Consolidated!$H64</f>
        <v>7023</v>
      </c>
      <c r="J46" s="126">
        <f t="shared" si="9"/>
        <v>151205.19</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12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2.99</v>
      </c>
      <c r="D48" s="122">
        <f>SUMIFS('ESE FTE'!G:G,'ESE FTE'!$A:$A,$I$2,'ESE FTE'!$E:$E,13)</f>
        <v>3.09</v>
      </c>
      <c r="E48" s="1073">
        <f t="shared" si="8"/>
        <v>6.08</v>
      </c>
      <c r="F48" s="1073"/>
      <c r="G48" s="47" t="s">
        <v>59</v>
      </c>
      <c r="H48" s="37">
        <v>252</v>
      </c>
      <c r="I48" s="125">
        <f>Consolidated!$H66</f>
        <v>3168</v>
      </c>
      <c r="J48" s="126">
        <f t="shared" si="9"/>
        <v>19261.439999999999</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20.16</v>
      </c>
      <c r="D49" s="122">
        <f>SUMIFS('ESE FTE'!G:G,'ESE FTE'!$A:$A,$I$2,'ESE FTE'!$E:$E,14)</f>
        <v>20.81</v>
      </c>
      <c r="E49" s="1074">
        <f t="shared" si="8"/>
        <v>40.97</v>
      </c>
      <c r="F49" s="1074"/>
      <c r="G49" s="47" t="s">
        <v>59</v>
      </c>
      <c r="H49" s="37">
        <v>253</v>
      </c>
      <c r="I49" s="125">
        <f>Consolidated!$H67</f>
        <v>6685</v>
      </c>
      <c r="J49" s="126">
        <f t="shared" si="9"/>
        <v>273884.45</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41.650000000000006</v>
      </c>
      <c r="D50" s="774">
        <f>SUM(D41:D49)</f>
        <v>39.429999999999993</v>
      </c>
      <c r="E50" s="1075">
        <f>SUM(E41:E49)</f>
        <v>81.08</v>
      </c>
      <c r="F50" s="1075"/>
      <c r="G50" s="1030" t="s">
        <v>61</v>
      </c>
      <c r="H50" s="1030"/>
      <c r="I50" s="1030"/>
      <c r="J50" s="220">
        <f>SUM(J41:J49)</f>
        <v>522420.97000000003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380.07</v>
      </c>
      <c r="U52" s="173" t="s">
        <v>64</v>
      </c>
      <c r="V52" s="174"/>
      <c r="W52" s="175" t="s">
        <v>65</v>
      </c>
      <c r="X52" s="1037">
        <f>I53</f>
        <v>208856.94000000003</v>
      </c>
      <c r="Y52" s="1037"/>
    </row>
    <row r="53" spans="1:25" ht="16.5" customHeight="1" x14ac:dyDescent="0.25">
      <c r="A53" s="1013" t="s">
        <v>63</v>
      </c>
      <c r="B53" s="1013"/>
      <c r="C53" s="51"/>
      <c r="D53" s="51"/>
      <c r="E53" s="48">
        <f>E28</f>
        <v>380.07</v>
      </c>
      <c r="F53" s="49" t="s">
        <v>64</v>
      </c>
      <c r="G53" s="3"/>
      <c r="H53" s="50" t="s">
        <v>65</v>
      </c>
      <c r="I53" s="1111">
        <f>Consolidated!H$71</f>
        <v>208856.94000000003</v>
      </c>
      <c r="J53" s="1111"/>
      <c r="M53" s="2"/>
      <c r="R53" s="176"/>
      <c r="S53" s="177"/>
      <c r="T53" s="159"/>
      <c r="U53" s="159"/>
      <c r="V53" s="159"/>
      <c r="W53" s="178" t="s">
        <v>66</v>
      </c>
      <c r="X53" s="1038">
        <f>ROUND(T52/X52,6)</f>
        <v>1.82E-3</v>
      </c>
      <c r="Y53" s="1038"/>
    </row>
    <row r="54" spans="1:25" ht="22.5" customHeight="1" x14ac:dyDescent="0.25">
      <c r="A54" s="51"/>
      <c r="B54" s="52"/>
      <c r="C54" s="52"/>
      <c r="D54" s="52"/>
      <c r="H54" s="53" t="s">
        <v>66</v>
      </c>
      <c r="I54" s="1064">
        <f>IFERROR(ROUND(E53/I53,6),0)</f>
        <v>1.82E-3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380.07</v>
      </c>
      <c r="U55" s="173" t="s">
        <v>64</v>
      </c>
      <c r="V55" s="174"/>
      <c r="W55" s="175" t="s">
        <v>69</v>
      </c>
      <c r="X55" s="1037">
        <f>I56</f>
        <v>221542.28000000003</v>
      </c>
      <c r="Y55" s="1037"/>
    </row>
    <row r="56" spans="1:25" ht="16.5" customHeight="1" x14ac:dyDescent="0.25">
      <c r="A56" s="1013" t="s">
        <v>68</v>
      </c>
      <c r="B56" s="1013"/>
      <c r="C56" s="51"/>
      <c r="D56" s="51"/>
      <c r="E56" s="48">
        <f>G33</f>
        <v>1346.9022</v>
      </c>
      <c r="F56" s="49" t="s">
        <v>64</v>
      </c>
      <c r="G56" s="3"/>
      <c r="H56" s="50" t="s">
        <v>69</v>
      </c>
      <c r="I56" s="1111">
        <f>Consolidated!H$74</f>
        <v>221542.28000000003</v>
      </c>
      <c r="J56" s="1111"/>
      <c r="M56" s="2"/>
      <c r="R56" s="176"/>
      <c r="S56" s="159"/>
      <c r="T56" s="159"/>
      <c r="U56" s="159"/>
      <c r="V56" s="159"/>
      <c r="W56" s="178" t="s">
        <v>66</v>
      </c>
      <c r="X56" s="1038">
        <f>ROUND(T55/X55,6)</f>
        <v>1.7160000000000001E-3</v>
      </c>
      <c r="Y56" s="1038"/>
    </row>
    <row r="57" spans="1:25" ht="18.75" customHeight="1" x14ac:dyDescent="0.25">
      <c r="A57" s="51"/>
      <c r="H57" s="53" t="s">
        <v>66</v>
      </c>
      <c r="I57" s="1064">
        <f>IFERROR(ROUND(E56/I56,6),0)</f>
        <v>6.0800000000000003E-3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380.07</v>
      </c>
      <c r="U58" s="173" t="s">
        <v>64</v>
      </c>
      <c r="V58" s="1036" t="s">
        <v>72</v>
      </c>
      <c r="W58" s="1036"/>
      <c r="X58" s="1037">
        <f>I59</f>
        <v>175905.69000000003</v>
      </c>
      <c r="Y58" s="1037"/>
    </row>
    <row r="59" spans="1:25" ht="18.75" customHeight="1" x14ac:dyDescent="0.25">
      <c r="A59" s="1013" t="s">
        <v>71</v>
      </c>
      <c r="B59" s="1013"/>
      <c r="C59" s="51"/>
      <c r="D59" s="51"/>
      <c r="E59" s="48">
        <f>E28</f>
        <v>380.07</v>
      </c>
      <c r="F59" s="49" t="s">
        <v>64</v>
      </c>
      <c r="G59" s="1107" t="s">
        <v>72</v>
      </c>
      <c r="H59" s="1107"/>
      <c r="I59" s="1111">
        <f>Consolidated!H$77</f>
        <v>175905.69000000003</v>
      </c>
      <c r="J59" s="1111"/>
      <c r="M59" s="2"/>
      <c r="R59" s="176"/>
      <c r="S59" s="159"/>
      <c r="T59" s="159"/>
      <c r="U59" s="159"/>
      <c r="V59" s="159"/>
      <c r="W59" s="178" t="s">
        <v>66</v>
      </c>
      <c r="X59" s="1038">
        <f>ROUND(T58/X58,6)</f>
        <v>2.1610000000000002E-3</v>
      </c>
      <c r="Y59" s="1038"/>
    </row>
    <row r="60" spans="1:25" ht="18" customHeight="1" x14ac:dyDescent="0.25">
      <c r="A60" s="51"/>
      <c r="H60" s="53" t="s">
        <v>66</v>
      </c>
      <c r="I60" s="1064">
        <f>IFERROR(ROUND(E59/I59,6),0)</f>
        <v>2.1610000000000002E-3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380.07</v>
      </c>
      <c r="U61" s="173" t="s">
        <v>64</v>
      </c>
      <c r="V61" s="1036" t="s">
        <v>74</v>
      </c>
      <c r="W61" s="1036"/>
      <c r="X61" s="1037">
        <f>I62</f>
        <v>208541.94000000003</v>
      </c>
      <c r="Y61" s="1037"/>
    </row>
    <row r="62" spans="1:25" ht="30.75" customHeight="1" x14ac:dyDescent="0.25">
      <c r="A62" s="1013" t="s">
        <v>71</v>
      </c>
      <c r="B62" s="1013"/>
      <c r="C62" s="51"/>
      <c r="D62" s="51"/>
      <c r="E62" s="48">
        <f>E28</f>
        <v>380.07</v>
      </c>
      <c r="F62" s="49" t="s">
        <v>64</v>
      </c>
      <c r="G62" s="1107" t="s">
        <v>74</v>
      </c>
      <c r="H62" s="1107"/>
      <c r="I62" s="1111">
        <f>Consolidated!H$80</f>
        <v>208541.94000000003</v>
      </c>
      <c r="J62" s="1111"/>
      <c r="M62" s="2"/>
      <c r="R62" s="176"/>
      <c r="S62" s="159"/>
      <c r="T62" s="159"/>
      <c r="U62" s="159"/>
      <c r="V62" s="159"/>
      <c r="W62" s="178" t="s">
        <v>66</v>
      </c>
      <c r="X62" s="1038">
        <f>ROUND(T61/X61,6)</f>
        <v>1.823E-3</v>
      </c>
      <c r="Y62" s="1038"/>
    </row>
    <row r="63" spans="1:25" ht="19.5" customHeight="1" x14ac:dyDescent="0.25">
      <c r="A63" s="51"/>
      <c r="H63" s="53" t="s">
        <v>66</v>
      </c>
      <c r="I63" s="1064">
        <f>IFERROR(ROUND(E62/I62,6),0)</f>
        <v>1.823E-3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380.07</v>
      </c>
      <c r="U64" s="173" t="s">
        <v>64</v>
      </c>
      <c r="V64" s="1036" t="s">
        <v>159</v>
      </c>
      <c r="W64" s="1036"/>
      <c r="X64" s="1037">
        <f>I65</f>
        <v>175590.69000000003</v>
      </c>
      <c r="Y64" s="1037"/>
    </row>
    <row r="65" spans="1:26" ht="49.5" customHeight="1" x14ac:dyDescent="0.25">
      <c r="A65" s="1013" t="s">
        <v>71</v>
      </c>
      <c r="B65" s="1013"/>
      <c r="C65" s="51"/>
      <c r="D65" s="51"/>
      <c r="E65" s="48">
        <f>E28</f>
        <v>380.07</v>
      </c>
      <c r="F65" s="49" t="s">
        <v>64</v>
      </c>
      <c r="G65" s="1107" t="s">
        <v>76</v>
      </c>
      <c r="H65" s="1107"/>
      <c r="I65" s="1111">
        <f>Consolidated!H$83</f>
        <v>175590.69000000003</v>
      </c>
      <c r="J65" s="1111"/>
      <c r="M65" s="2"/>
      <c r="R65" s="179"/>
      <c r="S65" s="159"/>
      <c r="T65" s="159"/>
      <c r="U65" s="159"/>
      <c r="V65" s="159"/>
      <c r="W65" s="178" t="s">
        <v>66</v>
      </c>
      <c r="X65" s="1038">
        <f>ROUND(T64/X64,6)</f>
        <v>2.1649999999999998E-3</v>
      </c>
      <c r="Y65" s="1038"/>
    </row>
    <row r="66" spans="1:26" ht="19.5" customHeight="1" x14ac:dyDescent="0.25">
      <c r="A66" s="51"/>
      <c r="H66" s="53" t="s">
        <v>66</v>
      </c>
      <c r="I66" s="1064">
        <f>IFERROR(ROUND(E65/I65,6),0)</f>
        <v>2.1649999999999998E-3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1.823E-3</v>
      </c>
      <c r="Y67" s="215">
        <f>ROUND(V67*X67,2)</f>
        <v>83615.02</v>
      </c>
    </row>
    <row r="68" spans="1:26" ht="30.75" customHeight="1" x14ac:dyDescent="0.25">
      <c r="A68" s="1065" t="s">
        <v>77</v>
      </c>
      <c r="B68" s="1065"/>
      <c r="C68" s="1065"/>
      <c r="D68" s="1065"/>
      <c r="E68" s="1065"/>
      <c r="F68" s="36" t="s">
        <v>78</v>
      </c>
      <c r="G68" s="221">
        <f>Consolidated!F$86</f>
        <v>45866714</v>
      </c>
      <c r="H68" s="37" t="s">
        <v>79</v>
      </c>
      <c r="I68" s="41">
        <f>I63</f>
        <v>1.823E-3</v>
      </c>
      <c r="J68" s="127">
        <f>ROUND(G68*I68,2)</f>
        <v>83615.02</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1.82E-3</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1.82E-3</v>
      </c>
      <c r="J70" s="127">
        <f>ROUND(G70*I70,2)</f>
        <v>0</v>
      </c>
      <c r="M70" s="2"/>
      <c r="R70" s="1015" t="s">
        <v>161</v>
      </c>
      <c r="S70" s="1015"/>
      <c r="T70" s="1015"/>
      <c r="U70" s="158"/>
      <c r="V70" s="182">
        <f>G71</f>
        <v>18834423</v>
      </c>
      <c r="W70" s="162" t="s">
        <v>79</v>
      </c>
      <c r="X70" s="165">
        <f>X65</f>
        <v>2.1649999999999998E-3</v>
      </c>
      <c r="Y70" s="212">
        <f t="shared" si="11"/>
        <v>40776.53</v>
      </c>
    </row>
    <row r="71" spans="1:26" ht="19.5" customHeight="1" x14ac:dyDescent="0.25">
      <c r="A71" s="1012" t="s">
        <v>83</v>
      </c>
      <c r="B71" s="1012"/>
      <c r="C71" s="1012"/>
      <c r="D71" s="1012"/>
      <c r="E71" s="1012"/>
      <c r="F71" s="36" t="s">
        <v>84</v>
      </c>
      <c r="G71" s="221">
        <f>Consolidated!F$91</f>
        <v>18834423</v>
      </c>
      <c r="H71" s="37" t="s">
        <v>79</v>
      </c>
      <c r="I71" s="41">
        <f>I66</f>
        <v>2.1649999999999998E-3</v>
      </c>
      <c r="J71" s="127">
        <f>ROUND(G71*I71,2)</f>
        <v>40776.53</v>
      </c>
      <c r="M71" s="2"/>
      <c r="R71" s="166" t="s">
        <v>162</v>
      </c>
      <c r="S71" s="166"/>
      <c r="T71" s="166"/>
      <c r="U71" s="158"/>
      <c r="V71" s="160">
        <f>G72</f>
        <v>11226031</v>
      </c>
      <c r="W71" s="162" t="s">
        <v>79</v>
      </c>
      <c r="X71" s="165">
        <f>X59</f>
        <v>2.1610000000000002E-3</v>
      </c>
      <c r="Y71" s="212">
        <f t="shared" si="11"/>
        <v>24259.45</v>
      </c>
    </row>
    <row r="72" spans="1:26" ht="19.5" customHeight="1" x14ac:dyDescent="0.25">
      <c r="A72" s="42" t="s">
        <v>85</v>
      </c>
      <c r="B72" s="42"/>
      <c r="C72" s="42"/>
      <c r="D72" s="42"/>
      <c r="E72" s="42"/>
      <c r="F72" s="36" t="s">
        <v>86</v>
      </c>
      <c r="G72" s="221">
        <f>Consolidated!F$93</f>
        <v>11226031</v>
      </c>
      <c r="H72" s="37" t="s">
        <v>79</v>
      </c>
      <c r="I72" s="41">
        <f>I60</f>
        <v>2.1610000000000002E-3</v>
      </c>
      <c r="J72" s="127">
        <f>ROUND(G72*I72,2)</f>
        <v>24259.45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80" t="s">
        <v>99</v>
      </c>
      <c r="B84" s="980"/>
      <c r="C84" s="980"/>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6.0800000000000003E-3</v>
      </c>
      <c r="J85" s="127">
        <f>ROUND(G85*I85,2)</f>
        <v>1726082.77</v>
      </c>
      <c r="K85" s="70"/>
      <c r="L85" s="70"/>
      <c r="M85" s="71"/>
      <c r="N85" s="70"/>
      <c r="O85" s="70"/>
      <c r="P85" s="70"/>
      <c r="Q85" s="70"/>
      <c r="R85" s="1015" t="s">
        <v>166</v>
      </c>
      <c r="S85" s="1015"/>
      <c r="T85" s="1015"/>
      <c r="U85" s="158"/>
      <c r="V85" s="160">
        <f>G85</f>
        <v>283895192</v>
      </c>
      <c r="W85" s="162" t="s">
        <v>79</v>
      </c>
      <c r="X85" s="165">
        <f>X56</f>
        <v>1.7160000000000001E-3</v>
      </c>
      <c r="Y85" s="212">
        <f t="shared" ref="Y85:Y87" si="12">ROUND(V85*X85,2)</f>
        <v>487164.15</v>
      </c>
    </row>
    <row r="86" spans="1:26" ht="14.25" customHeight="1" x14ac:dyDescent="0.25">
      <c r="A86" s="1012" t="s">
        <v>102</v>
      </c>
      <c r="B86" s="1012"/>
      <c r="C86" s="1012"/>
      <c r="D86" s="1012"/>
      <c r="E86" s="1012"/>
      <c r="F86" s="36" t="s">
        <v>101</v>
      </c>
      <c r="G86" s="128">
        <v>0</v>
      </c>
      <c r="H86" s="37" t="s">
        <v>79</v>
      </c>
      <c r="I86" s="41">
        <f>I57</f>
        <v>6.0800000000000003E-3</v>
      </c>
      <c r="J86" s="127">
        <f>ROUND(G86*I86,2)</f>
        <v>0</v>
      </c>
      <c r="K86" s="70"/>
      <c r="L86" s="71"/>
      <c r="M86" s="76"/>
      <c r="N86" s="76"/>
      <c r="O86" s="76"/>
      <c r="P86" s="76"/>
      <c r="Q86" s="70"/>
      <c r="R86" s="1015" t="s">
        <v>167</v>
      </c>
      <c r="S86" s="1015"/>
      <c r="T86" s="1015"/>
      <c r="U86" s="158"/>
      <c r="V86" s="192">
        <f>G86</f>
        <v>0</v>
      </c>
      <c r="W86" s="162" t="s">
        <v>79</v>
      </c>
      <c r="X86" s="165">
        <f>X56</f>
        <v>1.7160000000000001E-3</v>
      </c>
      <c r="Y86" s="212">
        <f t="shared" si="12"/>
        <v>0</v>
      </c>
    </row>
    <row r="87" spans="1:26" ht="18" customHeight="1" x14ac:dyDescent="0.25">
      <c r="A87" s="1012" t="s">
        <v>103</v>
      </c>
      <c r="B87" s="1012"/>
      <c r="C87" s="1012"/>
      <c r="D87" s="1012"/>
      <c r="E87" s="1012"/>
      <c r="F87" s="36" t="s">
        <v>82</v>
      </c>
      <c r="G87" s="128">
        <v>0</v>
      </c>
      <c r="H87" s="37" t="s">
        <v>79</v>
      </c>
      <c r="I87" s="41">
        <f>I54</f>
        <v>1.82E-3</v>
      </c>
      <c r="J87" s="62">
        <f>ROUND(G87*I87,2)</f>
        <v>0</v>
      </c>
      <c r="K87" s="77"/>
      <c r="L87" s="70"/>
      <c r="M87" s="71"/>
      <c r="N87" s="70"/>
      <c r="O87" s="70"/>
      <c r="P87" s="70"/>
      <c r="Q87" s="70"/>
      <c r="R87" s="166" t="s">
        <v>168</v>
      </c>
      <c r="S87" s="166"/>
      <c r="T87" s="166"/>
      <c r="U87" s="158"/>
      <c r="V87" s="192">
        <f>G87</f>
        <v>0</v>
      </c>
      <c r="W87" s="162" t="s">
        <v>79</v>
      </c>
      <c r="X87" s="165">
        <f>X53</f>
        <v>1.82E-3</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486.23390000000006</v>
      </c>
      <c r="C90" s="80"/>
      <c r="D90" s="981">
        <f>I6</f>
        <v>1.0309999999999999</v>
      </c>
      <c r="E90" s="981"/>
      <c r="F90" s="981"/>
      <c r="G90" s="113">
        <f>Consolidated!F$118</f>
        <v>961.57</v>
      </c>
      <c r="H90" s="47" t="s">
        <v>66</v>
      </c>
      <c r="I90" s="130">
        <f>ROUND(B90*D90*G90,2)</f>
        <v>482041.92</v>
      </c>
      <c r="J90" s="81"/>
      <c r="K90" s="70"/>
      <c r="L90" s="70"/>
      <c r="M90" s="71"/>
      <c r="N90" s="70"/>
      <c r="O90" s="70"/>
      <c r="P90" s="70"/>
      <c r="Q90" s="70"/>
      <c r="R90" s="155" t="s">
        <v>108</v>
      </c>
      <c r="S90" s="193">
        <f>X12+X13+X18+X21+X24</f>
        <v>126.49</v>
      </c>
      <c r="T90" s="1044">
        <f>X6</f>
        <v>1.0309999999999999</v>
      </c>
      <c r="U90" s="1044"/>
      <c r="V90" s="113">
        <f>G90</f>
        <v>961.57</v>
      </c>
      <c r="W90" s="171" t="s">
        <v>66</v>
      </c>
      <c r="X90" s="216">
        <f>ROUND(S90*T90*V90,2)</f>
        <v>125399.49</v>
      </c>
      <c r="Y90" s="194"/>
    </row>
    <row r="91" spans="1:26" ht="21" customHeight="1" x14ac:dyDescent="0.25">
      <c r="A91" s="82" t="s">
        <v>58</v>
      </c>
      <c r="B91" s="80">
        <f>I14+I15+I19+I22+I25</f>
        <v>451.51400000000001</v>
      </c>
      <c r="C91" s="80"/>
      <c r="D91" s="981">
        <f>I6</f>
        <v>1.0309999999999999</v>
      </c>
      <c r="E91" s="981"/>
      <c r="F91" s="981"/>
      <c r="G91" s="113">
        <f>Consolidated!F$119</f>
        <v>918.1</v>
      </c>
      <c r="H91" s="47" t="s">
        <v>66</v>
      </c>
      <c r="I91" s="129">
        <f>ROUND(B91*D91*G91,2)</f>
        <v>427385.59</v>
      </c>
      <c r="K91" s="70"/>
      <c r="L91" s="70"/>
      <c r="M91" s="71"/>
      <c r="N91" s="70"/>
      <c r="O91" s="70"/>
      <c r="P91" s="70"/>
      <c r="Q91" s="70"/>
      <c r="R91" s="195" t="s">
        <v>58</v>
      </c>
      <c r="S91" s="193">
        <f>X14+X15+X19+X22+X25</f>
        <v>119.03</v>
      </c>
      <c r="T91" s="1044">
        <f>X6</f>
        <v>1.0309999999999999</v>
      </c>
      <c r="U91" s="1044"/>
      <c r="V91" s="113">
        <f>G91</f>
        <v>918.1</v>
      </c>
      <c r="W91" s="171" t="s">
        <v>66</v>
      </c>
      <c r="X91" s="216">
        <f>ROUND(S91*T91*V91,2)</f>
        <v>112669.17</v>
      </c>
      <c r="Y91" s="159"/>
    </row>
    <row r="92" spans="1:26" ht="19.5" customHeight="1" thickBot="1" x14ac:dyDescent="0.3">
      <c r="A92" s="83" t="s">
        <v>59</v>
      </c>
      <c r="B92" s="80">
        <f>I16+I17+I20+I23+I26+I27</f>
        <v>409.15429999999998</v>
      </c>
      <c r="C92" s="80"/>
      <c r="D92" s="981">
        <f>I6</f>
        <v>1.0309999999999999</v>
      </c>
      <c r="E92" s="981"/>
      <c r="F92" s="981"/>
      <c r="G92" s="113">
        <f>Consolidated!F$120</f>
        <v>920.31</v>
      </c>
      <c r="H92" s="47" t="s">
        <v>66</v>
      </c>
      <c r="I92" s="532">
        <f>ROUND(B92*D92*G92,2)</f>
        <v>388221.81</v>
      </c>
      <c r="K92" s="70"/>
      <c r="L92" s="70"/>
      <c r="M92" s="71"/>
      <c r="N92" s="70"/>
      <c r="O92" s="70"/>
      <c r="P92" s="70"/>
      <c r="Q92" s="70"/>
      <c r="R92" s="196" t="s">
        <v>59</v>
      </c>
      <c r="S92" s="197">
        <f>X16+X17+X20+X23+X26+X27</f>
        <v>134.55000000000001</v>
      </c>
      <c r="T92" s="1044">
        <f>X6</f>
        <v>1.0309999999999999</v>
      </c>
      <c r="U92" s="1044"/>
      <c r="V92" s="113">
        <f>G92</f>
        <v>920.31</v>
      </c>
      <c r="W92" s="171" t="s">
        <v>66</v>
      </c>
      <c r="X92" s="216">
        <f>ROUND(S92*T92*V92,2)</f>
        <v>127666.37</v>
      </c>
      <c r="Y92" s="159"/>
    </row>
    <row r="93" spans="1:26" ht="18.75" customHeight="1" thickBot="1" x14ac:dyDescent="0.3">
      <c r="A93" s="84" t="s">
        <v>109</v>
      </c>
      <c r="B93" s="80">
        <f>SUM(B90:B92)</f>
        <v>1346.9022</v>
      </c>
      <c r="C93" s="80"/>
      <c r="D93" s="80"/>
      <c r="E93" s="1059" t="s">
        <v>110</v>
      </c>
      <c r="F93" s="1059"/>
      <c r="G93" s="1059"/>
      <c r="H93" s="1059"/>
      <c r="I93" s="1059"/>
      <c r="J93" s="116">
        <f>IF(A1=75,0,I92+I91+I90)</f>
        <v>1297649.32</v>
      </c>
      <c r="K93" s="70"/>
      <c r="L93" s="70"/>
      <c r="M93" s="71"/>
      <c r="N93" s="70"/>
      <c r="O93" s="70"/>
      <c r="P93" s="70"/>
      <c r="Q93" s="70"/>
      <c r="R93" s="198" t="s">
        <v>109</v>
      </c>
      <c r="S93" s="199">
        <f>SUM(S90:S92)</f>
        <v>380.07</v>
      </c>
      <c r="T93" s="1045" t="s">
        <v>110</v>
      </c>
      <c r="U93" s="1046"/>
      <c r="V93" s="1046"/>
      <c r="W93" s="1046"/>
      <c r="X93" s="1046"/>
      <c r="Y93" s="212">
        <f>IF(R1=75,0,X92+X91+X90)</f>
        <v>365735.02999999997</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f>
        <v>0</v>
      </c>
      <c r="F98" s="1109"/>
      <c r="G98" s="1109"/>
      <c r="H98" s="85" t="s">
        <v>115</v>
      </c>
      <c r="I98" s="119">
        <f>Consolidated!G$128</f>
        <v>1806</v>
      </c>
      <c r="J98" s="127">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11273533.959999999</v>
      </c>
      <c r="L107" s="533"/>
      <c r="R107" s="1015" t="s">
        <v>123</v>
      </c>
      <c r="S107" s="1015"/>
      <c r="T107" s="1015"/>
      <c r="U107" s="1015"/>
      <c r="V107" s="1015"/>
      <c r="W107" s="1015"/>
      <c r="X107" s="1015"/>
      <c r="Y107" s="652">
        <f>SUM(Y106,Y105,Y97,Y96,Y93,Y86,Y85,Y84,Y70,Y69,Y67,Y33,Y71,Y50,Y87,Y83)</f>
        <v>3140122.5700000003</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10652078.109999999</v>
      </c>
      <c r="R109" s="159" t="s">
        <v>174</v>
      </c>
      <c r="S109" s="159"/>
      <c r="T109" s="159"/>
      <c r="U109" s="159"/>
      <c r="V109" s="159"/>
      <c r="W109" s="159"/>
      <c r="X109" s="159"/>
      <c r="Y109" s="653">
        <f>Y107-Y38</f>
        <v>2518666.7200000002</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0">
        <v>1</v>
      </c>
      <c r="J111" s="126">
        <f>Y109</f>
        <v>2518666.7200000002</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638"/>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39">
        <f>IF(I111=1,J111,J109)</f>
        <v>2518666.7200000002</v>
      </c>
      <c r="J114" s="640">
        <f>ROUND(IF(E28=0,0,IF(E28&gt;250,-(((250/E28)*I114)*IF(H113="H",0.02,0.05)),IF(H113="H",-0.02*I114,-0.05*I114))),2)</f>
        <v>-82835.62</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11190698.34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Payments'!R83</f>
        <v>-1862831.6800000002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9327866.6600000001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932786.67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ROUND(IF(H113="H",(I114*0.02)+J114,(I114*0.05)+J114),2)</f>
        <v>43097.72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40"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487</v>
      </c>
      <c r="B2" s="101"/>
      <c r="C2" s="101"/>
      <c r="D2" s="101"/>
      <c r="E2" s="6"/>
      <c r="F2" s="6"/>
      <c r="G2" s="6"/>
      <c r="H2" s="6"/>
      <c r="I2" s="685" t="str">
        <f>RIGHT(A2,4)</f>
        <v>3083</v>
      </c>
      <c r="J2" s="6"/>
      <c r="K2" s="6"/>
      <c r="L2" s="6"/>
      <c r="M2" s="6"/>
      <c r="N2" s="6"/>
      <c r="O2" s="6"/>
      <c r="P2" s="6"/>
      <c r="Q2" s="6"/>
      <c r="R2" s="987" t="str">
        <f>Revenue_Estimate_Worksheet_for___________Charter_School</f>
        <v>Revenue Estimate Worksheet: The Learning Academy at The Els Center of Excellence - 3083</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v>
      </c>
      <c r="D13" s="389">
        <f>SUMIFS('Surv2-3'!K:K,'Surv2-3'!$H:$H,$I$2,'Surv2-3'!$I:$I,$O13)</f>
        <v>0.5</v>
      </c>
      <c r="E13" s="1080">
        <f t="shared" si="0"/>
        <v>1.5</v>
      </c>
      <c r="F13" s="1080"/>
      <c r="G13" s="1086">
        <f>Consolidated!$F15</f>
        <v>1.107</v>
      </c>
      <c r="H13" s="1086">
        <f>Consolidated!$H$9</f>
        <v>1</v>
      </c>
      <c r="I13" s="534">
        <f t="shared" ref="I13:I27" si="3">ROUND(E13*G13,4)</f>
        <v>1.6605000000000001</v>
      </c>
      <c r="J13" s="535">
        <f t="shared" si="1"/>
        <v>9343.2800000000007</v>
      </c>
      <c r="L13" s="21"/>
      <c r="M13" s="2"/>
      <c r="O13" s="2" t="str">
        <f t="shared" si="2"/>
        <v>111</v>
      </c>
      <c r="R13" s="1006" t="s">
        <v>21</v>
      </c>
      <c r="S13" s="1006"/>
      <c r="T13" s="1004">
        <f t="shared" ref="T13:T27" si="4">IF($I$111=1,E13,0)</f>
        <v>1.5</v>
      </c>
      <c r="U13" s="1004"/>
      <c r="V13" s="1010">
        <v>1</v>
      </c>
      <c r="W13" s="1010"/>
      <c r="X13" s="145">
        <f t="shared" ref="X13:X27" si="5">ROUND(T13*V13,4)</f>
        <v>1.5</v>
      </c>
      <c r="Y13" s="212">
        <f t="shared" ref="Y13" si="6">ROUND(ROUND(ROUND(X13*$E$6,4)*($I$6),2)*(MAX($I$7,1)),2)</f>
        <v>8440.18</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0.5</v>
      </c>
      <c r="D15" s="389">
        <f>SUMIFS('Surv2-3'!L:L,'Surv2-3'!$H:$H,$I$2,'Surv2-3'!$I:$I,$O15)</f>
        <v>0.5</v>
      </c>
      <c r="E15" s="1080">
        <f t="shared" si="0"/>
        <v>1</v>
      </c>
      <c r="F15" s="1080"/>
      <c r="G15" s="1086">
        <f>Consolidated!$F17</f>
        <v>1</v>
      </c>
      <c r="H15" s="1086">
        <f>Consolidated!$H$9</f>
        <v>1</v>
      </c>
      <c r="I15" s="534">
        <f t="shared" si="3"/>
        <v>1</v>
      </c>
      <c r="J15" s="535">
        <f t="shared" si="1"/>
        <v>5626.79</v>
      </c>
      <c r="M15" s="2"/>
      <c r="O15" s="2" t="str">
        <f t="shared" si="2"/>
        <v>112</v>
      </c>
      <c r="R15" s="1006" t="s">
        <v>23</v>
      </c>
      <c r="S15" s="1006"/>
      <c r="T15" s="1004">
        <f t="shared" si="4"/>
        <v>1</v>
      </c>
      <c r="U15" s="1004"/>
      <c r="V15" s="1010">
        <v>1</v>
      </c>
      <c r="W15" s="1010"/>
      <c r="X15" s="145">
        <f t="shared" si="5"/>
        <v>1</v>
      </c>
      <c r="Y15" s="212">
        <f t="shared" ref="Y15:Y27" si="7">ROUND(ROUND(ROUND(X15*$E$6,4)*($I$6),2)*(MAX($I$7,1)),2)</f>
        <v>5626.79</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5</v>
      </c>
      <c r="D17" s="389">
        <f>SUMIFS('Surv2-3'!M:M,'Surv2-3'!$H:$H,$I$2,'Surv2-3'!$I:$I,$O17)</f>
        <v>4.46</v>
      </c>
      <c r="E17" s="1080">
        <f t="shared" si="0"/>
        <v>9.4600000000000009</v>
      </c>
      <c r="F17" s="1080"/>
      <c r="G17" s="1086">
        <f>Consolidated!$F19</f>
        <v>0.96499999999999997</v>
      </c>
      <c r="H17" s="1086">
        <f>Consolidated!$H$9</f>
        <v>1</v>
      </c>
      <c r="I17" s="534">
        <f t="shared" si="3"/>
        <v>9.1288999999999998</v>
      </c>
      <c r="J17" s="535">
        <f t="shared" si="1"/>
        <v>51366.36</v>
      </c>
      <c r="M17" s="2"/>
      <c r="O17" s="2" t="str">
        <f t="shared" si="2"/>
        <v>113</v>
      </c>
      <c r="R17" s="1006" t="s">
        <v>25</v>
      </c>
      <c r="S17" s="1006"/>
      <c r="T17" s="1004">
        <f t="shared" si="4"/>
        <v>9.4600000000000009</v>
      </c>
      <c r="U17" s="1004"/>
      <c r="V17" s="1010">
        <v>1</v>
      </c>
      <c r="W17" s="1010"/>
      <c r="X17" s="145">
        <f t="shared" si="5"/>
        <v>9.4600000000000009</v>
      </c>
      <c r="Y17" s="212">
        <f t="shared" si="7"/>
        <v>53229.39</v>
      </c>
    </row>
    <row r="18" spans="1:25" x14ac:dyDescent="0.25">
      <c r="A18" s="975" t="s">
        <v>26</v>
      </c>
      <c r="B18" s="975"/>
      <c r="C18" s="389">
        <f>SUMIFS('Surv2-3'!D:D,'Surv2-3'!$A:$A,$I$2,'Surv2-3'!$B:$B,$O18)</f>
        <v>9</v>
      </c>
      <c r="D18" s="389">
        <f>SUMIFS('Surv2-3'!K:K,'Surv2-3'!$H:$H,$I$2,'Surv2-3'!$I:$I,$O18)</f>
        <v>8.93</v>
      </c>
      <c r="E18" s="1080">
        <f t="shared" si="0"/>
        <v>17.93</v>
      </c>
      <c r="F18" s="1080"/>
      <c r="G18" s="1086">
        <f>Consolidated!$F20</f>
        <v>3.5150000000000001</v>
      </c>
      <c r="H18" s="1086">
        <f>Consolidated!$H$9</f>
        <v>1</v>
      </c>
      <c r="I18" s="534">
        <f t="shared" si="3"/>
        <v>63.024000000000001</v>
      </c>
      <c r="J18" s="535">
        <f t="shared" si="1"/>
        <v>354622.54</v>
      </c>
      <c r="M18" s="2"/>
      <c r="O18" s="2" t="str">
        <f t="shared" si="2"/>
        <v>254</v>
      </c>
      <c r="R18" s="1006" t="s">
        <v>26</v>
      </c>
      <c r="S18" s="1006"/>
      <c r="T18" s="1004">
        <f t="shared" si="4"/>
        <v>17.93</v>
      </c>
      <c r="U18" s="1004"/>
      <c r="V18" s="1010">
        <v>1</v>
      </c>
      <c r="W18" s="1010"/>
      <c r="X18" s="145">
        <f t="shared" si="5"/>
        <v>17.93</v>
      </c>
      <c r="Y18" s="212">
        <f t="shared" si="7"/>
        <v>100888.27</v>
      </c>
    </row>
    <row r="19" spans="1:25" x14ac:dyDescent="0.25">
      <c r="A19" s="975" t="s">
        <v>27</v>
      </c>
      <c r="B19" s="975"/>
      <c r="C19" s="389">
        <f>SUMIFS('Surv2-3'!E:E,'Surv2-3'!$A:$A,$I$2,'Surv2-3'!$B:$B,$O19)</f>
        <v>7</v>
      </c>
      <c r="D19" s="389">
        <f>SUMIFS('Surv2-3'!L:L,'Surv2-3'!$H:$H,$I$2,'Surv2-3'!$I:$I,$O19)</f>
        <v>5.5</v>
      </c>
      <c r="E19" s="1080">
        <f t="shared" si="0"/>
        <v>12.5</v>
      </c>
      <c r="F19" s="1080"/>
      <c r="G19" s="1086">
        <f>Consolidated!$F21</f>
        <v>3.5150000000000001</v>
      </c>
      <c r="H19" s="1086">
        <f>Consolidated!$H$9</f>
        <v>1</v>
      </c>
      <c r="I19" s="534">
        <f t="shared" si="3"/>
        <v>43.9375</v>
      </c>
      <c r="J19" s="535">
        <f t="shared" si="1"/>
        <v>247226.89</v>
      </c>
      <c r="M19" s="2"/>
      <c r="O19" s="2" t="str">
        <f t="shared" si="2"/>
        <v>254</v>
      </c>
      <c r="R19" s="1006" t="s">
        <v>27</v>
      </c>
      <c r="S19" s="1006"/>
      <c r="T19" s="1004">
        <f t="shared" si="4"/>
        <v>12.5</v>
      </c>
      <c r="U19" s="1004"/>
      <c r="V19" s="1010">
        <v>1</v>
      </c>
      <c r="W19" s="1010"/>
      <c r="X19" s="145">
        <f t="shared" si="5"/>
        <v>12.5</v>
      </c>
      <c r="Y19" s="212">
        <f t="shared" si="7"/>
        <v>70334.820000000007</v>
      </c>
    </row>
    <row r="20" spans="1:25" x14ac:dyDescent="0.25">
      <c r="A20" s="975" t="s">
        <v>28</v>
      </c>
      <c r="B20" s="975"/>
      <c r="C20" s="389">
        <f>SUMIFS('Surv2-3'!F:F,'Surv2-3'!$A:$A,$I$2,'Surv2-3'!$B:$B,$O20)</f>
        <v>21</v>
      </c>
      <c r="D20" s="389">
        <f>SUMIFS('Surv2-3'!M:M,'Surv2-3'!$H:$H,$I$2,'Surv2-3'!$I:$I,$O20)</f>
        <v>19.53</v>
      </c>
      <c r="E20" s="1080">
        <f t="shared" si="0"/>
        <v>40.53</v>
      </c>
      <c r="F20" s="1080"/>
      <c r="G20" s="1086">
        <f>Consolidated!$F22</f>
        <v>3.5150000000000001</v>
      </c>
      <c r="H20" s="1086">
        <f>Consolidated!$H$9</f>
        <v>1</v>
      </c>
      <c r="I20" s="534">
        <f t="shared" si="3"/>
        <v>142.46299999999999</v>
      </c>
      <c r="J20" s="535">
        <f t="shared" si="1"/>
        <v>801608.76</v>
      </c>
      <c r="M20" s="2"/>
      <c r="O20" s="2" t="str">
        <f t="shared" si="2"/>
        <v>254</v>
      </c>
      <c r="R20" s="1006" t="s">
        <v>28</v>
      </c>
      <c r="S20" s="1006"/>
      <c r="T20" s="1004">
        <f t="shared" si="4"/>
        <v>40.53</v>
      </c>
      <c r="U20" s="1004"/>
      <c r="V20" s="1010">
        <v>1</v>
      </c>
      <c r="W20" s="1010"/>
      <c r="X20" s="145">
        <f t="shared" si="5"/>
        <v>40.53</v>
      </c>
      <c r="Y20" s="212">
        <f t="shared" si="7"/>
        <v>228053.62</v>
      </c>
    </row>
    <row r="21" spans="1:25" ht="15" customHeight="1" x14ac:dyDescent="0.25">
      <c r="A21" s="975" t="s">
        <v>29</v>
      </c>
      <c r="B21" s="975"/>
      <c r="C21" s="389">
        <f>SUMIFS('Surv2-3'!D:D,'Surv2-3'!$A:$A,$I$2,'Surv2-3'!$B:$B,$O21)</f>
        <v>7.5</v>
      </c>
      <c r="D21" s="389">
        <f>SUMIFS('Surv2-3'!K:K,'Surv2-3'!$H:$H,$I$2,'Surv2-3'!$I:$I,$O21)</f>
        <v>9.9499999999999993</v>
      </c>
      <c r="E21" s="1080">
        <f t="shared" si="0"/>
        <v>17.45</v>
      </c>
      <c r="F21" s="1080"/>
      <c r="G21" s="1086">
        <f>Consolidated!$F23</f>
        <v>5.9059999999999997</v>
      </c>
      <c r="H21" s="1086">
        <f>Consolidated!$H$9</f>
        <v>1</v>
      </c>
      <c r="I21" s="534">
        <f t="shared" si="3"/>
        <v>103.05970000000001</v>
      </c>
      <c r="J21" s="535">
        <f t="shared" si="1"/>
        <v>579894.84</v>
      </c>
      <c r="M21" s="2"/>
      <c r="O21" s="2" t="str">
        <f t="shared" si="2"/>
        <v>255</v>
      </c>
      <c r="R21" s="1006" t="s">
        <v>29</v>
      </c>
      <c r="S21" s="1006"/>
      <c r="T21" s="1004">
        <f t="shared" si="4"/>
        <v>17.45</v>
      </c>
      <c r="U21" s="1004"/>
      <c r="V21" s="1010">
        <v>1</v>
      </c>
      <c r="W21" s="1010"/>
      <c r="X21" s="145">
        <f t="shared" si="5"/>
        <v>17.45</v>
      </c>
      <c r="Y21" s="212">
        <f t="shared" si="7"/>
        <v>98187.41</v>
      </c>
    </row>
    <row r="22" spans="1:25" ht="15" customHeight="1" x14ac:dyDescent="0.25">
      <c r="A22" s="975" t="s">
        <v>30</v>
      </c>
      <c r="B22" s="975"/>
      <c r="C22" s="389">
        <f>SUMIFS('Surv2-3'!E:E,'Surv2-3'!$A:$A,$I$2,'Surv2-3'!$B:$B,$O22)</f>
        <v>13</v>
      </c>
      <c r="D22" s="389">
        <f>SUMIFS('Surv2-3'!L:L,'Surv2-3'!$H:$H,$I$2,'Surv2-3'!$I:$I,$O22)</f>
        <v>14.5</v>
      </c>
      <c r="E22" s="1080">
        <f t="shared" si="0"/>
        <v>27.5</v>
      </c>
      <c r="F22" s="1080"/>
      <c r="G22" s="1086">
        <f>Consolidated!$F24</f>
        <v>5.9059999999999997</v>
      </c>
      <c r="H22" s="1086">
        <f>Consolidated!$H$9</f>
        <v>1</v>
      </c>
      <c r="I22" s="534">
        <f t="shared" si="3"/>
        <v>162.41499999999999</v>
      </c>
      <c r="J22" s="535">
        <f t="shared" si="1"/>
        <v>913874.38</v>
      </c>
      <c r="M22" s="2"/>
      <c r="O22" s="2" t="str">
        <f t="shared" si="2"/>
        <v>255</v>
      </c>
      <c r="R22" s="1006" t="s">
        <v>30</v>
      </c>
      <c r="S22" s="1006"/>
      <c r="T22" s="1004">
        <f t="shared" si="4"/>
        <v>27.5</v>
      </c>
      <c r="U22" s="1004"/>
      <c r="V22" s="1010">
        <v>1</v>
      </c>
      <c r="W22" s="1010"/>
      <c r="X22" s="145">
        <f t="shared" si="5"/>
        <v>27.5</v>
      </c>
      <c r="Y22" s="212">
        <f t="shared" si="7"/>
        <v>154736.6</v>
      </c>
    </row>
    <row r="23" spans="1:25" ht="15" customHeight="1" x14ac:dyDescent="0.25">
      <c r="A23" s="975" t="s">
        <v>31</v>
      </c>
      <c r="B23" s="975"/>
      <c r="C23" s="389">
        <f>SUMIFS('Surv2-3'!F:F,'Surv2-3'!$A:$A,$I$2,'Surv2-3'!$B:$B,$O23)</f>
        <v>25.5</v>
      </c>
      <c r="D23" s="389">
        <f>SUMIFS('Surv2-3'!M:M,'Surv2-3'!$H:$H,$I$2,'Surv2-3'!$I:$I,$O23)</f>
        <v>26.03</v>
      </c>
      <c r="E23" s="1080">
        <f t="shared" si="0"/>
        <v>51.53</v>
      </c>
      <c r="F23" s="1080"/>
      <c r="G23" s="1086">
        <f>Consolidated!$F25</f>
        <v>5.9059999999999997</v>
      </c>
      <c r="H23" s="1086">
        <f>Consolidated!$H$9</f>
        <v>1</v>
      </c>
      <c r="I23" s="534">
        <f t="shared" si="3"/>
        <v>304.33620000000002</v>
      </c>
      <c r="J23" s="535">
        <f t="shared" si="1"/>
        <v>1712434.55</v>
      </c>
      <c r="M23" s="2"/>
      <c r="O23" s="2" t="str">
        <f t="shared" si="2"/>
        <v>255</v>
      </c>
      <c r="R23" s="1006" t="s">
        <v>31</v>
      </c>
      <c r="S23" s="1006"/>
      <c r="T23" s="1004">
        <f t="shared" si="4"/>
        <v>51.53</v>
      </c>
      <c r="U23" s="1004"/>
      <c r="V23" s="1010">
        <v>1</v>
      </c>
      <c r="W23" s="1010"/>
      <c r="X23" s="145">
        <f t="shared" si="5"/>
        <v>51.53</v>
      </c>
      <c r="Y23" s="212">
        <f t="shared" si="7"/>
        <v>289948.26</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89.5</v>
      </c>
      <c r="D28" s="773">
        <f>SUM(D12:D27)</f>
        <v>89.9</v>
      </c>
      <c r="E28" s="1085">
        <f>SUM(E12:E27)</f>
        <v>179.4</v>
      </c>
      <c r="F28" s="1085"/>
      <c r="G28" s="1080"/>
      <c r="H28" s="1080"/>
      <c r="I28" s="23">
        <f>SUM(I12:I27)</f>
        <v>831.02479999999991</v>
      </c>
      <c r="J28" s="116">
        <f>SUM(J12:J27)</f>
        <v>4675998.3899999997</v>
      </c>
      <c r="M28" s="2"/>
      <c r="R28" s="1023" t="s">
        <v>36</v>
      </c>
      <c r="S28" s="1023"/>
      <c r="T28" s="1024">
        <f>SUM(T12:T27)</f>
        <v>179.4</v>
      </c>
      <c r="U28" s="1024"/>
      <c r="V28" s="1025"/>
      <c r="W28" s="1025"/>
      <c r="X28" s="147">
        <f>SUM(X12:X27)</f>
        <v>179.4</v>
      </c>
      <c r="Y28" s="212">
        <f>SUM(Y12:Y27)</f>
        <v>1009445.34</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831.02479999999991</v>
      </c>
      <c r="H33" s="1080" t="s">
        <v>45</v>
      </c>
      <c r="I33" s="1080"/>
      <c r="J33" s="32">
        <f>SUM(J32,J28)</f>
        <v>4675998.3899999997</v>
      </c>
      <c r="M33" s="2"/>
      <c r="R33" s="1029" t="s">
        <v>44</v>
      </c>
      <c r="S33" s="1029"/>
      <c r="T33" s="1029"/>
      <c r="U33" s="1029"/>
      <c r="V33" s="153">
        <f>V32+X28</f>
        <v>179.4</v>
      </c>
      <c r="W33" s="1025" t="s">
        <v>45</v>
      </c>
      <c r="X33" s="1025"/>
      <c r="Y33" s="154">
        <f>SUM(Y32,Y28)</f>
        <v>1009445.34</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4675998.3899999997</v>
      </c>
      <c r="H36" s="37" t="s">
        <v>48</v>
      </c>
      <c r="I36" s="38">
        <f>Consolidated!H53</f>
        <v>7.1400000000000005E-2</v>
      </c>
      <c r="J36" s="120">
        <f>ROUND(G36*I36,2)</f>
        <v>333866.28999999998</v>
      </c>
      <c r="K36" s="39"/>
      <c r="L36" s="33"/>
      <c r="M36" s="33"/>
      <c r="N36" s="33"/>
      <c r="O36" s="31"/>
      <c r="P36" s="34"/>
      <c r="Q36" s="34"/>
      <c r="R36" s="1006" t="str">
        <f>A36</f>
        <v>Maintenance Portion (7.14% of Conference Funding)</v>
      </c>
      <c r="S36" s="1006"/>
      <c r="T36" s="1006"/>
      <c r="U36" s="158"/>
      <c r="V36" s="161">
        <f>Y28</f>
        <v>1009445.34</v>
      </c>
      <c r="W36" s="162" t="s">
        <v>48</v>
      </c>
      <c r="X36" s="163">
        <f>I36</f>
        <v>7.1400000000000005E-2</v>
      </c>
      <c r="Y36" s="212">
        <f>J36</f>
        <v>333866.28999999998</v>
      </c>
    </row>
    <row r="37" spans="1:25" ht="20.25" customHeight="1" x14ac:dyDescent="0.25">
      <c r="A37" s="975" t="str">
        <f>Consolidated!B54</f>
        <v>Growth Portion (1.06% of Conference Funding)</v>
      </c>
      <c r="B37" s="975"/>
      <c r="C37" s="975"/>
      <c r="D37" s="975"/>
      <c r="E37" s="975"/>
      <c r="F37" s="36" t="s">
        <v>47</v>
      </c>
      <c r="G37" s="121">
        <v>4675998.3899999997</v>
      </c>
      <c r="H37" s="37" t="s">
        <v>48</v>
      </c>
      <c r="I37" s="38">
        <f>Consolidated!H54</f>
        <v>1.06E-2</v>
      </c>
      <c r="J37" s="120">
        <f>ROUND(G37*I37,2)</f>
        <v>49565.58</v>
      </c>
      <c r="K37" s="39"/>
      <c r="L37" s="33"/>
      <c r="M37" s="33"/>
      <c r="N37" s="33"/>
      <c r="O37" s="31"/>
      <c r="P37" s="34"/>
      <c r="Q37" s="34"/>
      <c r="R37" s="1006" t="str">
        <f>A37</f>
        <v>Growth Portion (1.06% of Conference Funding)</v>
      </c>
      <c r="S37" s="1006"/>
      <c r="T37" s="1006"/>
      <c r="U37" s="158"/>
      <c r="V37" s="161">
        <f>Y28</f>
        <v>1009445.34</v>
      </c>
      <c r="W37" s="162" t="s">
        <v>48</v>
      </c>
      <c r="X37" s="163">
        <f>I37</f>
        <v>1.06E-2</v>
      </c>
      <c r="Y37" s="212">
        <f>J37</f>
        <v>49565.58</v>
      </c>
    </row>
    <row r="38" spans="1:25" ht="20.25" customHeight="1" x14ac:dyDescent="0.25">
      <c r="A38" s="1012" t="s">
        <v>49</v>
      </c>
      <c r="B38" s="1012"/>
      <c r="C38" s="1012"/>
      <c r="D38" s="1012"/>
      <c r="E38" s="1012"/>
      <c r="F38" s="36" t="s">
        <v>50</v>
      </c>
      <c r="G38" s="40"/>
      <c r="H38" s="37"/>
      <c r="I38" s="41"/>
      <c r="J38" s="120">
        <f>SUM(J36:J37)</f>
        <v>383431.87</v>
      </c>
      <c r="K38" s="39"/>
      <c r="L38" s="33"/>
      <c r="M38" s="33"/>
      <c r="N38" s="33"/>
      <c r="O38" s="31"/>
      <c r="P38" s="34"/>
      <c r="Q38" s="34"/>
      <c r="R38" s="1015" t="s">
        <v>49</v>
      </c>
      <c r="S38" s="1015"/>
      <c r="T38" s="1015"/>
      <c r="U38" s="158" t="s">
        <v>50</v>
      </c>
      <c r="V38" s="164"/>
      <c r="W38" s="162"/>
      <c r="X38" s="165"/>
      <c r="Y38" s="212">
        <f>Y36+Y37</f>
        <v>383431.87</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1</v>
      </c>
      <c r="D43" s="122">
        <f>SUMIFS('ESE FTE'!G:G,'ESE FTE'!$A:$A,$I$2,'ESE FTE'!$E:$E,8)</f>
        <v>0.5</v>
      </c>
      <c r="E43" s="1073">
        <f t="shared" si="8"/>
        <v>1.5</v>
      </c>
      <c r="F43" s="1073"/>
      <c r="G43" s="37" t="s">
        <v>57</v>
      </c>
      <c r="H43" s="37">
        <v>253</v>
      </c>
      <c r="I43" s="125">
        <f>Consolidated!$H61</f>
        <v>6896</v>
      </c>
      <c r="J43" s="46">
        <f t="shared" si="9"/>
        <v>10344</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0.5</v>
      </c>
      <c r="D46" s="122">
        <f>SUMIFS('ESE FTE'!G:G,'ESE FTE'!$A:$A,$I$2,'ESE FTE'!$E:$E,11)</f>
        <v>0.5</v>
      </c>
      <c r="E46" s="1073">
        <f t="shared" si="8"/>
        <v>1</v>
      </c>
      <c r="F46" s="1073"/>
      <c r="G46" s="47" t="s">
        <v>58</v>
      </c>
      <c r="H46" s="37">
        <v>253</v>
      </c>
      <c r="I46" s="125">
        <f>Consolidated!$H64</f>
        <v>7023</v>
      </c>
      <c r="J46" s="46">
        <f t="shared" si="9"/>
        <v>7023</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5</v>
      </c>
      <c r="D49" s="122">
        <f>SUMIFS('ESE FTE'!G:G,'ESE FTE'!$A:$A,$I$2,'ESE FTE'!$E:$E,14)</f>
        <v>4.46</v>
      </c>
      <c r="E49" s="1074">
        <f t="shared" si="8"/>
        <v>9.4600000000000009</v>
      </c>
      <c r="F49" s="1074"/>
      <c r="G49" s="47" t="s">
        <v>59</v>
      </c>
      <c r="H49" s="37">
        <v>253</v>
      </c>
      <c r="I49" s="125">
        <f>Consolidated!$H67</f>
        <v>6685</v>
      </c>
      <c r="J49" s="126">
        <f t="shared" si="9"/>
        <v>63240.1</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6.5</v>
      </c>
      <c r="D50" s="774">
        <f>SUM(D41:D49)</f>
        <v>5.46</v>
      </c>
      <c r="E50" s="1075">
        <f>SUM(E41:E49)</f>
        <v>11.96</v>
      </c>
      <c r="F50" s="1075"/>
      <c r="G50" s="1030" t="s">
        <v>61</v>
      </c>
      <c r="H50" s="1030"/>
      <c r="I50" s="1030"/>
      <c r="J50" s="220">
        <f>SUM(J41:J49)</f>
        <v>80607.100000000006</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179.4</v>
      </c>
      <c r="U52" s="173" t="s">
        <v>64</v>
      </c>
      <c r="V52" s="174"/>
      <c r="W52" s="175" t="s">
        <v>65</v>
      </c>
      <c r="X52" s="1037">
        <f>I53</f>
        <v>208856.94000000003</v>
      </c>
      <c r="Y52" s="1037"/>
    </row>
    <row r="53" spans="1:25" ht="16.5" customHeight="1" x14ac:dyDescent="0.25">
      <c r="A53" s="1013" t="s">
        <v>63</v>
      </c>
      <c r="B53" s="1013"/>
      <c r="C53" s="51"/>
      <c r="D53" s="51"/>
      <c r="E53" s="48">
        <f>E28</f>
        <v>179.4</v>
      </c>
      <c r="F53" s="49" t="s">
        <v>64</v>
      </c>
      <c r="G53" s="3"/>
      <c r="H53" s="50" t="s">
        <v>65</v>
      </c>
      <c r="I53" s="1111">
        <f>Consolidated!H$71</f>
        <v>208856.94000000003</v>
      </c>
      <c r="J53" s="1111"/>
      <c r="M53" s="2"/>
      <c r="R53" s="176"/>
      <c r="S53" s="177"/>
      <c r="T53" s="159"/>
      <c r="U53" s="159"/>
      <c r="V53" s="159"/>
      <c r="W53" s="178" t="s">
        <v>66</v>
      </c>
      <c r="X53" s="1038">
        <f>ROUND(T52/X52,6)</f>
        <v>8.5899999999999995E-4</v>
      </c>
      <c r="Y53" s="1038"/>
    </row>
    <row r="54" spans="1:25" ht="22.5" customHeight="1" x14ac:dyDescent="0.25">
      <c r="A54" s="51"/>
      <c r="B54" s="52"/>
      <c r="C54" s="52"/>
      <c r="D54" s="52"/>
      <c r="H54" s="53" t="s">
        <v>66</v>
      </c>
      <c r="I54" s="1064">
        <f>IFERROR(ROUND(E53/I53,6),0)</f>
        <v>8.5899999999999995E-4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179.4</v>
      </c>
      <c r="U55" s="173" t="s">
        <v>64</v>
      </c>
      <c r="V55" s="174"/>
      <c r="W55" s="175" t="s">
        <v>69</v>
      </c>
      <c r="X55" s="1037">
        <f>I56</f>
        <v>221542.28000000003</v>
      </c>
      <c r="Y55" s="1037"/>
    </row>
    <row r="56" spans="1:25" ht="16.5" customHeight="1" x14ac:dyDescent="0.25">
      <c r="A56" s="1013" t="s">
        <v>68</v>
      </c>
      <c r="B56" s="1013"/>
      <c r="C56" s="51"/>
      <c r="D56" s="51"/>
      <c r="E56" s="48">
        <f>G33</f>
        <v>831.02479999999991</v>
      </c>
      <c r="F56" s="49" t="s">
        <v>64</v>
      </c>
      <c r="G56" s="3"/>
      <c r="H56" s="50" t="s">
        <v>69</v>
      </c>
      <c r="I56" s="1111">
        <f>Consolidated!H$74</f>
        <v>221542.28000000003</v>
      </c>
      <c r="J56" s="1111"/>
      <c r="M56" s="2"/>
      <c r="R56" s="176"/>
      <c r="S56" s="159"/>
      <c r="T56" s="159"/>
      <c r="U56" s="159"/>
      <c r="V56" s="159"/>
      <c r="W56" s="178" t="s">
        <v>66</v>
      </c>
      <c r="X56" s="1038">
        <f>ROUND(T55/X55,6)</f>
        <v>8.0999999999999996E-4</v>
      </c>
      <c r="Y56" s="1038"/>
    </row>
    <row r="57" spans="1:25" ht="18.75" customHeight="1" x14ac:dyDescent="0.25">
      <c r="A57" s="51"/>
      <c r="H57" s="53" t="s">
        <v>66</v>
      </c>
      <c r="I57" s="1064">
        <f>IFERROR(ROUND(E56/I56,6),0)</f>
        <v>3.751E-3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179.4</v>
      </c>
      <c r="U58" s="173" t="s">
        <v>64</v>
      </c>
      <c r="V58" s="1036" t="s">
        <v>72</v>
      </c>
      <c r="W58" s="1036"/>
      <c r="X58" s="1037">
        <f>I59</f>
        <v>175905.69000000003</v>
      </c>
      <c r="Y58" s="1037"/>
    </row>
    <row r="59" spans="1:25" ht="18.75" customHeight="1" x14ac:dyDescent="0.25">
      <c r="A59" s="1013" t="s">
        <v>71</v>
      </c>
      <c r="B59" s="1013"/>
      <c r="C59" s="51"/>
      <c r="D59" s="51"/>
      <c r="E59" s="48">
        <f>E28</f>
        <v>179.4</v>
      </c>
      <c r="F59" s="49" t="s">
        <v>64</v>
      </c>
      <c r="G59" s="1107" t="s">
        <v>72</v>
      </c>
      <c r="H59" s="1107"/>
      <c r="I59" s="1111">
        <f>Consolidated!H$77</f>
        <v>175905.69000000003</v>
      </c>
      <c r="J59" s="1111"/>
      <c r="M59" s="2"/>
      <c r="R59" s="176"/>
      <c r="S59" s="159"/>
      <c r="T59" s="159"/>
      <c r="U59" s="159"/>
      <c r="V59" s="159"/>
      <c r="W59" s="178" t="s">
        <v>66</v>
      </c>
      <c r="X59" s="1038">
        <f>ROUND(T58/X58,6)</f>
        <v>1.0200000000000001E-3</v>
      </c>
      <c r="Y59" s="1038"/>
    </row>
    <row r="60" spans="1:25" ht="18" customHeight="1" x14ac:dyDescent="0.25">
      <c r="A60" s="51"/>
      <c r="H60" s="53" t="s">
        <v>66</v>
      </c>
      <c r="I60" s="1064">
        <f>IFERROR(ROUND(E59/I59,6),0)</f>
        <v>1.0200000000000001E-3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179.4</v>
      </c>
      <c r="U61" s="173" t="s">
        <v>64</v>
      </c>
      <c r="V61" s="1036" t="s">
        <v>74</v>
      </c>
      <c r="W61" s="1036"/>
      <c r="X61" s="1037">
        <f>I62</f>
        <v>208541.94000000003</v>
      </c>
      <c r="Y61" s="1037"/>
    </row>
    <row r="62" spans="1:25" ht="30.75" customHeight="1" x14ac:dyDescent="0.25">
      <c r="A62" s="1013" t="s">
        <v>71</v>
      </c>
      <c r="B62" s="1013"/>
      <c r="C62" s="51"/>
      <c r="D62" s="51"/>
      <c r="E62" s="48">
        <f>E28</f>
        <v>179.4</v>
      </c>
      <c r="F62" s="49" t="s">
        <v>64</v>
      </c>
      <c r="G62" s="1107" t="s">
        <v>74</v>
      </c>
      <c r="H62" s="1107"/>
      <c r="I62" s="1111">
        <f>Consolidated!H$80</f>
        <v>208541.94000000003</v>
      </c>
      <c r="J62" s="1111"/>
      <c r="M62" s="2"/>
      <c r="R62" s="176"/>
      <c r="S62" s="159"/>
      <c r="T62" s="159"/>
      <c r="U62" s="159"/>
      <c r="V62" s="159"/>
      <c r="W62" s="178" t="s">
        <v>66</v>
      </c>
      <c r="X62" s="1038">
        <f>ROUND(T61/X61,6)</f>
        <v>8.5999999999999998E-4</v>
      </c>
      <c r="Y62" s="1038"/>
    </row>
    <row r="63" spans="1:25" ht="19.5" customHeight="1" x14ac:dyDescent="0.25">
      <c r="A63" s="51"/>
      <c r="H63" s="53" t="s">
        <v>66</v>
      </c>
      <c r="I63" s="1064">
        <f>IFERROR(ROUND(E62/I62,6),0)</f>
        <v>8.5999999999999998E-4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179.4</v>
      </c>
      <c r="U64" s="173" t="s">
        <v>64</v>
      </c>
      <c r="V64" s="1036" t="s">
        <v>159</v>
      </c>
      <c r="W64" s="1036"/>
      <c r="X64" s="1037">
        <f>I65</f>
        <v>175590.69000000003</v>
      </c>
      <c r="Y64" s="1037"/>
    </row>
    <row r="65" spans="1:26" ht="49.5" customHeight="1" x14ac:dyDescent="0.25">
      <c r="A65" s="1013" t="s">
        <v>71</v>
      </c>
      <c r="B65" s="1013"/>
      <c r="C65" s="51"/>
      <c r="D65" s="51"/>
      <c r="E65" s="48">
        <f>E28</f>
        <v>179.4</v>
      </c>
      <c r="F65" s="49" t="s">
        <v>64</v>
      </c>
      <c r="G65" s="1107" t="s">
        <v>76</v>
      </c>
      <c r="H65" s="1107"/>
      <c r="I65" s="1111">
        <f>Consolidated!H$83</f>
        <v>175590.69000000003</v>
      </c>
      <c r="J65" s="1111"/>
      <c r="M65" s="2"/>
      <c r="R65" s="179"/>
      <c r="S65" s="159"/>
      <c r="T65" s="159"/>
      <c r="U65" s="159"/>
      <c r="V65" s="159"/>
      <c r="W65" s="178" t="s">
        <v>66</v>
      </c>
      <c r="X65" s="1038">
        <f>ROUND(T64/X64,6)</f>
        <v>1.0219999999999999E-3</v>
      </c>
      <c r="Y65" s="1038"/>
    </row>
    <row r="66" spans="1:26" ht="19.5" customHeight="1" x14ac:dyDescent="0.25">
      <c r="A66" s="51"/>
      <c r="H66" s="53" t="s">
        <v>66</v>
      </c>
      <c r="I66" s="1064">
        <f>IFERROR(ROUND(E65/I65,6),0)</f>
        <v>1.0219999999999999E-3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8.5999999999999998E-4</v>
      </c>
      <c r="Y67" s="215">
        <f>ROUND(V67*X67,2)</f>
        <v>39445.370000000003</v>
      </c>
    </row>
    <row r="68" spans="1:26" ht="30.75" customHeight="1" x14ac:dyDescent="0.25">
      <c r="A68" s="1065" t="s">
        <v>77</v>
      </c>
      <c r="B68" s="1065"/>
      <c r="C68" s="1065"/>
      <c r="D68" s="1065"/>
      <c r="E68" s="1065"/>
      <c r="F68" s="36" t="s">
        <v>78</v>
      </c>
      <c r="G68" s="221">
        <f>Consolidated!F$86</f>
        <v>45866714</v>
      </c>
      <c r="H68" s="37" t="s">
        <v>79</v>
      </c>
      <c r="I68" s="41">
        <f>I63</f>
        <v>8.5999999999999998E-4</v>
      </c>
      <c r="J68" s="127">
        <f>ROUND(G68*I68,2)</f>
        <v>39445.370000000003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8.5899999999999995E-4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8.5899999999999995E-4</v>
      </c>
      <c r="J70" s="127">
        <f>ROUND(G70*I70,2)</f>
        <v>0</v>
      </c>
      <c r="M70" s="2"/>
      <c r="R70" s="1015" t="s">
        <v>161</v>
      </c>
      <c r="S70" s="1015"/>
      <c r="T70" s="1015"/>
      <c r="U70" s="158"/>
      <c r="V70" s="182">
        <f>G71</f>
        <v>18834423</v>
      </c>
      <c r="W70" s="162" t="s">
        <v>79</v>
      </c>
      <c r="X70" s="165">
        <f>X65</f>
        <v>1.0219999999999999E-3</v>
      </c>
      <c r="Y70" s="212">
        <f t="shared" si="11"/>
        <v>19248.78</v>
      </c>
    </row>
    <row r="71" spans="1:26" ht="19.5" customHeight="1" x14ac:dyDescent="0.25">
      <c r="A71" s="1012" t="s">
        <v>83</v>
      </c>
      <c r="B71" s="1012"/>
      <c r="C71" s="1012"/>
      <c r="D71" s="1012"/>
      <c r="E71" s="1012"/>
      <c r="F71" s="36" t="s">
        <v>84</v>
      </c>
      <c r="G71" s="221">
        <f>Consolidated!F$91</f>
        <v>18834423</v>
      </c>
      <c r="H71" s="37" t="s">
        <v>79</v>
      </c>
      <c r="I71" s="41">
        <f>I66</f>
        <v>1.0219999999999999E-3</v>
      </c>
      <c r="J71" s="127">
        <f>ROUND(G71*I71,2)</f>
        <v>19248.78</v>
      </c>
      <c r="M71" s="2"/>
      <c r="R71" s="166" t="s">
        <v>162</v>
      </c>
      <c r="S71" s="166"/>
      <c r="T71" s="166"/>
      <c r="U71" s="158"/>
      <c r="V71" s="160">
        <f>G72</f>
        <v>11226031</v>
      </c>
      <c r="W71" s="162" t="s">
        <v>79</v>
      </c>
      <c r="X71" s="165">
        <f>X59</f>
        <v>1.0200000000000001E-3</v>
      </c>
      <c r="Y71" s="212">
        <f t="shared" si="11"/>
        <v>11450.55</v>
      </c>
    </row>
    <row r="72" spans="1:26" ht="19.5" customHeight="1" x14ac:dyDescent="0.25">
      <c r="A72" s="42" t="s">
        <v>85</v>
      </c>
      <c r="B72" s="42"/>
      <c r="C72" s="42"/>
      <c r="D72" s="42"/>
      <c r="E72" s="42"/>
      <c r="F72" s="36" t="s">
        <v>86</v>
      </c>
      <c r="G72" s="221">
        <f>Consolidated!F$93</f>
        <v>11226031</v>
      </c>
      <c r="H72" s="37" t="s">
        <v>79</v>
      </c>
      <c r="I72" s="41">
        <f>I60</f>
        <v>1.0200000000000001E-3</v>
      </c>
      <c r="J72" s="127">
        <f>ROUND(G72*I72,2)</f>
        <v>11450.55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3.751E-3</v>
      </c>
      <c r="J85" s="127">
        <f>ROUND(G85*I85,2)</f>
        <v>1064890.8700000001</v>
      </c>
      <c r="K85" s="70"/>
      <c r="L85" s="70"/>
      <c r="M85" s="71"/>
      <c r="N85" s="70"/>
      <c r="O85" s="70"/>
      <c r="P85" s="70"/>
      <c r="Q85" s="70"/>
      <c r="R85" s="1015" t="s">
        <v>166</v>
      </c>
      <c r="S85" s="1015"/>
      <c r="T85" s="1015"/>
      <c r="U85" s="158"/>
      <c r="V85" s="160">
        <f>G85</f>
        <v>283895192</v>
      </c>
      <c r="W85" s="162" t="s">
        <v>79</v>
      </c>
      <c r="X85" s="165">
        <f>X56</f>
        <v>8.0999999999999996E-4</v>
      </c>
      <c r="Y85" s="212">
        <f t="shared" ref="Y85:Y87" si="12">ROUND(V85*X85,2)</f>
        <v>229955.11</v>
      </c>
    </row>
    <row r="86" spans="1:26" ht="14.25" customHeight="1" x14ac:dyDescent="0.25">
      <c r="A86" s="1012" t="s">
        <v>102</v>
      </c>
      <c r="B86" s="1012"/>
      <c r="C86" s="1012"/>
      <c r="D86" s="1012"/>
      <c r="E86" s="1012"/>
      <c r="F86" s="36" t="s">
        <v>101</v>
      </c>
      <c r="G86" s="128">
        <v>0</v>
      </c>
      <c r="H86" s="37" t="s">
        <v>79</v>
      </c>
      <c r="I86" s="41">
        <f>I57</f>
        <v>3.751E-3</v>
      </c>
      <c r="J86" s="127">
        <f>ROUND(G86*I86,2)</f>
        <v>0</v>
      </c>
      <c r="K86" s="70"/>
      <c r="L86" s="71"/>
      <c r="M86" s="76"/>
      <c r="N86" s="76"/>
      <c r="O86" s="76"/>
      <c r="P86" s="76"/>
      <c r="Q86" s="70"/>
      <c r="R86" s="1015" t="s">
        <v>167</v>
      </c>
      <c r="S86" s="1015"/>
      <c r="T86" s="1015"/>
      <c r="U86" s="158"/>
      <c r="V86" s="192">
        <f>G86</f>
        <v>0</v>
      </c>
      <c r="W86" s="162" t="s">
        <v>79</v>
      </c>
      <c r="X86" s="165">
        <f>X56</f>
        <v>8.0999999999999996E-4</v>
      </c>
      <c r="Y86" s="212">
        <f t="shared" si="12"/>
        <v>0</v>
      </c>
    </row>
    <row r="87" spans="1:26" ht="18" customHeight="1" x14ac:dyDescent="0.25">
      <c r="A87" s="1012" t="s">
        <v>103</v>
      </c>
      <c r="B87" s="1012"/>
      <c r="C87" s="1012"/>
      <c r="D87" s="1012"/>
      <c r="E87" s="1012"/>
      <c r="F87" s="36" t="s">
        <v>82</v>
      </c>
      <c r="G87" s="128">
        <v>0</v>
      </c>
      <c r="H87" s="37" t="s">
        <v>79</v>
      </c>
      <c r="I87" s="41">
        <f>I54</f>
        <v>8.5899999999999995E-4</v>
      </c>
      <c r="J87" s="62">
        <f>ROUND(G87*I87,2)</f>
        <v>0</v>
      </c>
      <c r="K87" s="77"/>
      <c r="L87" s="70"/>
      <c r="M87" s="71"/>
      <c r="N87" s="70"/>
      <c r="O87" s="70"/>
      <c r="P87" s="70"/>
      <c r="Q87" s="70"/>
      <c r="R87" s="166" t="s">
        <v>168</v>
      </c>
      <c r="S87" s="166"/>
      <c r="T87" s="166"/>
      <c r="U87" s="158"/>
      <c r="V87" s="192">
        <f>G87</f>
        <v>0</v>
      </c>
      <c r="W87" s="162" t="s">
        <v>79</v>
      </c>
      <c r="X87" s="165">
        <f>X53</f>
        <v>8.5899999999999995E-4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167.74420000000001</v>
      </c>
      <c r="C90" s="80"/>
      <c r="D90" s="981">
        <f>I6</f>
        <v>1.0309999999999999</v>
      </c>
      <c r="E90" s="981"/>
      <c r="F90" s="981"/>
      <c r="G90" s="113">
        <f>Consolidated!F$118</f>
        <v>961.57</v>
      </c>
      <c r="H90" s="47" t="s">
        <v>66</v>
      </c>
      <c r="I90" s="130">
        <f>ROUND(B90*D90*G90,2)</f>
        <v>166298.01999999999</v>
      </c>
      <c r="J90" s="81"/>
      <c r="K90" s="70"/>
      <c r="L90" s="70"/>
      <c r="M90" s="71"/>
      <c r="N90" s="70"/>
      <c r="O90" s="70"/>
      <c r="P90" s="70"/>
      <c r="Q90" s="70"/>
      <c r="R90" s="155" t="s">
        <v>108</v>
      </c>
      <c r="S90" s="193">
        <f>X12+X13+X18+X21+X24</f>
        <v>36.879999999999995</v>
      </c>
      <c r="T90" s="1044">
        <f>X6</f>
        <v>1.0309999999999999</v>
      </c>
      <c r="U90" s="1044"/>
      <c r="V90" s="113">
        <f>G90</f>
        <v>961.57</v>
      </c>
      <c r="W90" s="171" t="s">
        <v>66</v>
      </c>
      <c r="X90" s="216">
        <f>ROUND(S90*T90*V90,2)</f>
        <v>36562.050000000003</v>
      </c>
      <c r="Y90" s="194"/>
    </row>
    <row r="91" spans="1:26" ht="21" customHeight="1" x14ac:dyDescent="0.25">
      <c r="A91" s="82" t="s">
        <v>58</v>
      </c>
      <c r="B91" s="80">
        <f>I14+I15+I19+I22+I25</f>
        <v>207.35249999999999</v>
      </c>
      <c r="C91" s="80"/>
      <c r="D91" s="981">
        <f>I6</f>
        <v>1.0309999999999999</v>
      </c>
      <c r="E91" s="981"/>
      <c r="F91" s="981"/>
      <c r="G91" s="113">
        <f>Consolidated!F$119</f>
        <v>918.1</v>
      </c>
      <c r="H91" s="47" t="s">
        <v>66</v>
      </c>
      <c r="I91" s="129">
        <f>ROUND(B91*D91*G91,2)</f>
        <v>196271.81</v>
      </c>
      <c r="K91" s="70"/>
      <c r="L91" s="70"/>
      <c r="M91" s="71"/>
      <c r="N91" s="70"/>
      <c r="O91" s="70"/>
      <c r="P91" s="70"/>
      <c r="Q91" s="70"/>
      <c r="R91" s="195" t="s">
        <v>58</v>
      </c>
      <c r="S91" s="193">
        <f>X14+X15+X19+X22+X25</f>
        <v>41</v>
      </c>
      <c r="T91" s="1044">
        <f>X6</f>
        <v>1.0309999999999999</v>
      </c>
      <c r="U91" s="1044"/>
      <c r="V91" s="113">
        <f>G91</f>
        <v>918.1</v>
      </c>
      <c r="W91" s="171" t="s">
        <v>66</v>
      </c>
      <c r="X91" s="216">
        <f>ROUND(S91*T91*V91,2)</f>
        <v>38809.01</v>
      </c>
      <c r="Y91" s="159"/>
    </row>
    <row r="92" spans="1:26" ht="19.5" customHeight="1" thickBot="1" x14ac:dyDescent="0.3">
      <c r="A92" s="83" t="s">
        <v>59</v>
      </c>
      <c r="B92" s="80">
        <f>I16+I17+I20+I23+I26+I27</f>
        <v>455.92809999999997</v>
      </c>
      <c r="C92" s="80"/>
      <c r="D92" s="981">
        <f>I6</f>
        <v>1.0309999999999999</v>
      </c>
      <c r="E92" s="981"/>
      <c r="F92" s="981"/>
      <c r="G92" s="113">
        <f>Consolidated!F$120</f>
        <v>920.31</v>
      </c>
      <c r="H92" s="47" t="s">
        <v>66</v>
      </c>
      <c r="I92" s="532">
        <f>ROUND(B92*D92*G92,2)</f>
        <v>432602.64</v>
      </c>
      <c r="K92" s="70"/>
      <c r="L92" s="70"/>
      <c r="M92" s="71"/>
      <c r="N92" s="70"/>
      <c r="O92" s="70"/>
      <c r="P92" s="70"/>
      <c r="Q92" s="70"/>
      <c r="R92" s="196" t="s">
        <v>59</v>
      </c>
      <c r="S92" s="197">
        <f>X16+X17+X20+X23+X26+X27</f>
        <v>101.52000000000001</v>
      </c>
      <c r="T92" s="1044">
        <f>X6</f>
        <v>1.0309999999999999</v>
      </c>
      <c r="U92" s="1044"/>
      <c r="V92" s="113">
        <f>G92</f>
        <v>920.31</v>
      </c>
      <c r="W92" s="171" t="s">
        <v>66</v>
      </c>
      <c r="X92" s="216">
        <f>ROUND(S92*T92*V92,2)</f>
        <v>96326.2</v>
      </c>
      <c r="Y92" s="159"/>
    </row>
    <row r="93" spans="1:26" ht="18.75" customHeight="1" thickBot="1" x14ac:dyDescent="0.3">
      <c r="A93" s="84" t="s">
        <v>109</v>
      </c>
      <c r="B93" s="80">
        <f>SUM(B90:B92)</f>
        <v>831.02479999999991</v>
      </c>
      <c r="C93" s="80"/>
      <c r="D93" s="80"/>
      <c r="E93" s="1059" t="s">
        <v>110</v>
      </c>
      <c r="F93" s="1059"/>
      <c r="G93" s="1059"/>
      <c r="H93" s="1059"/>
      <c r="I93" s="1059"/>
      <c r="J93" s="116">
        <f>IF(A1=75,0,I92+I91+I90)</f>
        <v>795172.47</v>
      </c>
      <c r="K93" s="70"/>
      <c r="L93" s="70"/>
      <c r="M93" s="71"/>
      <c r="N93" s="70"/>
      <c r="O93" s="70"/>
      <c r="P93" s="70"/>
      <c r="Q93" s="70"/>
      <c r="R93" s="198" t="s">
        <v>109</v>
      </c>
      <c r="S93" s="199">
        <f>SUM(S90:S92)</f>
        <v>179.4</v>
      </c>
      <c r="T93" s="1045" t="s">
        <v>110</v>
      </c>
      <c r="U93" s="1046"/>
      <c r="V93" s="1046"/>
      <c r="W93" s="1046"/>
      <c r="X93" s="1046"/>
      <c r="Y93" s="212">
        <f>IF(R1=75,0,X92+X91+X90)</f>
        <v>171697.26</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1</v>
      </c>
      <c r="U96" s="1050"/>
      <c r="V96" s="1050"/>
      <c r="W96" s="200" t="s">
        <v>115</v>
      </c>
      <c r="X96" s="201">
        <f>I97</f>
        <v>583</v>
      </c>
      <c r="Y96" s="212">
        <f>ROUND(X96*T96,2)</f>
        <v>583</v>
      </c>
    </row>
    <row r="97" spans="1:25" ht="17.25" customHeight="1" x14ac:dyDescent="0.25">
      <c r="A97" s="1030" t="s">
        <v>114</v>
      </c>
      <c r="B97" s="1030"/>
      <c r="C97" s="223">
        <v>1</v>
      </c>
      <c r="D97" s="223">
        <v>1</v>
      </c>
      <c r="E97" s="1103">
        <f>IF(D97&gt;0,(C97+D97)/2,C97)</f>
        <v>1</v>
      </c>
      <c r="F97" s="982"/>
      <c r="G97" s="982"/>
      <c r="H97" s="85" t="s">
        <v>115</v>
      </c>
      <c r="I97" s="119">
        <f>Consolidated!G$127</f>
        <v>583</v>
      </c>
      <c r="J97" s="127">
        <f>ROUND(I97*E97,2)</f>
        <v>583</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1</v>
      </c>
      <c r="D98" s="223">
        <v>1</v>
      </c>
      <c r="E98" s="1109">
        <f>(C98+D98)</f>
        <v>2</v>
      </c>
      <c r="F98" s="1109"/>
      <c r="G98" s="1109"/>
      <c r="H98" s="85" t="s">
        <v>115</v>
      </c>
      <c r="I98" s="119">
        <f>Consolidated!G$128</f>
        <v>1806</v>
      </c>
      <c r="J98" s="62">
        <f>ROUND(I98*E98,2)</f>
        <v>3612</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6691008.5299999993</v>
      </c>
      <c r="L107" s="533"/>
      <c r="R107" s="1015" t="s">
        <v>123</v>
      </c>
      <c r="S107" s="1015"/>
      <c r="T107" s="1015"/>
      <c r="U107" s="1015"/>
      <c r="V107" s="1015"/>
      <c r="W107" s="1015"/>
      <c r="X107" s="1015"/>
      <c r="Y107" s="652">
        <f>SUM(Y106,Y105,Y97,Y96,Y93,Y86,Y85,Y84,Y70,Y69,Y67,Y33,Y71,Y50,Y87,Y83)</f>
        <v>1481825.41</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6307576.6599999992</v>
      </c>
      <c r="R109" s="159" t="s">
        <v>174</v>
      </c>
      <c r="S109" s="159"/>
      <c r="T109" s="159"/>
      <c r="U109" s="159"/>
      <c r="V109" s="159"/>
      <c r="W109" s="159"/>
      <c r="X109" s="159"/>
      <c r="Y109" s="653">
        <f>Y107-Y38</f>
        <v>1098393.54</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0">
        <v>1</v>
      </c>
      <c r="J111" s="126">
        <f>Y109</f>
        <v>1098393.54</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638"/>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639">
        <f>IF(I111=1,J111,J109)</f>
        <v>1098393.54</v>
      </c>
      <c r="J114" s="640">
        <f>ROUND(IF(E28=0,0,IF(E28&gt;250,-(((250/E28)*I114)*IF(H113="H",0.02,0.05)),IF(H113="H",-0.02*I114,-0.05*I114))),2)</f>
        <v>-54919.68</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6636088.8499999996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Payments'!R84</f>
        <v>-1109528.8799999999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5526559.9699999997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552656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42"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488</v>
      </c>
      <c r="B2" s="101"/>
      <c r="C2" s="101"/>
      <c r="D2" s="101"/>
      <c r="E2" s="6"/>
      <c r="F2" s="6"/>
      <c r="G2" s="6"/>
      <c r="H2" s="6"/>
      <c r="I2" s="685" t="str">
        <f>RIGHT(A2,4)</f>
        <v>3345</v>
      </c>
      <c r="J2" s="6"/>
      <c r="K2" s="6"/>
      <c r="L2" s="6"/>
      <c r="M2" s="6"/>
      <c r="N2" s="6"/>
      <c r="O2" s="6"/>
      <c r="P2" s="6"/>
      <c r="Q2" s="6"/>
      <c r="R2" s="987" t="str">
        <f>Revenue_Estimate_Worksheet_for___________Charter_School</f>
        <v>Revenue Estimate Worksheet: Career Academy of the Palm Beaches - 3345</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40.5</v>
      </c>
      <c r="D17" s="389">
        <f>SUMIFS('Surv2-3'!M:M,'Surv2-3'!$H:$H,$I$2,'Surv2-3'!$I:$I,$O17)</f>
        <v>41</v>
      </c>
      <c r="E17" s="1080">
        <f t="shared" si="0"/>
        <v>81.5</v>
      </c>
      <c r="F17" s="1080"/>
      <c r="G17" s="1086">
        <f>Consolidated!$F19</f>
        <v>0.96499999999999997</v>
      </c>
      <c r="H17" s="1086">
        <f>Consolidated!$H$9</f>
        <v>1</v>
      </c>
      <c r="I17" s="534">
        <f t="shared" si="3"/>
        <v>78.647499999999994</v>
      </c>
      <c r="J17" s="535">
        <f t="shared" si="1"/>
        <v>442532.62</v>
      </c>
      <c r="M17" s="2"/>
      <c r="O17" s="2" t="str">
        <f t="shared" si="2"/>
        <v>113</v>
      </c>
      <c r="R17" s="1006" t="s">
        <v>25</v>
      </c>
      <c r="S17" s="1006"/>
      <c r="T17" s="1004">
        <f t="shared" si="4"/>
        <v>81.5</v>
      </c>
      <c r="U17" s="1004"/>
      <c r="V17" s="1010">
        <v>1</v>
      </c>
      <c r="W17" s="1010"/>
      <c r="X17" s="145">
        <f t="shared" si="5"/>
        <v>81.5</v>
      </c>
      <c r="Y17" s="212">
        <f t="shared" si="7"/>
        <v>458583.03</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0.5</v>
      </c>
      <c r="D20" s="389">
        <f>SUMIFS('Surv2-3'!M:M,'Surv2-3'!$H:$H,$I$2,'Surv2-3'!$I:$I,$O20)</f>
        <v>1</v>
      </c>
      <c r="E20" s="1080">
        <f t="shared" si="0"/>
        <v>1.5</v>
      </c>
      <c r="F20" s="1080"/>
      <c r="G20" s="1086">
        <f>Consolidated!$F22</f>
        <v>3.5150000000000001</v>
      </c>
      <c r="H20" s="1086">
        <f>Consolidated!$H$9</f>
        <v>1</v>
      </c>
      <c r="I20" s="534">
        <f t="shared" si="3"/>
        <v>5.2725</v>
      </c>
      <c r="J20" s="535">
        <f t="shared" si="1"/>
        <v>29667.23</v>
      </c>
      <c r="M20" s="2"/>
      <c r="O20" s="2" t="str">
        <f t="shared" si="2"/>
        <v>254</v>
      </c>
      <c r="R20" s="1006" t="s">
        <v>28</v>
      </c>
      <c r="S20" s="1006"/>
      <c r="T20" s="1004">
        <f t="shared" si="4"/>
        <v>1.5</v>
      </c>
      <c r="U20" s="1004"/>
      <c r="V20" s="1010">
        <v>1</v>
      </c>
      <c r="W20" s="1010"/>
      <c r="X20" s="145">
        <f t="shared" si="5"/>
        <v>1.5</v>
      </c>
      <c r="Y20" s="212">
        <f t="shared" si="7"/>
        <v>8440.18</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41</v>
      </c>
      <c r="D28" s="773">
        <f>SUM(D12:D27)</f>
        <v>42</v>
      </c>
      <c r="E28" s="1085">
        <f>SUM(E12:E27)</f>
        <v>83</v>
      </c>
      <c r="F28" s="1085"/>
      <c r="G28" s="1080"/>
      <c r="H28" s="1080"/>
      <c r="I28" s="23">
        <f>SUM(I12:I27)</f>
        <v>83.919999999999987</v>
      </c>
      <c r="J28" s="116">
        <f>SUM(J12:J27)</f>
        <v>472199.85</v>
      </c>
      <c r="M28" s="2"/>
      <c r="R28" s="1023" t="s">
        <v>36</v>
      </c>
      <c r="S28" s="1023"/>
      <c r="T28" s="1024">
        <f>SUM(T12:T27)</f>
        <v>83</v>
      </c>
      <c r="U28" s="1024"/>
      <c r="V28" s="1025"/>
      <c r="W28" s="1025"/>
      <c r="X28" s="147">
        <f>SUM(X12:X27)</f>
        <v>83</v>
      </c>
      <c r="Y28" s="212">
        <f>SUM(Y12:Y27)</f>
        <v>467023.21</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83.919999999999987</v>
      </c>
      <c r="H33" s="1080" t="s">
        <v>45</v>
      </c>
      <c r="I33" s="1080"/>
      <c r="J33" s="32">
        <f>SUM(J32,J28)</f>
        <v>472199.85</v>
      </c>
      <c r="M33" s="2"/>
      <c r="R33" s="1029" t="s">
        <v>44</v>
      </c>
      <c r="S33" s="1029"/>
      <c r="T33" s="1029"/>
      <c r="U33" s="1029"/>
      <c r="V33" s="153">
        <f>V32+X28</f>
        <v>83</v>
      </c>
      <c r="W33" s="1025" t="s">
        <v>45</v>
      </c>
      <c r="X33" s="1025"/>
      <c r="Y33" s="154">
        <f>SUM(Y32,Y28)</f>
        <v>467023.21</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472199.85</v>
      </c>
      <c r="H36" s="37" t="s">
        <v>48</v>
      </c>
      <c r="I36" s="38">
        <f>Consolidated!H53</f>
        <v>7.1400000000000005E-2</v>
      </c>
      <c r="J36" s="120">
        <f>ROUND(G36*I36,2)</f>
        <v>33715.07</v>
      </c>
      <c r="K36" s="39"/>
      <c r="L36" s="33"/>
      <c r="M36" s="33"/>
      <c r="N36" s="33"/>
      <c r="O36" s="31"/>
      <c r="P36" s="34"/>
      <c r="Q36" s="34"/>
      <c r="R36" s="1006" t="str">
        <f>A36</f>
        <v>Maintenance Portion (7.14% of Conference Funding)</v>
      </c>
      <c r="S36" s="1006"/>
      <c r="T36" s="1006"/>
      <c r="U36" s="158"/>
      <c r="V36" s="161">
        <f>Y28</f>
        <v>467023.21</v>
      </c>
      <c r="W36" s="162" t="s">
        <v>48</v>
      </c>
      <c r="X36" s="163">
        <f>I36</f>
        <v>7.1400000000000005E-2</v>
      </c>
      <c r="Y36" s="212">
        <f>J36</f>
        <v>33715.07</v>
      </c>
    </row>
    <row r="37" spans="1:25" ht="20.25" customHeight="1" x14ac:dyDescent="0.25">
      <c r="A37" s="975" t="str">
        <f>Consolidated!B54</f>
        <v>Growth Portion (1.06% of Conference Funding)</v>
      </c>
      <c r="B37" s="975"/>
      <c r="C37" s="975"/>
      <c r="D37" s="975"/>
      <c r="E37" s="975"/>
      <c r="F37" s="36" t="s">
        <v>47</v>
      </c>
      <c r="G37" s="121">
        <v>472199.85</v>
      </c>
      <c r="H37" s="37" t="s">
        <v>48</v>
      </c>
      <c r="I37" s="38">
        <f>Consolidated!H54</f>
        <v>1.06E-2</v>
      </c>
      <c r="J37" s="120">
        <f>ROUND(G37*I37,2)</f>
        <v>5005.32</v>
      </c>
      <c r="K37" s="39"/>
      <c r="L37" s="33"/>
      <c r="M37" s="33"/>
      <c r="N37" s="33"/>
      <c r="O37" s="31"/>
      <c r="P37" s="34"/>
      <c r="Q37" s="34"/>
      <c r="R37" s="1006" t="str">
        <f>A37</f>
        <v>Growth Portion (1.06% of Conference Funding)</v>
      </c>
      <c r="S37" s="1006"/>
      <c r="T37" s="1006"/>
      <c r="U37" s="158"/>
      <c r="V37" s="161">
        <f>Y28</f>
        <v>467023.21</v>
      </c>
      <c r="W37" s="162" t="s">
        <v>48</v>
      </c>
      <c r="X37" s="163">
        <f>I37</f>
        <v>1.06E-2</v>
      </c>
      <c r="Y37" s="212">
        <f>J37</f>
        <v>5005.32</v>
      </c>
    </row>
    <row r="38" spans="1:25" ht="20.25" customHeight="1" x14ac:dyDescent="0.25">
      <c r="A38" s="1012" t="s">
        <v>49</v>
      </c>
      <c r="B38" s="1012"/>
      <c r="C38" s="1012"/>
      <c r="D38" s="1012"/>
      <c r="E38" s="1012"/>
      <c r="F38" s="36" t="s">
        <v>50</v>
      </c>
      <c r="G38" s="40"/>
      <c r="H38" s="37"/>
      <c r="I38" s="41"/>
      <c r="J38" s="120">
        <f>SUM(J36:J37)</f>
        <v>38720.39</v>
      </c>
      <c r="K38" s="39"/>
      <c r="L38" s="33"/>
      <c r="M38" s="33"/>
      <c r="N38" s="33"/>
      <c r="O38" s="31"/>
      <c r="P38" s="34"/>
      <c r="Q38" s="34"/>
      <c r="R38" s="1015" t="s">
        <v>49</v>
      </c>
      <c r="S38" s="1015"/>
      <c r="T38" s="1015"/>
      <c r="U38" s="158" t="s">
        <v>50</v>
      </c>
      <c r="V38" s="164"/>
      <c r="W38" s="162"/>
      <c r="X38" s="165"/>
      <c r="Y38" s="212">
        <f>Y36+Y37</f>
        <v>38720.39</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1.52</v>
      </c>
      <c r="D47" s="122">
        <f>SUMIFS('ESE FTE'!G:G,'ESE FTE'!$A:$A,$I$2,'ESE FTE'!$E:$E,12)</f>
        <v>1.54</v>
      </c>
      <c r="E47" s="1073">
        <f t="shared" si="8"/>
        <v>3.06</v>
      </c>
      <c r="F47" s="1073"/>
      <c r="G47" s="47" t="s">
        <v>59</v>
      </c>
      <c r="H47" s="37">
        <v>251</v>
      </c>
      <c r="I47" s="125">
        <f>Consolidated!$H65</f>
        <v>835</v>
      </c>
      <c r="J47" s="126">
        <f t="shared" si="9"/>
        <v>2555.1</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13.67</v>
      </c>
      <c r="D48" s="122">
        <f>SUMIFS('ESE FTE'!G:G,'ESE FTE'!$A:$A,$I$2,'ESE FTE'!$E:$E,13)</f>
        <v>13.84</v>
      </c>
      <c r="E48" s="1073">
        <f t="shared" si="8"/>
        <v>27.509999999999998</v>
      </c>
      <c r="F48" s="1073"/>
      <c r="G48" s="47" t="s">
        <v>59</v>
      </c>
      <c r="H48" s="37">
        <v>252</v>
      </c>
      <c r="I48" s="125">
        <f>Consolidated!$H66</f>
        <v>3168</v>
      </c>
      <c r="J48" s="126">
        <f t="shared" si="9"/>
        <v>87151.679999999993</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25.31</v>
      </c>
      <c r="D49" s="122">
        <f>SUMIFS('ESE FTE'!G:G,'ESE FTE'!$A:$A,$I$2,'ESE FTE'!$E:$E,14)</f>
        <v>25.62</v>
      </c>
      <c r="E49" s="1074">
        <f t="shared" si="8"/>
        <v>50.93</v>
      </c>
      <c r="F49" s="1074"/>
      <c r="G49" s="47" t="s">
        <v>59</v>
      </c>
      <c r="H49" s="37">
        <v>253</v>
      </c>
      <c r="I49" s="125">
        <f>Consolidated!$H67</f>
        <v>6685</v>
      </c>
      <c r="J49" s="126">
        <f t="shared" si="9"/>
        <v>340467.05</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40.5</v>
      </c>
      <c r="D50" s="774">
        <f>SUM(D41:D49)</f>
        <v>41</v>
      </c>
      <c r="E50" s="1075">
        <f>SUM(E41:E49)</f>
        <v>81.5</v>
      </c>
      <c r="F50" s="1075"/>
      <c r="G50" s="1030" t="s">
        <v>61</v>
      </c>
      <c r="H50" s="1030"/>
      <c r="I50" s="1030"/>
      <c r="J50" s="220">
        <f>SUM(J41:J49)</f>
        <v>430173.82999999996</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83</v>
      </c>
      <c r="U52" s="173" t="s">
        <v>64</v>
      </c>
      <c r="V52" s="174"/>
      <c r="W52" s="175" t="s">
        <v>65</v>
      </c>
      <c r="X52" s="1037">
        <f>I53</f>
        <v>208856.94000000003</v>
      </c>
      <c r="Y52" s="1037"/>
    </row>
    <row r="53" spans="1:25" ht="16.5" customHeight="1" x14ac:dyDescent="0.25">
      <c r="A53" s="1013" t="s">
        <v>63</v>
      </c>
      <c r="B53" s="1013"/>
      <c r="C53" s="51"/>
      <c r="D53" s="51"/>
      <c r="E53" s="48">
        <f>E28</f>
        <v>83</v>
      </c>
      <c r="F53" s="49" t="s">
        <v>64</v>
      </c>
      <c r="G53" s="3"/>
      <c r="H53" s="50" t="s">
        <v>65</v>
      </c>
      <c r="I53" s="1111">
        <f>Consolidated!H$71</f>
        <v>208856.94000000003</v>
      </c>
      <c r="J53" s="1111"/>
      <c r="M53" s="2"/>
      <c r="R53" s="176"/>
      <c r="S53" s="177"/>
      <c r="T53" s="159"/>
      <c r="U53" s="159"/>
      <c r="V53" s="159"/>
      <c r="W53" s="178" t="s">
        <v>66</v>
      </c>
      <c r="X53" s="1038">
        <f>ROUND(T52/X52,6)</f>
        <v>3.97E-4</v>
      </c>
      <c r="Y53" s="1038"/>
    </row>
    <row r="54" spans="1:25" ht="22.5" customHeight="1" x14ac:dyDescent="0.25">
      <c r="A54" s="51"/>
      <c r="B54" s="52"/>
      <c r="C54" s="52"/>
      <c r="D54" s="52"/>
      <c r="H54" s="53" t="s">
        <v>66</v>
      </c>
      <c r="I54" s="1064">
        <f>IFERROR(ROUND(E53/I53,6),0)</f>
        <v>3.97E-4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83</v>
      </c>
      <c r="U55" s="173" t="s">
        <v>64</v>
      </c>
      <c r="V55" s="174"/>
      <c r="W55" s="175" t="s">
        <v>69</v>
      </c>
      <c r="X55" s="1037">
        <f>I56</f>
        <v>221542.28000000003</v>
      </c>
      <c r="Y55" s="1037"/>
    </row>
    <row r="56" spans="1:25" ht="16.5" customHeight="1" x14ac:dyDescent="0.25">
      <c r="A56" s="1013" t="s">
        <v>68</v>
      </c>
      <c r="B56" s="1013"/>
      <c r="C56" s="51"/>
      <c r="D56" s="51"/>
      <c r="E56" s="48">
        <f>G33</f>
        <v>83.919999999999987</v>
      </c>
      <c r="F56" s="49" t="s">
        <v>64</v>
      </c>
      <c r="G56" s="3"/>
      <c r="H56" s="50" t="s">
        <v>69</v>
      </c>
      <c r="I56" s="1111">
        <f>Consolidated!H$74</f>
        <v>221542.28000000003</v>
      </c>
      <c r="J56" s="1111"/>
      <c r="M56" s="2"/>
      <c r="R56" s="176"/>
      <c r="S56" s="159"/>
      <c r="T56" s="159"/>
      <c r="U56" s="159"/>
      <c r="V56" s="159"/>
      <c r="W56" s="178" t="s">
        <v>66</v>
      </c>
      <c r="X56" s="1038">
        <f>ROUND(T55/X55,6)</f>
        <v>3.7500000000000001E-4</v>
      </c>
      <c r="Y56" s="1038"/>
    </row>
    <row r="57" spans="1:25" ht="18.75" customHeight="1" x14ac:dyDescent="0.25">
      <c r="A57" s="51"/>
      <c r="H57" s="53" t="s">
        <v>66</v>
      </c>
      <c r="I57" s="1064">
        <f>IFERROR(ROUND(E56/I56,6),0)</f>
        <v>3.79E-4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83</v>
      </c>
      <c r="U58" s="173" t="s">
        <v>64</v>
      </c>
      <c r="V58" s="1036" t="s">
        <v>72</v>
      </c>
      <c r="W58" s="1036"/>
      <c r="X58" s="1037">
        <f>I59</f>
        <v>175905.69000000003</v>
      </c>
      <c r="Y58" s="1037"/>
    </row>
    <row r="59" spans="1:25" ht="18.75" customHeight="1" x14ac:dyDescent="0.25">
      <c r="A59" s="1013" t="s">
        <v>71</v>
      </c>
      <c r="B59" s="1013"/>
      <c r="C59" s="51"/>
      <c r="D59" s="51"/>
      <c r="E59" s="48">
        <f>E28</f>
        <v>83</v>
      </c>
      <c r="F59" s="49" t="s">
        <v>64</v>
      </c>
      <c r="G59" s="1107" t="s">
        <v>72</v>
      </c>
      <c r="H59" s="1107"/>
      <c r="I59" s="1111">
        <f>Consolidated!H$77</f>
        <v>175905.69000000003</v>
      </c>
      <c r="J59" s="1111"/>
      <c r="M59" s="2"/>
      <c r="R59" s="176"/>
      <c r="S59" s="159"/>
      <c r="T59" s="159"/>
      <c r="U59" s="159"/>
      <c r="V59" s="159"/>
      <c r="W59" s="178" t="s">
        <v>66</v>
      </c>
      <c r="X59" s="1038">
        <f>ROUND(T58/X58,6)</f>
        <v>4.7199999999999998E-4</v>
      </c>
      <c r="Y59" s="1038"/>
    </row>
    <row r="60" spans="1:25" ht="18" customHeight="1" x14ac:dyDescent="0.25">
      <c r="A60" s="51"/>
      <c r="H60" s="53" t="s">
        <v>66</v>
      </c>
      <c r="I60" s="1064">
        <f>IFERROR(ROUND(E59/I59,6),0)</f>
        <v>4.7199999999999998E-4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83</v>
      </c>
      <c r="U61" s="173" t="s">
        <v>64</v>
      </c>
      <c r="V61" s="1036" t="s">
        <v>74</v>
      </c>
      <c r="W61" s="1036"/>
      <c r="X61" s="1037">
        <f>I62</f>
        <v>208541.94000000003</v>
      </c>
      <c r="Y61" s="1037"/>
    </row>
    <row r="62" spans="1:25" ht="30.75" customHeight="1" x14ac:dyDescent="0.25">
      <c r="A62" s="1013" t="s">
        <v>71</v>
      </c>
      <c r="B62" s="1013"/>
      <c r="C62" s="51"/>
      <c r="D62" s="51"/>
      <c r="E62" s="48">
        <f>E28</f>
        <v>83</v>
      </c>
      <c r="F62" s="49" t="s">
        <v>64</v>
      </c>
      <c r="G62" s="1107" t="s">
        <v>74</v>
      </c>
      <c r="H62" s="1107"/>
      <c r="I62" s="1111">
        <f>Consolidated!H$80</f>
        <v>208541.94000000003</v>
      </c>
      <c r="J62" s="1111"/>
      <c r="M62" s="2"/>
      <c r="R62" s="176"/>
      <c r="S62" s="159"/>
      <c r="T62" s="159"/>
      <c r="U62" s="159"/>
      <c r="V62" s="159"/>
      <c r="W62" s="178" t="s">
        <v>66</v>
      </c>
      <c r="X62" s="1038">
        <f>ROUND(T61/X61,6)</f>
        <v>3.9800000000000002E-4</v>
      </c>
      <c r="Y62" s="1038"/>
    </row>
    <row r="63" spans="1:25" ht="19.5" customHeight="1" x14ac:dyDescent="0.25">
      <c r="A63" s="51"/>
      <c r="H63" s="53" t="s">
        <v>66</v>
      </c>
      <c r="I63" s="1064">
        <f>IFERROR(ROUND(E62/I62,6),0)</f>
        <v>3.9800000000000002E-4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83</v>
      </c>
      <c r="U64" s="173" t="s">
        <v>64</v>
      </c>
      <c r="V64" s="1036" t="s">
        <v>159</v>
      </c>
      <c r="W64" s="1036"/>
      <c r="X64" s="1037">
        <f>I65</f>
        <v>175590.69000000003</v>
      </c>
      <c r="Y64" s="1037"/>
    </row>
    <row r="65" spans="1:26" ht="49.5" customHeight="1" x14ac:dyDescent="0.25">
      <c r="A65" s="1013" t="s">
        <v>71</v>
      </c>
      <c r="B65" s="1013"/>
      <c r="C65" s="51"/>
      <c r="D65" s="51"/>
      <c r="E65" s="48">
        <f>E28</f>
        <v>83</v>
      </c>
      <c r="F65" s="49" t="s">
        <v>64</v>
      </c>
      <c r="G65" s="1107" t="s">
        <v>76</v>
      </c>
      <c r="H65" s="1107"/>
      <c r="I65" s="1111">
        <f>Consolidated!H$83</f>
        <v>175590.69000000003</v>
      </c>
      <c r="J65" s="1111"/>
      <c r="M65" s="2"/>
      <c r="R65" s="179"/>
      <c r="S65" s="159"/>
      <c r="T65" s="159"/>
      <c r="U65" s="159"/>
      <c r="V65" s="159"/>
      <c r="W65" s="178" t="s">
        <v>66</v>
      </c>
      <c r="X65" s="1038">
        <f>ROUND(T64/X64,6)</f>
        <v>4.73E-4</v>
      </c>
      <c r="Y65" s="1038"/>
    </row>
    <row r="66" spans="1:26" ht="19.5" customHeight="1" x14ac:dyDescent="0.25">
      <c r="A66" s="51"/>
      <c r="H66" s="53" t="s">
        <v>66</v>
      </c>
      <c r="I66" s="1064">
        <f>IFERROR(ROUND(E65/I65,6),0)</f>
        <v>4.73E-4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3.9800000000000002E-4</v>
      </c>
      <c r="Y67" s="215">
        <f>ROUND(V67*X67,2)</f>
        <v>18254.95</v>
      </c>
    </row>
    <row r="68" spans="1:26" ht="30.75" customHeight="1" x14ac:dyDescent="0.25">
      <c r="A68" s="1065" t="s">
        <v>77</v>
      </c>
      <c r="B68" s="1065"/>
      <c r="C68" s="1065"/>
      <c r="D68" s="1065"/>
      <c r="E68" s="1065"/>
      <c r="F68" s="36" t="s">
        <v>78</v>
      </c>
      <c r="G68" s="221">
        <f>Consolidated!F$86</f>
        <v>45866714</v>
      </c>
      <c r="H68" s="37" t="s">
        <v>79</v>
      </c>
      <c r="I68" s="41">
        <f>I63</f>
        <v>3.9800000000000002E-4</v>
      </c>
      <c r="J68" s="127">
        <f>ROUND(G68*I68,2)</f>
        <v>18254.95</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3.97E-4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3.97E-4</v>
      </c>
      <c r="J70" s="127">
        <f>ROUND(G70*I70,2)</f>
        <v>0</v>
      </c>
      <c r="M70" s="2"/>
      <c r="R70" s="1015" t="s">
        <v>161</v>
      </c>
      <c r="S70" s="1015"/>
      <c r="T70" s="1015"/>
      <c r="U70" s="158"/>
      <c r="V70" s="182">
        <f>G71</f>
        <v>18834423</v>
      </c>
      <c r="W70" s="162" t="s">
        <v>79</v>
      </c>
      <c r="X70" s="165">
        <f>X65</f>
        <v>4.73E-4</v>
      </c>
      <c r="Y70" s="212">
        <f t="shared" si="11"/>
        <v>8908.68</v>
      </c>
    </row>
    <row r="71" spans="1:26" ht="19.5" customHeight="1" x14ac:dyDescent="0.25">
      <c r="A71" s="1012" t="s">
        <v>83</v>
      </c>
      <c r="B71" s="1012"/>
      <c r="C71" s="1012"/>
      <c r="D71" s="1012"/>
      <c r="E71" s="1012"/>
      <c r="F71" s="36" t="s">
        <v>84</v>
      </c>
      <c r="G71" s="221">
        <f>Consolidated!F$91</f>
        <v>18834423</v>
      </c>
      <c r="H71" s="37" t="s">
        <v>79</v>
      </c>
      <c r="I71" s="41">
        <f>I66</f>
        <v>4.73E-4</v>
      </c>
      <c r="J71" s="127">
        <f>ROUND(G71*I71,2)</f>
        <v>8908.68</v>
      </c>
      <c r="M71" s="2"/>
      <c r="R71" s="166" t="s">
        <v>162</v>
      </c>
      <c r="S71" s="166"/>
      <c r="T71" s="166"/>
      <c r="U71" s="158"/>
      <c r="V71" s="160">
        <f>G72</f>
        <v>11226031</v>
      </c>
      <c r="W71" s="162" t="s">
        <v>79</v>
      </c>
      <c r="X71" s="165">
        <f>X59</f>
        <v>4.7199999999999998E-4</v>
      </c>
      <c r="Y71" s="212">
        <f t="shared" si="11"/>
        <v>5298.69</v>
      </c>
    </row>
    <row r="72" spans="1:26" ht="19.5" customHeight="1" x14ac:dyDescent="0.25">
      <c r="A72" s="42" t="s">
        <v>85</v>
      </c>
      <c r="B72" s="42"/>
      <c r="C72" s="42"/>
      <c r="D72" s="42"/>
      <c r="E72" s="42"/>
      <c r="F72" s="36" t="s">
        <v>86</v>
      </c>
      <c r="G72" s="221">
        <f>Consolidated!F$93</f>
        <v>11226031</v>
      </c>
      <c r="H72" s="37" t="s">
        <v>79</v>
      </c>
      <c r="I72" s="41">
        <f>I60</f>
        <v>4.7199999999999998E-4</v>
      </c>
      <c r="J72" s="127">
        <f>ROUND(G72*I72,2)</f>
        <v>5298.69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3.79E-4</v>
      </c>
      <c r="J85" s="127">
        <f>ROUND(G85*I85,2)</f>
        <v>107596.28</v>
      </c>
      <c r="K85" s="70"/>
      <c r="L85" s="70"/>
      <c r="M85" s="71"/>
      <c r="N85" s="70"/>
      <c r="O85" s="70"/>
      <c r="P85" s="70"/>
      <c r="Q85" s="70"/>
      <c r="R85" s="1015" t="s">
        <v>166</v>
      </c>
      <c r="S85" s="1015"/>
      <c r="T85" s="1015"/>
      <c r="U85" s="158"/>
      <c r="V85" s="160">
        <f>G85</f>
        <v>283895192</v>
      </c>
      <c r="W85" s="162" t="s">
        <v>79</v>
      </c>
      <c r="X85" s="165">
        <f>X56</f>
        <v>3.7500000000000001E-4</v>
      </c>
      <c r="Y85" s="212">
        <f t="shared" ref="Y85:Y87" si="12">ROUND(V85*X85,2)</f>
        <v>106460.7</v>
      </c>
    </row>
    <row r="86" spans="1:26" ht="14.25" customHeight="1" x14ac:dyDescent="0.25">
      <c r="A86" s="1012" t="s">
        <v>102</v>
      </c>
      <c r="B86" s="1012"/>
      <c r="C86" s="1012"/>
      <c r="D86" s="1012"/>
      <c r="E86" s="1012"/>
      <c r="F86" s="36" t="s">
        <v>101</v>
      </c>
      <c r="G86" s="128">
        <v>0</v>
      </c>
      <c r="H86" s="37" t="s">
        <v>79</v>
      </c>
      <c r="I86" s="41">
        <f>I57</f>
        <v>3.79E-4</v>
      </c>
      <c r="J86" s="127">
        <f>ROUND(G86*I86,2)</f>
        <v>0</v>
      </c>
      <c r="K86" s="70"/>
      <c r="L86" s="71"/>
      <c r="M86" s="76"/>
      <c r="N86" s="76"/>
      <c r="O86" s="76"/>
      <c r="P86" s="76"/>
      <c r="Q86" s="70"/>
      <c r="R86" s="1015" t="s">
        <v>167</v>
      </c>
      <c r="S86" s="1015"/>
      <c r="T86" s="1015"/>
      <c r="U86" s="158"/>
      <c r="V86" s="192">
        <f>G86</f>
        <v>0</v>
      </c>
      <c r="W86" s="162" t="s">
        <v>79</v>
      </c>
      <c r="X86" s="165">
        <f>X56</f>
        <v>3.7500000000000001E-4</v>
      </c>
      <c r="Y86" s="212">
        <f t="shared" si="12"/>
        <v>0</v>
      </c>
    </row>
    <row r="87" spans="1:26" ht="18" customHeight="1" x14ac:dyDescent="0.25">
      <c r="A87" s="1012" t="s">
        <v>103</v>
      </c>
      <c r="B87" s="1012"/>
      <c r="C87" s="1012"/>
      <c r="D87" s="1012"/>
      <c r="E87" s="1012"/>
      <c r="F87" s="36" t="s">
        <v>82</v>
      </c>
      <c r="G87" s="128">
        <v>0</v>
      </c>
      <c r="H87" s="37" t="s">
        <v>79</v>
      </c>
      <c r="I87" s="41">
        <f>I54</f>
        <v>3.97E-4</v>
      </c>
      <c r="J87" s="62">
        <f>ROUND(G87*I87,2)</f>
        <v>0</v>
      </c>
      <c r="K87" s="77"/>
      <c r="L87" s="70"/>
      <c r="M87" s="71"/>
      <c r="N87" s="70"/>
      <c r="O87" s="70"/>
      <c r="P87" s="70"/>
      <c r="Q87" s="70"/>
      <c r="R87" s="166" t="s">
        <v>168</v>
      </c>
      <c r="S87" s="166"/>
      <c r="T87" s="166"/>
      <c r="U87" s="158"/>
      <c r="V87" s="192">
        <f>G87</f>
        <v>0</v>
      </c>
      <c r="W87" s="162" t="s">
        <v>79</v>
      </c>
      <c r="X87" s="165">
        <f>X53</f>
        <v>3.97E-4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129">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83.919999999999987</v>
      </c>
      <c r="C92" s="80"/>
      <c r="D92" s="981">
        <f>I6</f>
        <v>1.0309999999999999</v>
      </c>
      <c r="E92" s="981"/>
      <c r="F92" s="981"/>
      <c r="G92" s="113">
        <f>Consolidated!F$120</f>
        <v>920.31</v>
      </c>
      <c r="H92" s="47" t="s">
        <v>66</v>
      </c>
      <c r="I92" s="532">
        <f>ROUND(B92*D92*G92,2)</f>
        <v>79626.62</v>
      </c>
      <c r="K92" s="70"/>
      <c r="L92" s="70"/>
      <c r="M92" s="71"/>
      <c r="N92" s="70"/>
      <c r="O92" s="70"/>
      <c r="P92" s="70"/>
      <c r="Q92" s="70"/>
      <c r="R92" s="196" t="s">
        <v>59</v>
      </c>
      <c r="S92" s="197">
        <f>X16+X17+X20+X23+X26+X27</f>
        <v>83</v>
      </c>
      <c r="T92" s="1044">
        <f>X6</f>
        <v>1.0309999999999999</v>
      </c>
      <c r="U92" s="1044"/>
      <c r="V92" s="113">
        <f>G92</f>
        <v>920.31</v>
      </c>
      <c r="W92" s="171" t="s">
        <v>66</v>
      </c>
      <c r="X92" s="216">
        <f>ROUND(S92*T92*V92,2)</f>
        <v>78753.69</v>
      </c>
      <c r="Y92" s="159"/>
    </row>
    <row r="93" spans="1:26" ht="18.75" customHeight="1" thickBot="1" x14ac:dyDescent="0.3">
      <c r="A93" s="84" t="s">
        <v>109</v>
      </c>
      <c r="B93" s="80">
        <f>SUM(B90:B92)</f>
        <v>83.919999999999987</v>
      </c>
      <c r="C93" s="80"/>
      <c r="D93" s="80"/>
      <c r="E93" s="1059" t="s">
        <v>110</v>
      </c>
      <c r="F93" s="1059"/>
      <c r="G93" s="1059"/>
      <c r="H93" s="1059"/>
      <c r="I93" s="1059"/>
      <c r="J93" s="116">
        <f>IF(A1=75,0,I92+I91+I90)</f>
        <v>79626.62</v>
      </c>
      <c r="K93" s="70"/>
      <c r="L93" s="70"/>
      <c r="M93" s="71"/>
      <c r="N93" s="70"/>
      <c r="O93" s="70"/>
      <c r="P93" s="70"/>
      <c r="Q93" s="70"/>
      <c r="R93" s="198" t="s">
        <v>109</v>
      </c>
      <c r="S93" s="199">
        <f>SUM(S90:S92)</f>
        <v>83</v>
      </c>
      <c r="T93" s="1045" t="s">
        <v>110</v>
      </c>
      <c r="U93" s="1046"/>
      <c r="V93" s="1046"/>
      <c r="W93" s="1046"/>
      <c r="X93" s="1046"/>
      <c r="Y93" s="212">
        <f>IF(R1=75,0,X92+X91+X90)</f>
        <v>78753.69</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75</v>
      </c>
      <c r="U96" s="1050"/>
      <c r="V96" s="1050"/>
      <c r="W96" s="200" t="s">
        <v>115</v>
      </c>
      <c r="X96" s="201">
        <f>I97</f>
        <v>583</v>
      </c>
      <c r="Y96" s="212">
        <f>ROUND(X96*T96,2)</f>
        <v>43725</v>
      </c>
    </row>
    <row r="97" spans="1:25" ht="17.25" customHeight="1" x14ac:dyDescent="0.25">
      <c r="A97" s="1030" t="s">
        <v>114</v>
      </c>
      <c r="B97" s="1030"/>
      <c r="C97" s="223">
        <v>73</v>
      </c>
      <c r="D97" s="223">
        <v>77</v>
      </c>
      <c r="E97" s="1103">
        <f>IF(D97&gt;0,(C97+D97)/2,C97)</f>
        <v>75</v>
      </c>
      <c r="F97" s="982"/>
      <c r="G97" s="982"/>
      <c r="H97" s="85" t="s">
        <v>115</v>
      </c>
      <c r="I97" s="119">
        <f>Consolidated!G$127</f>
        <v>583</v>
      </c>
      <c r="J97" s="127">
        <f>ROUND(I97*E97,2)</f>
        <v>43725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1165783.8999999999</v>
      </c>
      <c r="L107" s="533"/>
      <c r="R107" s="1015" t="s">
        <v>123</v>
      </c>
      <c r="S107" s="1015"/>
      <c r="T107" s="1015"/>
      <c r="U107" s="1015"/>
      <c r="V107" s="1015"/>
      <c r="W107" s="1015"/>
      <c r="X107" s="1015"/>
      <c r="Y107" s="652">
        <f>SUM(Y106,Y105,Y97,Y96,Y93,Y86,Y85,Y84,Y70,Y69,Y67,Y33,Y71,Y50,Y87,Y83)</f>
        <v>728424.91999999993</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1127063.51</v>
      </c>
      <c r="R109" s="159" t="s">
        <v>174</v>
      </c>
      <c r="S109" s="159"/>
      <c r="T109" s="159"/>
      <c r="U109" s="159"/>
      <c r="V109" s="159"/>
      <c r="W109" s="159"/>
      <c r="X109" s="159"/>
      <c r="Y109" s="653">
        <f>Y107-Y38</f>
        <v>689704.52999999991</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v>1</v>
      </c>
      <c r="J111" s="126">
        <f>Y109</f>
        <v>689704.52999999991</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c r="I114" s="639">
        <f>IF(I111=1,J111,J109)</f>
        <v>689704.52999999991</v>
      </c>
      <c r="J114" s="640">
        <f>ROUND(IF(E28=0,0,IF(E28&gt;250,-(((250/E28)*I114)*IF(H114="H",0.02,0.05)),IF(H114="H",-0.02*I114,-0.05*I114))),2)</f>
        <v>-34485.230000000003</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1131298.67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Payments'!R85</f>
        <v>-196817.12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934481.54999999993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93448.16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41" workbookViewId="0">
      <selection activeCell="I65" sqref="I65"/>
    </sheetView>
  </sheetViews>
  <sheetFormatPr defaultRowHeight="15.75" x14ac:dyDescent="0.25"/>
  <cols>
    <col min="1" max="1" width="13" style="42" customWidth="1"/>
    <col min="2" max="2" width="33.5703125" style="2" customWidth="1"/>
    <col min="3" max="4" width="14.28515625" style="2" customWidth="1"/>
    <col min="5" max="5" width="8.7109375" style="2" customWidth="1"/>
    <col min="6" max="6" width="4.5703125" style="2" customWidth="1"/>
    <col min="7" max="7" width="19.28515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585</v>
      </c>
      <c r="B2" s="101"/>
      <c r="C2" s="101"/>
      <c r="D2" s="101"/>
      <c r="E2" s="6"/>
      <c r="F2" s="6"/>
      <c r="G2" s="6"/>
      <c r="H2" s="6"/>
      <c r="I2" s="685" t="str">
        <f>RIGHT(A2,4)</f>
        <v>3362</v>
      </c>
      <c r="J2" s="6"/>
      <c r="K2" s="6"/>
      <c r="L2" s="6"/>
      <c r="M2" s="6"/>
      <c r="N2" s="6"/>
      <c r="O2" s="6"/>
      <c r="P2" s="6"/>
      <c r="Q2" s="6"/>
      <c r="R2" s="987" t="str">
        <f>Revenue_Estimate_Worksheet_for___________Charter_School</f>
        <v>Revenue Estimate Worksheet: Somerset Academy Avenir 3362</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49.800000000000004</v>
      </c>
      <c r="D12" s="699">
        <f>SUMIFS('Surv2-3'!K:K,'Surv2-3'!$H:$H,$I$2,'Surv2-3'!$I:$I,$O12)</f>
        <v>49.419999999999995</v>
      </c>
      <c r="E12" s="1081">
        <f t="shared" ref="E12:E27" si="0">IF($D$28=0,C12*2,C12+D12)</f>
        <v>99.22</v>
      </c>
      <c r="F12" s="1081"/>
      <c r="G12" s="1096">
        <f>Consolidated!$F14</f>
        <v>1.107</v>
      </c>
      <c r="H12" s="1096">
        <f>Consolidated!$H$9</f>
        <v>1</v>
      </c>
      <c r="I12" s="534">
        <f>ROUND(E12*G12,4)</f>
        <v>109.8365</v>
      </c>
      <c r="J12" s="535">
        <f t="shared" ref="J12:J27" si="1">ROUND(ROUND(ROUND(I12*$E$6,4)*($I$6),2)*(MAX($I$7,1)),2)</f>
        <v>618026.43999999994</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6.5</v>
      </c>
      <c r="D13" s="389">
        <f>SUMIFS('Surv2-3'!K:K,'Surv2-3'!$H:$H,$I$2,'Surv2-3'!$I:$I,$O13)</f>
        <v>8.51</v>
      </c>
      <c r="E13" s="1080">
        <f t="shared" si="0"/>
        <v>15.01</v>
      </c>
      <c r="F13" s="1080"/>
      <c r="G13" s="1086">
        <f>Consolidated!$F15</f>
        <v>1.107</v>
      </c>
      <c r="H13" s="1086">
        <f>Consolidated!$H$9</f>
        <v>1</v>
      </c>
      <c r="I13" s="534">
        <f t="shared" ref="I13:I27" si="3">ROUND(E13*G13,4)</f>
        <v>16.616099999999999</v>
      </c>
      <c r="J13" s="535">
        <f t="shared" si="1"/>
        <v>93495.23</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13.59</v>
      </c>
      <c r="D14" s="389">
        <f>SUMIFS('Surv2-3'!L:L,'Surv2-3'!$H:$H,$I$2,'Surv2-3'!$I:$I,$O14)</f>
        <v>12.56</v>
      </c>
      <c r="E14" s="1080">
        <f t="shared" si="0"/>
        <v>26.15</v>
      </c>
      <c r="F14" s="1080"/>
      <c r="G14" s="1086">
        <f>Consolidated!$F16</f>
        <v>1</v>
      </c>
      <c r="H14" s="1086">
        <f>Consolidated!$H$9</f>
        <v>1</v>
      </c>
      <c r="I14" s="534">
        <f t="shared" si="3"/>
        <v>26.15</v>
      </c>
      <c r="J14" s="535">
        <f>ROUND(ROUND(ROUND(I14*$E$6,4)*($I$6),2)*(MAX($I$7,1)),2)</f>
        <v>147140.44</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3.5</v>
      </c>
      <c r="D15" s="389">
        <f>SUMIFS('Surv2-3'!L:L,'Surv2-3'!$H:$H,$I$2,'Surv2-3'!$I:$I,$O15)</f>
        <v>4.0199999999999996</v>
      </c>
      <c r="E15" s="1080">
        <f t="shared" si="0"/>
        <v>7.52</v>
      </c>
      <c r="F15" s="1080"/>
      <c r="G15" s="1086">
        <f>Consolidated!$F17</f>
        <v>1</v>
      </c>
      <c r="H15" s="1086">
        <f>Consolidated!$H$9</f>
        <v>1</v>
      </c>
      <c r="I15" s="534">
        <f t="shared" si="3"/>
        <v>7.52</v>
      </c>
      <c r="J15" s="535">
        <f t="shared" si="1"/>
        <v>42313.43</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6.2</v>
      </c>
      <c r="D24" s="389">
        <f>SUMIFS('Surv2-3'!K:K,'Surv2-3'!$H:$H,$I$2,'Surv2-3'!$I:$I,$O24)</f>
        <v>6.1899999999999995</v>
      </c>
      <c r="E24" s="1080">
        <f t="shared" si="0"/>
        <v>12.39</v>
      </c>
      <c r="F24" s="1080"/>
      <c r="G24" s="1086">
        <f>Consolidated!$F26</f>
        <v>1.161</v>
      </c>
      <c r="H24" s="1086">
        <f>Consolidated!$H$9</f>
        <v>1</v>
      </c>
      <c r="I24" s="534">
        <f t="shared" si="3"/>
        <v>14.3848</v>
      </c>
      <c r="J24" s="535">
        <f t="shared" si="1"/>
        <v>80940.19</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0.41</v>
      </c>
      <c r="D25" s="389">
        <f>SUMIFS('Surv2-3'!L:L,'Surv2-3'!$H:$H,$I$2,'Surv2-3'!$I:$I,$O25)</f>
        <v>0.41</v>
      </c>
      <c r="E25" s="1080">
        <f t="shared" si="0"/>
        <v>0.82</v>
      </c>
      <c r="F25" s="1080"/>
      <c r="G25" s="1086">
        <f>Consolidated!$F27</f>
        <v>1.161</v>
      </c>
      <c r="H25" s="1086">
        <f>Consolidated!$H$9</f>
        <v>1</v>
      </c>
      <c r="I25" s="534">
        <f t="shared" si="3"/>
        <v>0.95199999999999996</v>
      </c>
      <c r="J25" s="535">
        <f t="shared" si="1"/>
        <v>5356.7</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80</v>
      </c>
      <c r="D28" s="773">
        <f>SUM(D12:D27)</f>
        <v>81.109999999999985</v>
      </c>
      <c r="E28" s="1085">
        <f>SUM(E12:E27)</f>
        <v>161.11000000000001</v>
      </c>
      <c r="F28" s="1085"/>
      <c r="G28" s="1080"/>
      <c r="H28" s="1080"/>
      <c r="I28" s="23">
        <f>SUM(I12:I27)</f>
        <v>175.45940000000002</v>
      </c>
      <c r="J28" s="116">
        <f>SUM(J12:J27)</f>
        <v>987272.42999999993</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175.45940000000002</v>
      </c>
      <c r="H33" s="1080" t="s">
        <v>45</v>
      </c>
      <c r="I33" s="1080"/>
      <c r="J33" s="32">
        <f>SUM(J32,J28)</f>
        <v>987272.42999999993</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987272.42999999993</v>
      </c>
      <c r="H36" s="37" t="s">
        <v>48</v>
      </c>
      <c r="I36" s="38">
        <f>Consolidated!H53</f>
        <v>7.1400000000000005E-2</v>
      </c>
      <c r="J36" s="120">
        <f>ROUND(G36*I36,2)</f>
        <v>70491.25</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987272.42999999993</v>
      </c>
      <c r="H37" s="37" t="s">
        <v>48</v>
      </c>
      <c r="I37" s="38">
        <f>Consolidated!H54</f>
        <v>1.06E-2</v>
      </c>
      <c r="J37" s="120">
        <f>ROUND(G37*I37,2)</f>
        <v>10465.09</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80956.34</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632"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4.6399999999999997</v>
      </c>
      <c r="D41" s="776">
        <f>SUMIFS('ESE FTE'!G:G,'ESE FTE'!$A:$A,$I$2,'ESE FTE'!$E:$E,6)</f>
        <v>6.08</v>
      </c>
      <c r="E41" s="1073">
        <f t="shared" ref="E41:E49" si="8">IF($D$50=0,C41*2,C41+D41)</f>
        <v>10.719999999999999</v>
      </c>
      <c r="F41" s="1073"/>
      <c r="G41" s="37" t="s">
        <v>57</v>
      </c>
      <c r="H41" s="37">
        <v>251</v>
      </c>
      <c r="I41" s="125">
        <f>Consolidated!$H59</f>
        <v>1047</v>
      </c>
      <c r="J41" s="46">
        <f t="shared" ref="J41:J49" si="9">ROUND(E41*I41,2)</f>
        <v>11223.84</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1.86</v>
      </c>
      <c r="D42" s="122">
        <f>SUMIFS('ESE FTE'!G:G,'ESE FTE'!$A:$A,$I$2,'ESE FTE'!$E:$E,7)</f>
        <v>2.4300000000000002</v>
      </c>
      <c r="E42" s="1073">
        <f t="shared" si="8"/>
        <v>4.29</v>
      </c>
      <c r="F42" s="1073"/>
      <c r="G42" s="37" t="s">
        <v>57</v>
      </c>
      <c r="H42" s="37">
        <v>252</v>
      </c>
      <c r="I42" s="125">
        <f>Consolidated!$H60</f>
        <v>3380</v>
      </c>
      <c r="J42" s="46">
        <f t="shared" si="9"/>
        <v>14500.2</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1.88</v>
      </c>
      <c r="D44" s="776">
        <f>SUMIFS('ESE FTE'!G:G,'ESE FTE'!$A:$A,$I$2,'ESE FTE'!$E:$E,9)</f>
        <v>2.16</v>
      </c>
      <c r="E44" s="1073">
        <f t="shared" si="8"/>
        <v>4.04</v>
      </c>
      <c r="F44" s="1073"/>
      <c r="G44" s="47" t="s">
        <v>58</v>
      </c>
      <c r="H44" s="37">
        <v>251</v>
      </c>
      <c r="I44" s="125">
        <f>Consolidated!$H62</f>
        <v>1173</v>
      </c>
      <c r="J44" s="126">
        <f t="shared" si="9"/>
        <v>4738.92</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1.62</v>
      </c>
      <c r="D45" s="122">
        <f>SUMIFS('ESE FTE'!G:G,'ESE FTE'!$A:$A,$I$2,'ESE FTE'!$E:$E,10)</f>
        <v>1.86</v>
      </c>
      <c r="E45" s="1073">
        <f t="shared" si="8"/>
        <v>3.4800000000000004</v>
      </c>
      <c r="F45" s="1073"/>
      <c r="G45" s="47" t="s">
        <v>58</v>
      </c>
      <c r="H45" s="37">
        <v>252</v>
      </c>
      <c r="I45" s="125">
        <f>Consolidated!$H63</f>
        <v>3506</v>
      </c>
      <c r="J45" s="46">
        <f t="shared" si="9"/>
        <v>12200.88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L46" s="682"/>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L47" s="682"/>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10</v>
      </c>
      <c r="D50" s="774">
        <f>SUM(D41:D49)</f>
        <v>12.53</v>
      </c>
      <c r="E50" s="1075">
        <f>SUM(E41:E49)</f>
        <v>22.529999999999998</v>
      </c>
      <c r="F50" s="1075"/>
      <c r="G50" s="1030" t="s">
        <v>61</v>
      </c>
      <c r="H50" s="1030"/>
      <c r="I50" s="1030"/>
      <c r="J50" s="220">
        <f>SUM(J41:J49)</f>
        <v>42663.839999999997</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910"/>
      <c r="E53" s="48">
        <f>E28</f>
        <v>161.11000000000001</v>
      </c>
      <c r="F53" s="49" t="s">
        <v>64</v>
      </c>
      <c r="G53" s="3"/>
      <c r="H53" s="50" t="s">
        <v>65</v>
      </c>
      <c r="I53" s="634">
        <f>Consolidated!H$71</f>
        <v>208856.94000000003</v>
      </c>
      <c r="J53" s="633"/>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7.7099999999999998E-4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910"/>
      <c r="D56" s="49"/>
      <c r="E56" s="48">
        <f>I28</f>
        <v>175.45940000000002</v>
      </c>
      <c r="F56" s="49" t="s">
        <v>64</v>
      </c>
      <c r="G56" s="3"/>
      <c r="H56" s="50" t="s">
        <v>69</v>
      </c>
      <c r="I56" s="634">
        <f>Consolidated!H$74</f>
        <v>221542.28000000003</v>
      </c>
      <c r="J56" s="633"/>
      <c r="M56" s="2"/>
      <c r="R56" s="176"/>
      <c r="S56" s="159"/>
      <c r="T56" s="159"/>
      <c r="U56" s="159"/>
      <c r="V56" s="159"/>
      <c r="W56" s="178" t="s">
        <v>66</v>
      </c>
      <c r="X56" s="1038">
        <f>ROUND(T55/X55,6)</f>
        <v>0</v>
      </c>
      <c r="Y56" s="1038"/>
    </row>
    <row r="57" spans="1:25" ht="18.75" customHeight="1" x14ac:dyDescent="0.25">
      <c r="A57" s="51"/>
      <c r="H57" s="53" t="s">
        <v>66</v>
      </c>
      <c r="I57" s="1064">
        <f>IFERROR(ROUND(E56/I56,6),0)</f>
        <v>7.9199999999999995E-4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910"/>
      <c r="E59" s="48">
        <f>E28</f>
        <v>161.11000000000001</v>
      </c>
      <c r="F59" s="49" t="s">
        <v>64</v>
      </c>
      <c r="G59" s="895"/>
      <c r="H59" s="50" t="s">
        <v>711</v>
      </c>
      <c r="I59" s="634">
        <f>Consolidated!H$77</f>
        <v>175905.69000000003</v>
      </c>
      <c r="J59" s="633"/>
      <c r="M59" s="2"/>
      <c r="R59" s="176"/>
      <c r="S59" s="159"/>
      <c r="T59" s="159"/>
      <c r="U59" s="159"/>
      <c r="V59" s="159"/>
      <c r="W59" s="178" t="s">
        <v>66</v>
      </c>
      <c r="X59" s="1038">
        <f>ROUND(T58/X58,6)</f>
        <v>0</v>
      </c>
      <c r="Y59" s="1038"/>
    </row>
    <row r="60" spans="1:25" ht="18" customHeight="1" x14ac:dyDescent="0.25">
      <c r="A60" s="51"/>
      <c r="H60" s="53" t="s">
        <v>66</v>
      </c>
      <c r="I60" s="1064">
        <f>IFERROR(ROUND(E59/I59,6),0)</f>
        <v>9.1600000000000004E-4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23.25" customHeight="1" x14ac:dyDescent="0.25">
      <c r="A62" s="1013" t="s">
        <v>71</v>
      </c>
      <c r="B62" s="1013"/>
      <c r="C62" s="910"/>
      <c r="E62" s="48">
        <f>E28</f>
        <v>161.11000000000001</v>
      </c>
      <c r="F62" s="49" t="s">
        <v>64</v>
      </c>
      <c r="G62" s="50"/>
      <c r="H62" s="50" t="s">
        <v>74</v>
      </c>
      <c r="I62" s="634">
        <f>Consolidated!H$80</f>
        <v>208541.94000000003</v>
      </c>
      <c r="J62" s="633"/>
      <c r="M62" s="2"/>
      <c r="R62" s="176"/>
      <c r="S62" s="159"/>
      <c r="T62" s="159"/>
      <c r="U62" s="159"/>
      <c r="V62" s="159"/>
      <c r="W62" s="178" t="s">
        <v>66</v>
      </c>
      <c r="X62" s="1038">
        <f>ROUND(T61/X61,6)</f>
        <v>0</v>
      </c>
      <c r="Y62" s="1038"/>
    </row>
    <row r="63" spans="1:25" ht="19.5" customHeight="1" x14ac:dyDescent="0.25">
      <c r="A63" s="51"/>
      <c r="H63" s="53" t="s">
        <v>66</v>
      </c>
      <c r="I63" s="1064">
        <f>IFERROR(ROUND(E62/I62,6),0)</f>
        <v>7.7300000000000003E-4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31.5" customHeight="1" x14ac:dyDescent="0.25">
      <c r="A65" s="1013" t="s">
        <v>71</v>
      </c>
      <c r="B65" s="1013"/>
      <c r="C65" s="910"/>
      <c r="D65" s="897"/>
      <c r="E65" s="48">
        <f>E28</f>
        <v>161.11000000000001</v>
      </c>
      <c r="F65" s="49" t="s">
        <v>64</v>
      </c>
      <c r="G65" s="1107" t="s">
        <v>76</v>
      </c>
      <c r="H65" s="1107"/>
      <c r="I65" s="634">
        <f>Consolidated!H$83</f>
        <v>175590.69000000003</v>
      </c>
      <c r="J65" s="633"/>
      <c r="M65" s="2"/>
      <c r="R65" s="179"/>
      <c r="S65" s="159"/>
      <c r="T65" s="159"/>
      <c r="U65" s="159"/>
      <c r="V65" s="159"/>
      <c r="W65" s="178" t="s">
        <v>66</v>
      </c>
      <c r="X65" s="1038">
        <f>ROUND(T64/X64,6)</f>
        <v>0</v>
      </c>
      <c r="Y65" s="1038"/>
    </row>
    <row r="66" spans="1:26" ht="19.5" customHeight="1" x14ac:dyDescent="0.25">
      <c r="A66" s="51"/>
      <c r="H66" s="53" t="s">
        <v>66</v>
      </c>
      <c r="I66" s="1064">
        <f>IFERROR(ROUND(E65/I65,6),0)</f>
        <v>9.1799999999999998E-4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7.7300000000000003E-4</v>
      </c>
      <c r="J68" s="127">
        <f>ROUND(G68*I68,2)</f>
        <v>35454.97</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7.7099999999999998E-4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9.1799999999999998E-4</v>
      </c>
      <c r="J71" s="127">
        <f>ROUND(G71*I71,2)</f>
        <v>17290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9.1600000000000004E-4</v>
      </c>
      <c r="J72" s="127">
        <f>ROUND(G72*I72,2)</f>
        <v>10283.040000000001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7.9199999999999995E-4</v>
      </c>
      <c r="J85" s="127">
        <f>ROUND(G85*I85,2)</f>
        <v>224844.99</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7.9199999999999995E-4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7.7099999999999998E-4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140.8374</v>
      </c>
      <c r="C90" s="80"/>
      <c r="D90" s="981">
        <f>I6</f>
        <v>1.0309999999999999</v>
      </c>
      <c r="E90" s="981"/>
      <c r="F90" s="981"/>
      <c r="G90" s="113">
        <f>Consolidated!F$118</f>
        <v>961.57</v>
      </c>
      <c r="H90" s="47" t="s">
        <v>66</v>
      </c>
      <c r="I90" s="637">
        <f>ROUND(B90*D90*G90,2)</f>
        <v>139623.19</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34.622</v>
      </c>
      <c r="C91" s="80"/>
      <c r="D91" s="981">
        <f>I6</f>
        <v>1.0309999999999999</v>
      </c>
      <c r="E91" s="981"/>
      <c r="F91" s="981"/>
      <c r="G91" s="113">
        <f>Consolidated!F$119</f>
        <v>918.1</v>
      </c>
      <c r="H91" s="47" t="s">
        <v>66</v>
      </c>
      <c r="I91" s="4">
        <f>ROUND(B91*D91*G91,2)</f>
        <v>32771.839999999997</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175.45940000000002</v>
      </c>
      <c r="C93" s="80"/>
      <c r="D93" s="80"/>
      <c r="E93" s="1059" t="s">
        <v>110</v>
      </c>
      <c r="F93" s="1059"/>
      <c r="G93" s="1059"/>
      <c r="H93" s="1059"/>
      <c r="I93" s="1059"/>
      <c r="J93" s="116">
        <f>IF(A1=75,0,I92+I91+I90)</f>
        <v>172395.03</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982">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c r="E98" s="1062">
        <f>(C98+D98)/2</f>
        <v>0</v>
      </c>
      <c r="F98" s="1062"/>
      <c r="G98" s="1062"/>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8"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030" t="s">
        <v>123</v>
      </c>
      <c r="B107" s="1030"/>
      <c r="C107" s="1030"/>
      <c r="D107" s="1030"/>
      <c r="E107" s="1030"/>
      <c r="F107" s="1030"/>
      <c r="G107" s="1030"/>
      <c r="H107" s="1030"/>
      <c r="I107" s="1030"/>
      <c r="J107" s="536">
        <f>SUM(J106,J105,J98,J97,J93,J86,J85,J71,J70,J68,J33,J72,J50,J87,J84)</f>
        <v>1490204.3</v>
      </c>
      <c r="R107" s="1015" t="s">
        <v>123</v>
      </c>
      <c r="S107" s="1015"/>
      <c r="T107" s="1015"/>
      <c r="U107" s="1015"/>
      <c r="V107" s="1015"/>
      <c r="W107" s="1015"/>
      <c r="X107" s="1015"/>
      <c r="Y107" s="652">
        <f>SUM(Y106,Y105,Y97,Y96,Y93,Y86,Y85,Y84,Y70,Y69,Y67,Y33,Y71,Y50,Y87,Y83)</f>
        <v>0</v>
      </c>
    </row>
    <row r="108" spans="1:25" ht="15.75" customHeight="1" thickTop="1" x14ac:dyDescent="0.25">
      <c r="A108" s="980"/>
      <c r="B108" s="980"/>
      <c r="C108" s="980"/>
      <c r="D108" s="980"/>
      <c r="E108" s="980"/>
      <c r="F108" s="980"/>
      <c r="G108" s="980"/>
      <c r="H108" s="980"/>
      <c r="I108" s="980"/>
      <c r="J108" s="980"/>
      <c r="R108" s="988"/>
      <c r="S108" s="988"/>
      <c r="T108" s="988"/>
      <c r="U108" s="988"/>
      <c r="V108" s="988"/>
      <c r="W108" s="988"/>
      <c r="X108" s="988"/>
      <c r="Y108" s="988"/>
    </row>
    <row r="109" spans="1:25" ht="17.25" customHeight="1" thickBot="1" x14ac:dyDescent="0.3">
      <c r="A109" s="1012" t="s">
        <v>129</v>
      </c>
      <c r="B109" s="1012"/>
      <c r="C109" s="1012"/>
      <c r="D109" s="1012"/>
      <c r="E109" s="1012"/>
      <c r="F109" s="980"/>
      <c r="G109" s="980"/>
      <c r="H109" s="980"/>
      <c r="I109" s="2" t="s">
        <v>130</v>
      </c>
      <c r="J109" s="538">
        <f>J107-J38</f>
        <v>1409247.96</v>
      </c>
      <c r="R109" s="159" t="s">
        <v>174</v>
      </c>
      <c r="S109" s="159"/>
      <c r="T109" s="159"/>
      <c r="U109" s="159"/>
      <c r="V109" s="159"/>
      <c r="W109" s="159"/>
      <c r="X109" s="159"/>
      <c r="Y109" s="653">
        <f>Y107-Y38</f>
        <v>0</v>
      </c>
    </row>
    <row r="110" spans="1:25" ht="18.75" customHeight="1" thickTop="1" x14ac:dyDescent="0.25">
      <c r="A110" s="1012" t="s">
        <v>131</v>
      </c>
      <c r="B110" s="1012"/>
      <c r="C110" s="1012"/>
      <c r="D110" s="1012"/>
      <c r="E110" s="1012"/>
      <c r="F110" s="1012"/>
      <c r="G110" s="1012"/>
      <c r="H110" s="1012"/>
      <c r="I110" s="42" t="s">
        <v>132</v>
      </c>
      <c r="J110" s="72"/>
      <c r="R110" s="1072" t="s">
        <v>134</v>
      </c>
      <c r="S110" s="1072"/>
      <c r="T110" s="1072"/>
      <c r="U110" s="1072"/>
      <c r="V110" s="1072"/>
      <c r="W110" s="1072"/>
      <c r="X110" s="1072"/>
      <c r="Y110" s="1072"/>
    </row>
    <row r="111" spans="1:25" ht="15.75" customHeight="1" x14ac:dyDescent="0.25">
      <c r="A111" s="1013" t="s">
        <v>133</v>
      </c>
      <c r="B111" s="1013"/>
      <c r="C111" s="1013"/>
      <c r="D111" s="1013"/>
      <c r="E111" s="1013"/>
      <c r="F111" s="1013"/>
      <c r="G111" s="1013"/>
      <c r="H111" s="1013"/>
      <c r="I111" s="224"/>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51"/>
      <c r="I113" s="90"/>
      <c r="J113" s="72"/>
      <c r="R113" s="229"/>
      <c r="S113" s="229"/>
      <c r="T113" s="229"/>
      <c r="U113" s="229"/>
      <c r="V113" s="229"/>
      <c r="W113" s="229"/>
      <c r="X113" s="229"/>
      <c r="Y113" s="229"/>
    </row>
    <row r="114" spans="1:26" x14ac:dyDescent="0.25">
      <c r="A114" s="230" t="s">
        <v>178</v>
      </c>
      <c r="B114" s="231"/>
      <c r="C114" s="231"/>
      <c r="D114" s="231"/>
      <c r="E114" s="231"/>
      <c r="F114" s="231"/>
      <c r="G114" s="231"/>
      <c r="H114" s="638">
        <v>0</v>
      </c>
      <c r="I114" s="639">
        <f>IF(I111=1,J111,J109)</f>
        <v>1409247.96</v>
      </c>
      <c r="J114" s="640">
        <f>ROUND(IF(E28=0,0,IF(E28&gt;250,-(((250/E28)*I114)*IF(H114="H",0.02,0.05)),IF(H114="H",-0.02*I114,-0.05*I114))),2)</f>
        <v>-70462.399999999994</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1419741.9000000001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1"/>
      <c r="F118" s="230"/>
      <c r="G118" s="231"/>
      <c r="H118" s="641"/>
      <c r="I118" s="642"/>
      <c r="J118" s="647">
        <f>-'Cumulative Payments'!R86</f>
        <v>-234778.12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1184963.7800000003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118496.38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7">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0:B50"/>
    <mergeCell ref="E50:F50"/>
    <mergeCell ref="G50:I50"/>
    <mergeCell ref="R50:S50"/>
    <mergeCell ref="T50:U50"/>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A59:B59"/>
    <mergeCell ref="X59:Y59"/>
    <mergeCell ref="I60:J60"/>
    <mergeCell ref="R60:Y60"/>
    <mergeCell ref="A61:J61"/>
    <mergeCell ref="R61:S61"/>
    <mergeCell ref="V61:W61"/>
    <mergeCell ref="X61:Y61"/>
    <mergeCell ref="I57:J57"/>
    <mergeCell ref="R57:Y57"/>
    <mergeCell ref="A58:J58"/>
    <mergeCell ref="R58:S58"/>
    <mergeCell ref="V58:W58"/>
    <mergeCell ref="X58:Y58"/>
    <mergeCell ref="A65:B65"/>
    <mergeCell ref="X65:Y65"/>
    <mergeCell ref="I66:J66"/>
    <mergeCell ref="R67:T67"/>
    <mergeCell ref="A68:E68"/>
    <mergeCell ref="R68:S68"/>
    <mergeCell ref="A62:B62"/>
    <mergeCell ref="X62:Y62"/>
    <mergeCell ref="I63:J63"/>
    <mergeCell ref="R63:Y63"/>
    <mergeCell ref="A64:J64"/>
    <mergeCell ref="R64:S64"/>
    <mergeCell ref="V64:W64"/>
    <mergeCell ref="X64:Y64"/>
    <mergeCell ref="G65:H65"/>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39"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489</v>
      </c>
      <c r="B2" s="101"/>
      <c r="C2" s="101"/>
      <c r="D2" s="101"/>
      <c r="E2" s="6"/>
      <c r="F2" s="6"/>
      <c r="G2" s="6"/>
      <c r="H2" s="6"/>
      <c r="I2" s="685" t="str">
        <f>RIGHT(A2,4)</f>
        <v>3381</v>
      </c>
      <c r="J2" s="6"/>
      <c r="K2" s="6"/>
      <c r="L2" s="6"/>
      <c r="M2" s="6"/>
      <c r="N2" s="6"/>
      <c r="O2" s="6"/>
      <c r="P2" s="6"/>
      <c r="Q2" s="6"/>
      <c r="R2" s="987" t="str">
        <f>Revenue_Estimate_Worksheet_for___________Charter_School</f>
        <v>Revenue Estimate Worksheet: Imagine Schools - Chancellor Campus - 3381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171.58</v>
      </c>
      <c r="D12" s="699">
        <f>SUMIFS('Surv2-3'!K:K,'Surv2-3'!$H:$H,$I$2,'Surv2-3'!$I:$I,$O12)</f>
        <v>171.7</v>
      </c>
      <c r="E12" s="1081">
        <f t="shared" ref="E12:E27" si="0">IF($D$28=0,C12*2,C12+D12)</f>
        <v>343.28</v>
      </c>
      <c r="F12" s="1081"/>
      <c r="G12" s="1096">
        <f>Consolidated!$F14</f>
        <v>1.107</v>
      </c>
      <c r="H12" s="1096">
        <f>Consolidated!$H$9</f>
        <v>1</v>
      </c>
      <c r="I12" s="534">
        <f>ROUND(E12*G12,4)</f>
        <v>380.01100000000002</v>
      </c>
      <c r="J12" s="535">
        <f t="shared" ref="J12:J27" si="1">ROUND(ROUND(ROUND(I12*$E$6,4)*($I$6),2)*(MAX($I$7,1)),2)</f>
        <v>2138240.42</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29</v>
      </c>
      <c r="D13" s="389">
        <f>SUMIFS('Surv2-3'!K:K,'Surv2-3'!$H:$H,$I$2,'Surv2-3'!$I:$I,$O13)</f>
        <v>30.14</v>
      </c>
      <c r="E13" s="1080">
        <f t="shared" si="0"/>
        <v>59.14</v>
      </c>
      <c r="F13" s="1080"/>
      <c r="G13" s="1086">
        <f>Consolidated!$F15</f>
        <v>1.107</v>
      </c>
      <c r="H13" s="1086">
        <f>Consolidated!$H$9</f>
        <v>1</v>
      </c>
      <c r="I13" s="534">
        <f t="shared" ref="I13:I27" si="3">ROUND(E13*G13,4)</f>
        <v>65.468000000000004</v>
      </c>
      <c r="J13" s="535">
        <f t="shared" si="1"/>
        <v>368374.4</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229.57</v>
      </c>
      <c r="D14" s="389">
        <f>SUMIFS('Surv2-3'!L:L,'Surv2-3'!$H:$H,$I$2,'Surv2-3'!$I:$I,$O14)</f>
        <v>225.17</v>
      </c>
      <c r="E14" s="1080">
        <f t="shared" si="0"/>
        <v>454.74</v>
      </c>
      <c r="F14" s="1080"/>
      <c r="G14" s="1086">
        <f>Consolidated!$F16</f>
        <v>1</v>
      </c>
      <c r="H14" s="1086">
        <f>Consolidated!$H$9</f>
        <v>1</v>
      </c>
      <c r="I14" s="534">
        <f t="shared" si="3"/>
        <v>454.74</v>
      </c>
      <c r="J14" s="535">
        <f>ROUND(ROUND(ROUND(I14*$E$6,4)*($I$6),2)*(MAX($I$7,1)),2)</f>
        <v>2558724.48</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61.5</v>
      </c>
      <c r="D15" s="389">
        <f>SUMIFS('Surv2-3'!L:L,'Surv2-3'!$H:$H,$I$2,'Surv2-3'!$I:$I,$O15)</f>
        <v>64.449999999999989</v>
      </c>
      <c r="E15" s="1080">
        <f t="shared" si="0"/>
        <v>125.94999999999999</v>
      </c>
      <c r="F15" s="1080"/>
      <c r="G15" s="1086">
        <f>Consolidated!$F17</f>
        <v>1</v>
      </c>
      <c r="H15" s="1086">
        <f>Consolidated!$H$9</f>
        <v>1</v>
      </c>
      <c r="I15" s="534">
        <f t="shared" si="3"/>
        <v>125.95</v>
      </c>
      <c r="J15" s="535">
        <f t="shared" si="1"/>
        <v>708693.65</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27.42</v>
      </c>
      <c r="D24" s="389">
        <f>SUMIFS('Surv2-3'!K:K,'Surv2-3'!$H:$H,$I$2,'Surv2-3'!$I:$I,$O24)</f>
        <v>29.340000000000003</v>
      </c>
      <c r="E24" s="1080">
        <f t="shared" si="0"/>
        <v>56.760000000000005</v>
      </c>
      <c r="F24" s="1080"/>
      <c r="G24" s="1086">
        <f>Consolidated!$F26</f>
        <v>1.161</v>
      </c>
      <c r="H24" s="1086">
        <f>Consolidated!$H$9</f>
        <v>1</v>
      </c>
      <c r="I24" s="534">
        <f t="shared" si="3"/>
        <v>65.898399999999995</v>
      </c>
      <c r="J24" s="535">
        <f t="shared" si="1"/>
        <v>370796.17</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4.72</v>
      </c>
      <c r="D25" s="389">
        <f>SUMIFS('Surv2-3'!L:L,'Surv2-3'!$H:$H,$I$2,'Surv2-3'!$I:$I,$O25)</f>
        <v>4.72</v>
      </c>
      <c r="E25" s="1080">
        <f t="shared" si="0"/>
        <v>9.44</v>
      </c>
      <c r="F25" s="1080"/>
      <c r="G25" s="1086">
        <f>Consolidated!$F27</f>
        <v>1.161</v>
      </c>
      <c r="H25" s="1086">
        <f>Consolidated!$H$9</f>
        <v>1</v>
      </c>
      <c r="I25" s="534">
        <f t="shared" si="3"/>
        <v>10.9598</v>
      </c>
      <c r="J25" s="535">
        <f t="shared" si="1"/>
        <v>61668.44</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523.79</v>
      </c>
      <c r="D28" s="773">
        <f>SUM(D12:D27)</f>
        <v>525.52</v>
      </c>
      <c r="E28" s="1108">
        <f>SUM(E12:E27)</f>
        <v>1049.31</v>
      </c>
      <c r="F28" s="1108"/>
      <c r="G28" s="1080"/>
      <c r="H28" s="1080"/>
      <c r="I28" s="23">
        <f>SUM(I12:I27)</f>
        <v>1103.0272000000002</v>
      </c>
      <c r="J28" s="116">
        <f>SUM(J12:J27)</f>
        <v>6206497.5600000005</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1103.0272000000002</v>
      </c>
      <c r="H33" s="1080" t="s">
        <v>45</v>
      </c>
      <c r="I33" s="1080"/>
      <c r="J33" s="32">
        <f>SUM(J32,J28)</f>
        <v>6206497.5600000005</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6206497.5600000005</v>
      </c>
      <c r="H36" s="37" t="s">
        <v>48</v>
      </c>
      <c r="I36" s="38">
        <f>Consolidated!H53</f>
        <v>7.1400000000000005E-2</v>
      </c>
      <c r="J36" s="120">
        <f>ROUND(G36*I36,2)</f>
        <v>443143.93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6206497.5600000005</v>
      </c>
      <c r="H37" s="37" t="s">
        <v>48</v>
      </c>
      <c r="I37" s="38">
        <f>Consolidated!H54</f>
        <v>1.06E-2</v>
      </c>
      <c r="J37" s="120">
        <f>ROUND(G37*I37,2)</f>
        <v>65788.87</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508932.8</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25.5</v>
      </c>
      <c r="D41" s="776">
        <f>SUMIFS('ESE FTE'!G:G,'ESE FTE'!$A:$A,$I$2,'ESE FTE'!$E:$E,6)</f>
        <v>26.5</v>
      </c>
      <c r="E41" s="1073">
        <f t="shared" ref="E41:E49" si="8">IF($D$50=0,C41*2,C41+D41)</f>
        <v>52</v>
      </c>
      <c r="F41" s="1073"/>
      <c r="G41" s="37" t="s">
        <v>57</v>
      </c>
      <c r="H41" s="37">
        <v>251</v>
      </c>
      <c r="I41" s="125">
        <f>Consolidated!$H59</f>
        <v>1047</v>
      </c>
      <c r="J41" s="46">
        <f t="shared" ref="J41:J49" si="9">ROUND(E41*I41,2)</f>
        <v>54444</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3.5</v>
      </c>
      <c r="D42" s="122">
        <f>SUMIFS('ESE FTE'!G:G,'ESE FTE'!$A:$A,$I$2,'ESE FTE'!$E:$E,7)</f>
        <v>3.64</v>
      </c>
      <c r="E42" s="1073">
        <f t="shared" si="8"/>
        <v>7.1400000000000006</v>
      </c>
      <c r="F42" s="1073"/>
      <c r="G42" s="37" t="s">
        <v>57</v>
      </c>
      <c r="H42" s="37">
        <v>252</v>
      </c>
      <c r="I42" s="125">
        <f>Consolidated!$H60</f>
        <v>3380</v>
      </c>
      <c r="J42" s="46">
        <f t="shared" si="9"/>
        <v>24133.200000000001</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58.98</v>
      </c>
      <c r="D44" s="776">
        <f>SUMIFS('ESE FTE'!G:G,'ESE FTE'!$A:$A,$I$2,'ESE FTE'!$E:$E,9)</f>
        <v>61.81</v>
      </c>
      <c r="E44" s="1073">
        <f t="shared" si="8"/>
        <v>120.78999999999999</v>
      </c>
      <c r="F44" s="1073"/>
      <c r="G44" s="47" t="s">
        <v>58</v>
      </c>
      <c r="H44" s="37">
        <v>251</v>
      </c>
      <c r="I44" s="125">
        <f>Consolidated!$H62</f>
        <v>1173</v>
      </c>
      <c r="J44" s="126">
        <f t="shared" si="9"/>
        <v>141686.67000000001</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2.52</v>
      </c>
      <c r="D45" s="122">
        <f>SUMIFS('ESE FTE'!G:G,'ESE FTE'!$A:$A,$I$2,'ESE FTE'!$E:$E,10)</f>
        <v>2.64</v>
      </c>
      <c r="E45" s="1073">
        <f t="shared" si="8"/>
        <v>5.16</v>
      </c>
      <c r="F45" s="1073"/>
      <c r="G45" s="47" t="s">
        <v>58</v>
      </c>
      <c r="H45" s="37">
        <v>252</v>
      </c>
      <c r="I45" s="125">
        <f>Consolidated!$H63</f>
        <v>3506</v>
      </c>
      <c r="J45" s="46">
        <f t="shared" si="9"/>
        <v>18090.96</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90.499999999999986</v>
      </c>
      <c r="D50" s="774">
        <f>SUM(D41:D49)</f>
        <v>94.59</v>
      </c>
      <c r="E50" s="1075">
        <f>SUM(E41:E49)</f>
        <v>185.09</v>
      </c>
      <c r="F50" s="1075"/>
      <c r="G50" s="1030" t="s">
        <v>61</v>
      </c>
      <c r="H50" s="1030"/>
      <c r="I50" s="1030"/>
      <c r="J50" s="220">
        <f>SUM(J41:J49)</f>
        <v>238354.83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1049.31</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5.0239999999999998E-3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1103.0272000000002</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4.9789999999999999E-3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1049.31</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5.9649999999999998E-3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1049.31</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5.032E-3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1049.31</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5.9760000000000004E-3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5.032E-3</v>
      </c>
      <c r="J68" s="127">
        <f>ROUND(G68*I68,2)</f>
        <v>230801.3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5.0239999999999998E-3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5.9760000000000004E-3</v>
      </c>
      <c r="J71" s="127">
        <f>ROUND(G71*I71,2)</f>
        <v>112554.51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5.9649999999999998E-3</v>
      </c>
      <c r="J72" s="127">
        <f>ROUND(G72*I72,2)</f>
        <v>66963.27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4.9789999999999999E-3</v>
      </c>
      <c r="J85" s="127">
        <f>ROUND(G85*I85,2)</f>
        <v>1413514.16</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4.9789999999999999E-3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5.0239999999999998E-3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511.37740000000002</v>
      </c>
      <c r="C90" s="80"/>
      <c r="D90" s="981">
        <f>I6</f>
        <v>1.0309999999999999</v>
      </c>
      <c r="E90" s="981"/>
      <c r="F90" s="981"/>
      <c r="G90" s="113">
        <f>Consolidated!F$118</f>
        <v>961.57</v>
      </c>
      <c r="H90" s="47" t="s">
        <v>66</v>
      </c>
      <c r="I90" s="532">
        <f>ROUND(B90*D90*G90,2)</f>
        <v>506968.65</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591.64980000000003</v>
      </c>
      <c r="C91" s="80"/>
      <c r="D91" s="981">
        <f>I6</f>
        <v>1.0309999999999999</v>
      </c>
      <c r="E91" s="981"/>
      <c r="F91" s="981"/>
      <c r="G91" s="113">
        <f>Consolidated!F$119</f>
        <v>918.1</v>
      </c>
      <c r="H91" s="47" t="s">
        <v>66</v>
      </c>
      <c r="I91" s="532">
        <f>ROUND(B91*D91*G91,2)</f>
        <v>560032.68999999994</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1103.0272</v>
      </c>
      <c r="C93" s="80"/>
      <c r="D93" s="80"/>
      <c r="E93" s="1059" t="s">
        <v>110</v>
      </c>
      <c r="F93" s="1059"/>
      <c r="G93" s="1059"/>
      <c r="H93" s="1059"/>
      <c r="I93" s="1059"/>
      <c r="J93" s="116">
        <f>IF(A1=75,0,I92+I91+I90)</f>
        <v>1067001.3399999999</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109</v>
      </c>
      <c r="D97" s="223">
        <v>113</v>
      </c>
      <c r="E97" s="1103">
        <f>IF(D97&gt;0,(C97+D97)/2,C97)</f>
        <v>111</v>
      </c>
      <c r="F97" s="982"/>
      <c r="G97" s="982"/>
      <c r="H97" s="85" t="s">
        <v>115</v>
      </c>
      <c r="I97" s="119">
        <f>Consolidated!G$127</f>
        <v>583</v>
      </c>
      <c r="J97" s="127">
        <f>ROUND(I97*E97,2)</f>
        <v>64713</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9400399.9700000007</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8891467.1699999999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t="s">
        <v>478</v>
      </c>
      <c r="I114" s="639">
        <f>IF(I111=1,J111,J109)</f>
        <v>8891467.1699999999</v>
      </c>
      <c r="J114" s="640">
        <f>ROUND(IF(E28=0,0,IF(E28&gt;250,-(((250/E28)*I114)*IF(H114="H",0.02,0.05)),IF(H114="H",-0.02*I114,-0.05*I114))),2)</f>
        <v>-42368.160000000003</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9358031.8100000005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Payments'!R87</f>
        <v>-1569200.76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7788831.0500000007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778883.11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135461.18</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opLeftCell="A35"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595</v>
      </c>
      <c r="B2" s="101"/>
      <c r="C2" s="101"/>
      <c r="D2" s="101"/>
      <c r="E2" s="6"/>
      <c r="F2" s="6"/>
      <c r="G2" s="6"/>
      <c r="H2" s="6"/>
      <c r="I2" s="685" t="str">
        <f>RIGHT(A2,4)</f>
        <v>3382</v>
      </c>
      <c r="J2" s="6"/>
      <c r="K2" s="6"/>
      <c r="L2" s="6"/>
      <c r="M2" s="6"/>
      <c r="N2" s="6"/>
      <c r="O2" s="6"/>
      <c r="P2" s="6"/>
      <c r="Q2" s="6"/>
      <c r="R2" s="987" t="str">
        <f>Revenue_Estimate_Worksheet_for___________Charter_School</f>
        <v>Revenue Estimate Worksheet: Glades Day - 3382</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41.54</v>
      </c>
      <c r="D12" s="699">
        <f>SUMIFS('Surv2-3'!K:K,'Surv2-3'!$H:$H,$I$2,'Surv2-3'!$I:$I,$O12)</f>
        <v>37.42</v>
      </c>
      <c r="E12" s="1081">
        <f t="shared" ref="E12:E27" si="0">IF($D$28=0,C12*2,C12+D12)</f>
        <v>78.960000000000008</v>
      </c>
      <c r="F12" s="1081"/>
      <c r="G12" s="1096">
        <f>Consolidated!$F14</f>
        <v>1.107</v>
      </c>
      <c r="H12" s="1096">
        <f>Consolidated!$H$9</f>
        <v>1</v>
      </c>
      <c r="I12" s="534">
        <f>ROUND(E12*G12,4)</f>
        <v>87.408699999999996</v>
      </c>
      <c r="J12" s="535">
        <f t="shared" ref="J12:J27" si="1">ROUND(ROUND(ROUND(I12*$E$6,4)*($I$6),2)*(MAX($I$7,1)),2)</f>
        <v>491830.01</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8</v>
      </c>
      <c r="D13" s="389">
        <f>SUMIFS('Surv2-3'!K:K,'Surv2-3'!$H:$H,$I$2,'Surv2-3'!$I:$I,$O13)</f>
        <v>7.49</v>
      </c>
      <c r="E13" s="1080">
        <f t="shared" si="0"/>
        <v>15.49</v>
      </c>
      <c r="F13" s="1080"/>
      <c r="G13" s="1086">
        <f>Consolidated!$F15</f>
        <v>1.107</v>
      </c>
      <c r="H13" s="1086">
        <f>Consolidated!$H$9</f>
        <v>1</v>
      </c>
      <c r="I13" s="534">
        <f t="shared" ref="I13:I27" si="3">ROUND(E13*G13,4)</f>
        <v>17.147400000000001</v>
      </c>
      <c r="J13" s="535">
        <f t="shared" si="1"/>
        <v>96484.74</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62.08</v>
      </c>
      <c r="D14" s="389">
        <f>SUMIFS('Surv2-3'!L:L,'Surv2-3'!$H:$H,$I$2,'Surv2-3'!$I:$I,$O14)</f>
        <v>61.349999999999994</v>
      </c>
      <c r="E14" s="1080">
        <f t="shared" si="0"/>
        <v>123.42999999999999</v>
      </c>
      <c r="F14" s="1080"/>
      <c r="G14" s="1086">
        <f>Consolidated!$F16</f>
        <v>1</v>
      </c>
      <c r="H14" s="1086">
        <f>Consolidated!$H$9</f>
        <v>1</v>
      </c>
      <c r="I14" s="534">
        <f t="shared" si="3"/>
        <v>123.43</v>
      </c>
      <c r="J14" s="535">
        <f>ROUND(ROUND(ROUND(I14*$E$6,4)*($I$6),2)*(MAX($I$7,1)),2)</f>
        <v>694514.15</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20</v>
      </c>
      <c r="D15" s="389">
        <f>SUMIFS('Surv2-3'!L:L,'Surv2-3'!$H:$H,$I$2,'Surv2-3'!$I:$I,$O15)</f>
        <v>16.53</v>
      </c>
      <c r="E15" s="1080">
        <f t="shared" si="0"/>
        <v>36.53</v>
      </c>
      <c r="F15" s="1080"/>
      <c r="G15" s="1086">
        <f>Consolidated!$F17</f>
        <v>1</v>
      </c>
      <c r="H15" s="1086">
        <f>Consolidated!$H$9</f>
        <v>1</v>
      </c>
      <c r="I15" s="534">
        <f t="shared" si="3"/>
        <v>36.53</v>
      </c>
      <c r="J15" s="535">
        <f t="shared" si="1"/>
        <v>205546.48</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3.4699999999999998</v>
      </c>
      <c r="D24" s="389">
        <f>SUMIFS('Surv2-3'!K:K,'Surv2-3'!$H:$H,$I$2,'Surv2-3'!$I:$I,$O24)</f>
        <v>3.07</v>
      </c>
      <c r="E24" s="1080">
        <f t="shared" si="0"/>
        <v>6.5399999999999991</v>
      </c>
      <c r="F24" s="1080"/>
      <c r="G24" s="1086">
        <f>Consolidated!$F26</f>
        <v>1.161</v>
      </c>
      <c r="H24" s="1086">
        <f>Consolidated!$H$9</f>
        <v>1</v>
      </c>
      <c r="I24" s="534">
        <f t="shared" si="3"/>
        <v>7.5929000000000002</v>
      </c>
      <c r="J24" s="535">
        <f t="shared" si="1"/>
        <v>42723.62</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0.42</v>
      </c>
      <c r="D25" s="389">
        <f>SUMIFS('Surv2-3'!L:L,'Surv2-3'!$H:$H,$I$2,'Surv2-3'!$I:$I,$O25)</f>
        <v>0.42</v>
      </c>
      <c r="E25" s="1080">
        <f t="shared" si="0"/>
        <v>0.84</v>
      </c>
      <c r="F25" s="1080"/>
      <c r="G25" s="1086">
        <f>Consolidated!$F27</f>
        <v>1.161</v>
      </c>
      <c r="H25" s="1086">
        <f>Consolidated!$H$9</f>
        <v>1</v>
      </c>
      <c r="I25" s="534">
        <f t="shared" si="3"/>
        <v>0.97519999999999996</v>
      </c>
      <c r="J25" s="535">
        <f t="shared" si="1"/>
        <v>5487.24</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135.51</v>
      </c>
      <c r="D28" s="773">
        <f>SUM(D12:D27)</f>
        <v>126.27999999999999</v>
      </c>
      <c r="E28" s="1085">
        <f>SUM(E12:E27)</f>
        <v>261.78999999999996</v>
      </c>
      <c r="F28" s="1085"/>
      <c r="G28" s="1080"/>
      <c r="H28" s="1080"/>
      <c r="I28" s="23">
        <f>SUM(I12:I27)</f>
        <v>273.08420000000001</v>
      </c>
      <c r="J28" s="116">
        <f>SUM(J12:J27)</f>
        <v>1536586.24</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273.08420000000001</v>
      </c>
      <c r="H33" s="1080" t="s">
        <v>45</v>
      </c>
      <c r="I33" s="1080"/>
      <c r="J33" s="32">
        <f>SUM(J32,J28)</f>
        <v>1536586.24</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1536586.24</v>
      </c>
      <c r="H36" s="37" t="s">
        <v>48</v>
      </c>
      <c r="I36" s="38">
        <f>Consolidated!H53</f>
        <v>7.1400000000000005E-2</v>
      </c>
      <c r="J36" s="120">
        <f>ROUND(G36*I36,2)</f>
        <v>109712.26</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1536586.24</v>
      </c>
      <c r="H37" s="37" t="s">
        <v>48</v>
      </c>
      <c r="I37" s="38">
        <f>Consolidated!H54</f>
        <v>1.06E-2</v>
      </c>
      <c r="J37" s="120">
        <f>ROUND(G37*I37,2)</f>
        <v>16287.81</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126000.06999999999</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7.5</v>
      </c>
      <c r="D41" s="776">
        <f>SUMIFS('ESE FTE'!G:G,'ESE FTE'!$A:$A,$I$2,'ESE FTE'!$E:$E,6)</f>
        <v>7.02</v>
      </c>
      <c r="E41" s="1073">
        <f t="shared" ref="E41:E49" si="8">IF($D$50=0,C41*2,C41+D41)</f>
        <v>14.52</v>
      </c>
      <c r="F41" s="1073"/>
      <c r="G41" s="37" t="s">
        <v>57</v>
      </c>
      <c r="H41" s="37">
        <v>251</v>
      </c>
      <c r="I41" s="125">
        <f>Consolidated!$H59</f>
        <v>1047</v>
      </c>
      <c r="J41" s="532">
        <f t="shared" ref="J41:J49" si="9">ROUND(E41*I41,2)</f>
        <v>15202.44</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0.5</v>
      </c>
      <c r="D42" s="122">
        <f>SUMIFS('ESE FTE'!G:G,'ESE FTE'!$A:$A,$I$2,'ESE FTE'!$E:$E,7)</f>
        <v>0.47</v>
      </c>
      <c r="E42" s="1073">
        <f t="shared" si="8"/>
        <v>0.97</v>
      </c>
      <c r="F42" s="1073"/>
      <c r="G42" s="37" t="s">
        <v>57</v>
      </c>
      <c r="H42" s="37">
        <v>252</v>
      </c>
      <c r="I42" s="125">
        <f>Consolidated!$H60</f>
        <v>3380</v>
      </c>
      <c r="J42" s="532">
        <f t="shared" si="9"/>
        <v>3278.6</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18.46</v>
      </c>
      <c r="D44" s="776">
        <f>SUMIFS('ESE FTE'!G:G,'ESE FTE'!$A:$A,$I$2,'ESE FTE'!$E:$E,9)</f>
        <v>15.26</v>
      </c>
      <c r="E44" s="1073">
        <f t="shared" si="8"/>
        <v>33.72</v>
      </c>
      <c r="F44" s="1073"/>
      <c r="G44" s="47" t="s">
        <v>58</v>
      </c>
      <c r="H44" s="37">
        <v>251</v>
      </c>
      <c r="I44" s="125">
        <f>Consolidated!$H62</f>
        <v>1173</v>
      </c>
      <c r="J44" s="126">
        <f t="shared" si="9"/>
        <v>39553.56</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1.54</v>
      </c>
      <c r="D45" s="122">
        <f>SUMIFS('ESE FTE'!G:G,'ESE FTE'!$A:$A,$I$2,'ESE FTE'!$E:$E,10)</f>
        <v>1.27</v>
      </c>
      <c r="E45" s="1073">
        <f t="shared" si="8"/>
        <v>2.81</v>
      </c>
      <c r="F45" s="1073"/>
      <c r="G45" s="47" t="s">
        <v>58</v>
      </c>
      <c r="H45" s="37">
        <v>252</v>
      </c>
      <c r="I45" s="125">
        <f>Consolidated!$H63</f>
        <v>3506</v>
      </c>
      <c r="J45" s="532">
        <f t="shared" si="9"/>
        <v>9851.86</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28</v>
      </c>
      <c r="D50" s="774">
        <f>SUM(D41:D49)</f>
        <v>24.02</v>
      </c>
      <c r="E50" s="1075">
        <f>SUM(E41:E49)</f>
        <v>52.02</v>
      </c>
      <c r="F50" s="1075"/>
      <c r="G50" s="1030" t="s">
        <v>61</v>
      </c>
      <c r="H50" s="1030"/>
      <c r="I50" s="1030"/>
      <c r="J50" s="220">
        <f>SUM(J41:J49)</f>
        <v>67886.459999999992</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261.78999999999996</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1.253E-3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273.08420000000001</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1.2329999999999999E-3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261.78999999999996</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1.488E-3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261.78999999999996</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1.255E-3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261.78999999999996</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1.4909999999999999E-3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1.255E-3</v>
      </c>
      <c r="J68" s="127">
        <f>ROUND(G68*I68,2)</f>
        <v>57562.73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1.253E-3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1.4909999999999999E-3</v>
      </c>
      <c r="J71" s="127">
        <f>ROUND(G71*I71,2)</f>
        <v>28082.12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1.488E-3</v>
      </c>
      <c r="J72" s="127">
        <f>ROUND(G72*I72,2)</f>
        <v>16704.330000000002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1.2329999999999999E-3</v>
      </c>
      <c r="J85" s="127">
        <f>ROUND(G85*I85,2)</f>
        <v>350042.77</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1.2329999999999999E-3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1.253E-3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112.149</v>
      </c>
      <c r="C90" s="80"/>
      <c r="D90" s="981">
        <f>I6</f>
        <v>1.0309999999999999</v>
      </c>
      <c r="E90" s="981"/>
      <c r="F90" s="981"/>
      <c r="G90" s="113">
        <f>Consolidated!F$118</f>
        <v>961.57</v>
      </c>
      <c r="H90" s="47" t="s">
        <v>66</v>
      </c>
      <c r="I90" s="532">
        <f>ROUND(B90*D90*G90,2)</f>
        <v>111182.13</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160.93520000000001</v>
      </c>
      <c r="C91" s="80"/>
      <c r="D91" s="981">
        <f>I6</f>
        <v>1.0309999999999999</v>
      </c>
      <c r="E91" s="981"/>
      <c r="F91" s="981"/>
      <c r="G91" s="113">
        <f>Consolidated!F$119</f>
        <v>918.1</v>
      </c>
      <c r="H91" s="47" t="s">
        <v>66</v>
      </c>
      <c r="I91" s="532">
        <f>ROUND(B91*D91*G91,2)</f>
        <v>152335</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273.08420000000001</v>
      </c>
      <c r="C93" s="80"/>
      <c r="D93" s="80"/>
      <c r="E93" s="1059" t="s">
        <v>110</v>
      </c>
      <c r="F93" s="1059"/>
      <c r="G93" s="1059"/>
      <c r="H93" s="1059"/>
      <c r="I93" s="1059"/>
      <c r="J93" s="116">
        <f>IF(A1=75,0,I92+I91+I90)</f>
        <v>263517.13</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240</v>
      </c>
      <c r="D97" s="223">
        <v>232</v>
      </c>
      <c r="E97" s="1103">
        <f>IF(D97&gt;0,(C97+D97)/2,C97)</f>
        <v>236</v>
      </c>
      <c r="F97" s="982"/>
      <c r="G97" s="982"/>
      <c r="H97" s="85" t="s">
        <v>115</v>
      </c>
      <c r="I97" s="119">
        <f>Consolidated!G$127</f>
        <v>583</v>
      </c>
      <c r="J97" s="127">
        <f>ROUND(I97*E97,2)</f>
        <v>137588</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2457969.7800000003</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2331969.7100000004</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c r="I114" s="639">
        <f>IF(I111=1,J111,J109)</f>
        <v>2331969.7100000004</v>
      </c>
      <c r="J114" s="640">
        <f>ROUND(IF(E28=0,0,IF(E28&gt;250,-(((250/E28)*I114)*IF(H114="H",0.02,0.05)),IF(H114="H",-0.02*I114,-0.05*I114))),2)</f>
        <v>-111347.34</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2346622.4400000004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Payments'!R88</f>
        <v>-394007.1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1952615.3400000003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195261.53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5251.15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sheetPr>
    <tabColor theme="0" tint="-0.34998626667073579"/>
  </sheetPr>
  <dimension ref="A1:Z207"/>
  <sheetViews>
    <sheetView topLeftCell="A27"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490</v>
      </c>
      <c r="B2" s="101"/>
      <c r="C2" s="101"/>
      <c r="D2" s="101"/>
      <c r="E2" s="6"/>
      <c r="F2" s="6"/>
      <c r="G2" s="6"/>
      <c r="H2" s="6"/>
      <c r="I2" s="692" t="str">
        <f>RIGHT(A2,4)</f>
        <v>3391</v>
      </c>
      <c r="J2" s="691" t="s">
        <v>597</v>
      </c>
      <c r="K2" s="6"/>
      <c r="L2" s="6"/>
      <c r="M2" s="6"/>
      <c r="N2" s="6"/>
      <c r="O2" s="6"/>
      <c r="P2" s="6"/>
      <c r="Q2" s="6"/>
      <c r="R2" s="987" t="str">
        <f>Revenue_Estimate_Worksheet_for___________Charter_School</f>
        <v>Revenue Estimate Worksheet: Seagull Academy for Independent Living - 3391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0</v>
      </c>
      <c r="D28" s="773">
        <f>SUM(D12:D27)</f>
        <v>0</v>
      </c>
      <c r="E28" s="1085">
        <f>SUM(E12:E27)</f>
        <v>0</v>
      </c>
      <c r="F28" s="1085"/>
      <c r="G28" s="1080"/>
      <c r="H28" s="1080"/>
      <c r="I28" s="23">
        <f>SUM(I12:I27)</f>
        <v>0</v>
      </c>
      <c r="J28" s="116">
        <f>SUM(J12:J27)</f>
        <v>0</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0</v>
      </c>
      <c r="H33" s="1080" t="s">
        <v>45</v>
      </c>
      <c r="I33" s="1080"/>
      <c r="J33" s="32">
        <f>SUM(J32,J28)</f>
        <v>0</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f>J$28</f>
        <v>0</v>
      </c>
      <c r="H36" s="37" t="s">
        <v>48</v>
      </c>
      <c r="I36" s="38">
        <f>Consolidated!H53</f>
        <v>7.1400000000000005E-2</v>
      </c>
      <c r="J36" s="120">
        <f>ROUND(G36*I36,2)</f>
        <v>0</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f>J$28</f>
        <v>0</v>
      </c>
      <c r="H37" s="37" t="s">
        <v>48</v>
      </c>
      <c r="I37" s="38">
        <f>Consolidated!H54</f>
        <v>1.06E-2</v>
      </c>
      <c r="J37" s="120">
        <f>ROUND(G37*I37,2)</f>
        <v>0</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0</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0</v>
      </c>
      <c r="D50" s="774">
        <f>SUM(D41:D49)</f>
        <v>0</v>
      </c>
      <c r="E50" s="1075">
        <f>SUM(E41:E49)</f>
        <v>0</v>
      </c>
      <c r="F50" s="1075"/>
      <c r="G50" s="1030" t="s">
        <v>61</v>
      </c>
      <c r="H50" s="1030"/>
      <c r="I50" s="1030"/>
      <c r="J50" s="220">
        <f>SUM(J41:J49)</f>
        <v>0</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0</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0</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E56</f>
        <v>0</v>
      </c>
      <c r="U55" s="173" t="s">
        <v>64</v>
      </c>
      <c r="V55" s="174"/>
      <c r="W55" s="175" t="s">
        <v>69</v>
      </c>
      <c r="X55" s="1037">
        <f>I56</f>
        <v>221542.28000000003</v>
      </c>
      <c r="Y55" s="1037"/>
    </row>
    <row r="56" spans="1:25" ht="16.5" customHeight="1" x14ac:dyDescent="0.25">
      <c r="A56" s="1013" t="s">
        <v>68</v>
      </c>
      <c r="B56" s="1013"/>
      <c r="C56" s="51"/>
      <c r="D56" s="51"/>
      <c r="E56" s="48">
        <f>G33</f>
        <v>0</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0</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0</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0</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0</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0</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0</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0</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0</v>
      </c>
      <c r="J68" s="127">
        <f>ROUND(G68*I68,2)</f>
        <v>0</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0</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0</v>
      </c>
      <c r="J85" s="127">
        <f>ROUND(G85*I85,2)</f>
        <v>0</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0</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129">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0</v>
      </c>
      <c r="C93" s="80"/>
      <c r="D93" s="80"/>
      <c r="E93" s="1059" t="s">
        <v>110</v>
      </c>
      <c r="F93" s="1059"/>
      <c r="G93" s="1059"/>
      <c r="H93" s="1059"/>
      <c r="I93" s="1059"/>
      <c r="J93" s="116">
        <f>IF(A1=75,0,I92+I91+I90)</f>
        <v>0</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0</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0</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Payments'!R89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36" workbookViewId="0">
      <selection activeCell="A52" sqref="A52:J5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491</v>
      </c>
      <c r="B2" s="101"/>
      <c r="C2" s="101"/>
      <c r="D2" s="101"/>
      <c r="E2" s="6"/>
      <c r="F2" s="6"/>
      <c r="G2" s="6"/>
      <c r="H2" s="6"/>
      <c r="I2" s="685" t="str">
        <f>RIGHT(A2,4)</f>
        <v>3394</v>
      </c>
      <c r="J2" s="6"/>
      <c r="K2" s="6"/>
      <c r="L2" s="6"/>
      <c r="M2" s="6"/>
      <c r="N2" s="6"/>
      <c r="O2" s="6"/>
      <c r="P2" s="6"/>
      <c r="Q2" s="6"/>
      <c r="R2" s="987" t="str">
        <f>Revenue_Estimate_Worksheet_for___________Charter_School</f>
        <v>Revenue Estimate Worksheet: Montessori Academy of Early Enrichment - 3394</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39.619999999999997</v>
      </c>
      <c r="D12" s="699">
        <f>SUMIFS('Surv2-3'!K:K,'Surv2-3'!$H:$H,$I$2,'Surv2-3'!$I:$I,$O12)</f>
        <v>38.08</v>
      </c>
      <c r="E12" s="1081">
        <f t="shared" ref="E12:E27" si="0">IF($D$28=0,C12*2,C12+D12)</f>
        <v>77.699999999999989</v>
      </c>
      <c r="F12" s="1081"/>
      <c r="G12" s="1096">
        <f>Consolidated!$F14</f>
        <v>1.107</v>
      </c>
      <c r="H12" s="1096">
        <f>Consolidated!$H$9</f>
        <v>1</v>
      </c>
      <c r="I12" s="534">
        <f>ROUND(E12*G12,4)</f>
        <v>86.013900000000007</v>
      </c>
      <c r="J12" s="535">
        <f t="shared" ref="J12:J27" si="1">ROUND(ROUND(ROUND(I12*$E$6,4)*($I$6),2)*(MAX($I$7,1)),2)</f>
        <v>483981.77</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4</v>
      </c>
      <c r="D13" s="389">
        <f>SUMIFS('Surv2-3'!K:K,'Surv2-3'!$H:$H,$I$2,'Surv2-3'!$I:$I,$O13)</f>
        <v>5</v>
      </c>
      <c r="E13" s="1080">
        <f t="shared" si="0"/>
        <v>9</v>
      </c>
      <c r="F13" s="1080"/>
      <c r="G13" s="1086">
        <f>Consolidated!$F15</f>
        <v>1.107</v>
      </c>
      <c r="H13" s="1086">
        <f>Consolidated!$H$9</f>
        <v>1</v>
      </c>
      <c r="I13" s="534">
        <f t="shared" ref="I13:I27" si="3">ROUND(E13*G13,4)</f>
        <v>9.9629999999999992</v>
      </c>
      <c r="J13" s="535">
        <f t="shared" si="1"/>
        <v>56059.66</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14.780000000000001</v>
      </c>
      <c r="D14" s="389">
        <f>SUMIFS('Surv2-3'!L:L,'Surv2-3'!$H:$H,$I$2,'Surv2-3'!$I:$I,$O14)</f>
        <v>14.83</v>
      </c>
      <c r="E14" s="1080">
        <f t="shared" si="0"/>
        <v>29.61</v>
      </c>
      <c r="F14" s="1080"/>
      <c r="G14" s="1086">
        <f>Consolidated!$F16</f>
        <v>1</v>
      </c>
      <c r="H14" s="1086">
        <f>Consolidated!$H$9</f>
        <v>1</v>
      </c>
      <c r="I14" s="534">
        <f t="shared" si="3"/>
        <v>29.61</v>
      </c>
      <c r="J14" s="535">
        <f>ROUND(ROUND(ROUND(I14*$E$6,4)*($I$6),2)*(MAX($I$7,1)),2)</f>
        <v>166609.12</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4</v>
      </c>
      <c r="D15" s="389">
        <f>SUMIFS('Surv2-3'!L:L,'Surv2-3'!$H:$H,$I$2,'Surv2-3'!$I:$I,$O15)</f>
        <v>4.5</v>
      </c>
      <c r="E15" s="1080">
        <f t="shared" si="0"/>
        <v>8.5</v>
      </c>
      <c r="F15" s="1080"/>
      <c r="G15" s="1086">
        <f>Consolidated!$F17</f>
        <v>1</v>
      </c>
      <c r="H15" s="1086">
        <f>Consolidated!$H$9</f>
        <v>1</v>
      </c>
      <c r="I15" s="534">
        <f t="shared" si="3"/>
        <v>8.5</v>
      </c>
      <c r="J15" s="535">
        <f t="shared" si="1"/>
        <v>47827.68</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26.38</v>
      </c>
      <c r="D24" s="389">
        <f>SUMIFS('Surv2-3'!K:K,'Surv2-3'!$H:$H,$I$2,'Surv2-3'!$I:$I,$O24)</f>
        <v>25.9</v>
      </c>
      <c r="E24" s="1080">
        <f t="shared" si="0"/>
        <v>52.28</v>
      </c>
      <c r="F24" s="1080"/>
      <c r="G24" s="1086">
        <f>Consolidated!$F26</f>
        <v>1.161</v>
      </c>
      <c r="H24" s="1086">
        <f>Consolidated!$H$9</f>
        <v>1</v>
      </c>
      <c r="I24" s="534">
        <f t="shared" si="3"/>
        <v>60.697099999999999</v>
      </c>
      <c r="J24" s="535">
        <f t="shared" si="1"/>
        <v>341529.57</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7.7200000000000006</v>
      </c>
      <c r="D25" s="389">
        <f>SUMIFS('Surv2-3'!L:L,'Surv2-3'!$H:$H,$I$2,'Surv2-3'!$I:$I,$O25)</f>
        <v>8.17</v>
      </c>
      <c r="E25" s="1080">
        <f t="shared" si="0"/>
        <v>15.89</v>
      </c>
      <c r="F25" s="1080"/>
      <c r="G25" s="1086">
        <f>Consolidated!$F27</f>
        <v>1.161</v>
      </c>
      <c r="H25" s="1086">
        <f>Consolidated!$H$9</f>
        <v>1</v>
      </c>
      <c r="I25" s="534">
        <f t="shared" si="3"/>
        <v>18.4483</v>
      </c>
      <c r="J25" s="535">
        <f t="shared" si="1"/>
        <v>103804.63</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96.5</v>
      </c>
      <c r="D28" s="773">
        <f>SUM(D12:D27)</f>
        <v>96.48</v>
      </c>
      <c r="E28" s="1085">
        <f>SUM(E12:E27)</f>
        <v>192.97999999999996</v>
      </c>
      <c r="F28" s="1085"/>
      <c r="G28" s="1080"/>
      <c r="H28" s="1080"/>
      <c r="I28" s="23">
        <f>SUM(I12:I27)</f>
        <v>213.23230000000001</v>
      </c>
      <c r="J28" s="116">
        <f>SUM(J12:J27)</f>
        <v>1199812.4300000002</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213.23230000000001</v>
      </c>
      <c r="H33" s="1080" t="s">
        <v>45</v>
      </c>
      <c r="I33" s="1080"/>
      <c r="J33" s="32">
        <f>SUM(J32,J28)</f>
        <v>1199812.4300000002</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1199812.4300000002</v>
      </c>
      <c r="H36" s="37" t="s">
        <v>48</v>
      </c>
      <c r="I36" s="38">
        <f>Consolidated!H53</f>
        <v>7.1400000000000005E-2</v>
      </c>
      <c r="J36" s="120">
        <f>ROUND(G36*I36,2)</f>
        <v>85666.61</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1199812.4300000002</v>
      </c>
      <c r="H37" s="37" t="s">
        <v>48</v>
      </c>
      <c r="I37" s="38">
        <f>Consolidated!H54</f>
        <v>1.06E-2</v>
      </c>
      <c r="J37" s="120">
        <f>ROUND(G37*I37,2)</f>
        <v>12718.01</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98384.62</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4</v>
      </c>
      <c r="D41" s="776">
        <f>SUMIFS('ESE FTE'!G:G,'ESE FTE'!$A:$A,$I$2,'ESE FTE'!$E:$E,6)</f>
        <v>5</v>
      </c>
      <c r="E41" s="1073">
        <f t="shared" ref="E41:E49" si="8">IF($D$50=0,C41*2,C41+D41)</f>
        <v>9</v>
      </c>
      <c r="F41" s="1073"/>
      <c r="G41" s="37" t="s">
        <v>57</v>
      </c>
      <c r="H41" s="37">
        <v>251</v>
      </c>
      <c r="I41" s="125">
        <f>Consolidated!$H59</f>
        <v>1047</v>
      </c>
      <c r="J41" s="532">
        <f t="shared" ref="J41:J49" si="9">ROUND(E41*I41,2)</f>
        <v>9423</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2.5</v>
      </c>
      <c r="D44" s="776">
        <f>SUMIFS('ESE FTE'!G:G,'ESE FTE'!$A:$A,$I$2,'ESE FTE'!$E:$E,9)</f>
        <v>2.81</v>
      </c>
      <c r="E44" s="1073">
        <f t="shared" si="8"/>
        <v>5.3100000000000005</v>
      </c>
      <c r="F44" s="1073"/>
      <c r="G44" s="47" t="s">
        <v>58</v>
      </c>
      <c r="H44" s="37">
        <v>251</v>
      </c>
      <c r="I44" s="125">
        <f>Consolidated!$H62</f>
        <v>1173</v>
      </c>
      <c r="J44" s="532">
        <f t="shared" si="9"/>
        <v>6228.63</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1.5</v>
      </c>
      <c r="D45" s="122">
        <f>SUMIFS('ESE FTE'!G:G,'ESE FTE'!$A:$A,$I$2,'ESE FTE'!$E:$E,10)</f>
        <v>1.69</v>
      </c>
      <c r="E45" s="1073">
        <f t="shared" si="8"/>
        <v>3.19</v>
      </c>
      <c r="F45" s="1073"/>
      <c r="G45" s="47" t="s">
        <v>58</v>
      </c>
      <c r="H45" s="37">
        <v>252</v>
      </c>
      <c r="I45" s="125">
        <f>Consolidated!$H63</f>
        <v>3506</v>
      </c>
      <c r="J45" s="532">
        <f t="shared" si="9"/>
        <v>11184.14</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8</v>
      </c>
      <c r="D50" s="774">
        <f>SUM(D41:D49)</f>
        <v>9.5</v>
      </c>
      <c r="E50" s="1075">
        <f>SUM(E41:E49)</f>
        <v>17.5</v>
      </c>
      <c r="F50" s="1075"/>
      <c r="G50" s="1030" t="s">
        <v>61</v>
      </c>
      <c r="H50" s="1030"/>
      <c r="I50" s="1030"/>
      <c r="J50" s="220">
        <f>SUM(J41:J49)</f>
        <v>26835.77</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192.97999999999996</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9.2400000000000002E-4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213.23230000000001</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9.6199999999999996E-4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192.97999999999996</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1.0970000000000001E-3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192.97999999999996</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9.2500000000000004E-4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192.97999999999996</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1.0989999999999999E-3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9.2500000000000004E-4</v>
      </c>
      <c r="J68" s="127">
        <f>ROUND(G68*I68,2)</f>
        <v>42426.71</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9.2400000000000002E-4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1.0989999999999999E-3</v>
      </c>
      <c r="J71" s="127">
        <f>ROUND(G71*I71,2)</f>
        <v>20699.03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1.0970000000000001E-3</v>
      </c>
      <c r="J72" s="127">
        <f>ROUND(G72*I72,2)</f>
        <v>12314.96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9.6199999999999996E-4</v>
      </c>
      <c r="J85" s="127">
        <f>ROUND(G85*I85,2)</f>
        <v>273107.17</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9.6199999999999996E-4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9.2400000000000002E-4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156.67400000000001</v>
      </c>
      <c r="C90" s="80"/>
      <c r="D90" s="981">
        <f>I6</f>
        <v>1.0309999999999999</v>
      </c>
      <c r="E90" s="981"/>
      <c r="F90" s="981"/>
      <c r="G90" s="113">
        <f>Consolidated!F$118</f>
        <v>961.57</v>
      </c>
      <c r="H90" s="47" t="s">
        <v>66</v>
      </c>
      <c r="I90" s="532">
        <f>ROUND(B90*D90*G90,2)</f>
        <v>155323.26</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56.558300000000003</v>
      </c>
      <c r="C91" s="80"/>
      <c r="D91" s="981">
        <f>I6</f>
        <v>1.0309999999999999</v>
      </c>
      <c r="E91" s="981"/>
      <c r="F91" s="981"/>
      <c r="G91" s="113">
        <f>Consolidated!F$119</f>
        <v>918.1</v>
      </c>
      <c r="H91" s="47" t="s">
        <v>66</v>
      </c>
      <c r="I91" s="532">
        <f>ROUND(B91*D91*G91,2)</f>
        <v>53535.89</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213.23230000000001</v>
      </c>
      <c r="C93" s="80"/>
      <c r="D93" s="80"/>
      <c r="E93" s="1059" t="s">
        <v>110</v>
      </c>
      <c r="F93" s="1059"/>
      <c r="G93" s="1059"/>
      <c r="H93" s="1059"/>
      <c r="I93" s="1059"/>
      <c r="J93" s="116">
        <f>IF(A1=75,0,I92+I91+I90)</f>
        <v>208859.15000000002</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8</v>
      </c>
      <c r="D97" s="223">
        <v>8</v>
      </c>
      <c r="E97" s="1103">
        <f>IF(D97&gt;0,(C97+D97)/2,C97)</f>
        <v>8</v>
      </c>
      <c r="F97" s="982"/>
      <c r="G97" s="982"/>
      <c r="H97" s="85" t="s">
        <v>115</v>
      </c>
      <c r="I97" s="119">
        <f>Consolidated!G$127</f>
        <v>583</v>
      </c>
      <c r="J97" s="127">
        <f>ROUND(I97*E97,2)</f>
        <v>4664</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1788719.2200000002</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1690334.6</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1690334.6</v>
      </c>
      <c r="J114" s="234">
        <f>ROUND(IF(E28=0,0,IF(E28&gt;250,-(((250/E28)*I114)*IF(H114="H",0.02,0.05)),IF(H114="H",-0.02*I114,-0.05*I114))),2)</f>
        <v>-84516.73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1704202.4900000002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Payments'!R90</f>
        <v>-283099.14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1421103.35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142110.34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41" workbookViewId="0">
      <selection activeCell="I54" sqref="I54:J5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492</v>
      </c>
      <c r="B2" s="101"/>
      <c r="C2" s="101"/>
      <c r="D2" s="101"/>
      <c r="E2" s="6"/>
      <c r="F2" s="6"/>
      <c r="G2" s="6"/>
      <c r="H2" s="6"/>
      <c r="I2" s="685" t="str">
        <f>RIGHT(A2,4)</f>
        <v>3395</v>
      </c>
      <c r="J2" s="6"/>
      <c r="K2" s="6"/>
      <c r="L2" s="6"/>
      <c r="M2" s="6"/>
      <c r="N2" s="6"/>
      <c r="O2" s="6"/>
      <c r="P2" s="6"/>
      <c r="Q2" s="6"/>
      <c r="R2" s="987" t="str">
        <f>Revenue_Estimate_Worksheet_for___________Charter_School</f>
        <v>Revenue Estimate Worksheet: Somerset Academy JFK Charter School - 3395</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63.97</v>
      </c>
      <c r="D12" s="699">
        <f>SUMIFS('Surv2-3'!K:K,'Surv2-3'!$H:$H,$I$2,'Surv2-3'!$I:$I,$O12)</f>
        <v>62.459999999999994</v>
      </c>
      <c r="E12" s="1081">
        <f t="shared" ref="E12:E27" si="0">IF($D$28=0,C12*2,C12+D12)</f>
        <v>126.42999999999999</v>
      </c>
      <c r="F12" s="1081"/>
      <c r="G12" s="1096">
        <f>Consolidated!$F14</f>
        <v>1.107</v>
      </c>
      <c r="H12" s="1096">
        <f>Consolidated!$H$9</f>
        <v>1</v>
      </c>
      <c r="I12" s="534">
        <f>ROUND(E12*G12,4)</f>
        <v>139.958</v>
      </c>
      <c r="J12" s="535">
        <f t="shared" ref="J12:J27" si="1">ROUND(ROUND(ROUND(I12*$E$6,4)*($I$6),2)*(MAX($I$7,1)),2)</f>
        <v>787513.66</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10.5</v>
      </c>
      <c r="D13" s="389">
        <f>SUMIFS('Surv2-3'!K:K,'Surv2-3'!$H:$H,$I$2,'Surv2-3'!$I:$I,$O13)</f>
        <v>12</v>
      </c>
      <c r="E13" s="1080">
        <f t="shared" si="0"/>
        <v>22.5</v>
      </c>
      <c r="F13" s="1080"/>
      <c r="G13" s="1086">
        <f>Consolidated!$F15</f>
        <v>1.107</v>
      </c>
      <c r="H13" s="1086">
        <f>Consolidated!$H$9</f>
        <v>1</v>
      </c>
      <c r="I13" s="534">
        <f t="shared" ref="I13:I27" si="3">ROUND(E13*G13,4)</f>
        <v>24.907499999999999</v>
      </c>
      <c r="J13" s="535">
        <f t="shared" si="1"/>
        <v>140149.16</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114.82</v>
      </c>
      <c r="D14" s="389">
        <f>SUMIFS('Surv2-3'!L:L,'Surv2-3'!$H:$H,$I$2,'Surv2-3'!$I:$I,$O14)</f>
        <v>111.23</v>
      </c>
      <c r="E14" s="1080">
        <f t="shared" si="0"/>
        <v>226.05</v>
      </c>
      <c r="F14" s="1080"/>
      <c r="G14" s="1086">
        <f>Consolidated!$F16</f>
        <v>1</v>
      </c>
      <c r="H14" s="1086">
        <f>Consolidated!$H$9</f>
        <v>1</v>
      </c>
      <c r="I14" s="534">
        <f t="shared" si="3"/>
        <v>226.05</v>
      </c>
      <c r="J14" s="535">
        <f>ROUND(ROUND(ROUND(I14*$E$6,4)*($I$6),2)*(MAX($I$7,1)),2)</f>
        <v>1271934.8799999999</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17.5</v>
      </c>
      <c r="D15" s="389">
        <f>SUMIFS('Surv2-3'!L:L,'Surv2-3'!$H:$H,$I$2,'Surv2-3'!$I:$I,$O15)</f>
        <v>18.5</v>
      </c>
      <c r="E15" s="1080">
        <f t="shared" si="0"/>
        <v>36</v>
      </c>
      <c r="F15" s="1080"/>
      <c r="G15" s="1086">
        <f>Consolidated!$F17</f>
        <v>1</v>
      </c>
      <c r="H15" s="1086">
        <f>Consolidated!$H$9</f>
        <v>1</v>
      </c>
      <c r="I15" s="534">
        <f t="shared" si="3"/>
        <v>36</v>
      </c>
      <c r="J15" s="535">
        <f t="shared" si="1"/>
        <v>202564.28</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52.53</v>
      </c>
      <c r="D24" s="389">
        <f>SUMIFS('Surv2-3'!K:K,'Surv2-3'!$H:$H,$I$2,'Surv2-3'!$I:$I,$O24)</f>
        <v>52.53</v>
      </c>
      <c r="E24" s="1080">
        <f t="shared" si="0"/>
        <v>105.06</v>
      </c>
      <c r="F24" s="1080"/>
      <c r="G24" s="1086">
        <f>Consolidated!$F26</f>
        <v>1.161</v>
      </c>
      <c r="H24" s="1086">
        <f>Consolidated!$H$9</f>
        <v>1</v>
      </c>
      <c r="I24" s="534">
        <f t="shared" si="3"/>
        <v>121.9747</v>
      </c>
      <c r="J24" s="535">
        <f t="shared" si="1"/>
        <v>686325.49</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11.18</v>
      </c>
      <c r="D25" s="389">
        <f>SUMIFS('Surv2-3'!L:L,'Surv2-3'!$H:$H,$I$2,'Surv2-3'!$I:$I,$O25)</f>
        <v>10.009999999999998</v>
      </c>
      <c r="E25" s="1080">
        <f t="shared" si="0"/>
        <v>21.189999999999998</v>
      </c>
      <c r="F25" s="1080"/>
      <c r="G25" s="1086">
        <f>Consolidated!$F27</f>
        <v>1.161</v>
      </c>
      <c r="H25" s="1086">
        <f>Consolidated!$H$9</f>
        <v>1</v>
      </c>
      <c r="I25" s="534">
        <f t="shared" si="3"/>
        <v>24.601600000000001</v>
      </c>
      <c r="J25" s="535">
        <f t="shared" si="1"/>
        <v>138427.93</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270.5</v>
      </c>
      <c r="D28" s="773">
        <f>SUM(D12:D27)</f>
        <v>266.73</v>
      </c>
      <c r="E28" s="1085">
        <f>SUM(E12:E27)</f>
        <v>537.23</v>
      </c>
      <c r="F28" s="1085"/>
      <c r="G28" s="1080"/>
      <c r="H28" s="1080"/>
      <c r="I28" s="23">
        <f>SUM(I12:I27)</f>
        <v>573.49180000000001</v>
      </c>
      <c r="J28" s="116">
        <f>SUM(J12:J27)</f>
        <v>3226915.4</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573.49180000000001</v>
      </c>
      <c r="H33" s="1080" t="s">
        <v>45</v>
      </c>
      <c r="I33" s="1080"/>
      <c r="J33" s="32">
        <f>SUM(J32,J28)</f>
        <v>3226915.4</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3226915.4</v>
      </c>
      <c r="H36" s="37" t="s">
        <v>48</v>
      </c>
      <c r="I36" s="38">
        <f>Consolidated!H53</f>
        <v>7.1400000000000005E-2</v>
      </c>
      <c r="J36" s="120">
        <f>ROUND(G36*I36,2)</f>
        <v>230401.76</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3226915.4</v>
      </c>
      <c r="H37" s="37" t="s">
        <v>48</v>
      </c>
      <c r="I37" s="38">
        <f>Consolidated!H54</f>
        <v>1.06E-2</v>
      </c>
      <c r="J37" s="120">
        <f>ROUND(G37*I37,2)</f>
        <v>34205.300000000003</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264607.06</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9.5</v>
      </c>
      <c r="D41" s="776">
        <f>SUMIFS('ESE FTE'!G:G,'ESE FTE'!$A:$A,$I$2,'ESE FTE'!$E:$E,6)</f>
        <v>10.86</v>
      </c>
      <c r="E41" s="1073">
        <f t="shared" ref="E41:E49" si="8">IF($D$50=0,C41*2,C41+D41)</f>
        <v>20.36</v>
      </c>
      <c r="F41" s="1073"/>
      <c r="G41" s="37" t="s">
        <v>57</v>
      </c>
      <c r="H41" s="37">
        <v>251</v>
      </c>
      <c r="I41" s="125">
        <f>Consolidated!$H59</f>
        <v>1047</v>
      </c>
      <c r="J41" s="532">
        <f t="shared" ref="J41:J49" si="9">ROUND(E41*I41,2)</f>
        <v>21316.92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1</v>
      </c>
      <c r="D42" s="122">
        <f>SUMIFS('ESE FTE'!G:G,'ESE FTE'!$A:$A,$I$2,'ESE FTE'!$E:$E,7)</f>
        <v>1.1399999999999999</v>
      </c>
      <c r="E42" s="1073">
        <f t="shared" si="8"/>
        <v>2.1399999999999997</v>
      </c>
      <c r="F42" s="1073"/>
      <c r="G42" s="37" t="s">
        <v>57</v>
      </c>
      <c r="H42" s="37">
        <v>252</v>
      </c>
      <c r="I42" s="125">
        <f>Consolidated!$H60</f>
        <v>3380</v>
      </c>
      <c r="J42" s="532">
        <f t="shared" si="9"/>
        <v>7233.2</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17</v>
      </c>
      <c r="D44" s="776">
        <f>SUMIFS('ESE FTE'!G:G,'ESE FTE'!$A:$A,$I$2,'ESE FTE'!$E:$E,9)</f>
        <v>17.97</v>
      </c>
      <c r="E44" s="1073">
        <f t="shared" si="8"/>
        <v>34.97</v>
      </c>
      <c r="F44" s="1073"/>
      <c r="G44" s="47" t="s">
        <v>58</v>
      </c>
      <c r="H44" s="37">
        <v>251</v>
      </c>
      <c r="I44" s="125">
        <f>Consolidated!$H62</f>
        <v>1173</v>
      </c>
      <c r="J44" s="532">
        <f t="shared" si="9"/>
        <v>41019.81</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0.5</v>
      </c>
      <c r="D45" s="122">
        <f>SUMIFS('ESE FTE'!G:G,'ESE FTE'!$A:$A,$I$2,'ESE FTE'!$E:$E,10)</f>
        <v>0.53</v>
      </c>
      <c r="E45" s="1073">
        <f t="shared" si="8"/>
        <v>1.03</v>
      </c>
      <c r="F45" s="1073"/>
      <c r="G45" s="47" t="s">
        <v>58</v>
      </c>
      <c r="H45" s="37">
        <v>252</v>
      </c>
      <c r="I45" s="125">
        <f>Consolidated!$H63</f>
        <v>3506</v>
      </c>
      <c r="J45" s="532">
        <f t="shared" si="9"/>
        <v>3611.18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28</v>
      </c>
      <c r="D50" s="774">
        <f>SUM(D41:D49)</f>
        <v>30.5</v>
      </c>
      <c r="E50" s="1075">
        <f>SUM(E41:E49)</f>
        <v>58.5</v>
      </c>
      <c r="F50" s="1075"/>
      <c r="G50" s="1030" t="s">
        <v>61</v>
      </c>
      <c r="H50" s="1030"/>
      <c r="I50" s="1030"/>
      <c r="J50" s="220">
        <f>SUM(J41:J49)</f>
        <v>73181.109999999986</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537.23</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2.5720000000000001E-3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573.49180000000001</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2.5890000000000002E-3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537.23</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3.0539999999999999E-3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537.23</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2.5760000000000002E-3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537.23</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3.0599999999999998E-3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2.5760000000000002E-3</v>
      </c>
      <c r="J68" s="127">
        <f>ROUND(G68*I68,2)</f>
        <v>118152.66</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2.5720000000000001E-3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3.0599999999999998E-3</v>
      </c>
      <c r="J71" s="127">
        <f>ROUND(G71*I71,2)</f>
        <v>57633.33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3.0539999999999999E-3</v>
      </c>
      <c r="J72" s="127">
        <f>ROUND(G72*I72,2)</f>
        <v>34284.300000000003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2.5890000000000002E-3</v>
      </c>
      <c r="J85" s="127">
        <f>ROUND(G85*I85,2)</f>
        <v>735004.65</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2.5890000000000002E-3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2.5720000000000001E-3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286.84019999999998</v>
      </c>
      <c r="C90" s="80"/>
      <c r="D90" s="981">
        <f>I6</f>
        <v>1.0309999999999999</v>
      </c>
      <c r="E90" s="981"/>
      <c r="F90" s="981"/>
      <c r="G90" s="113">
        <f>Consolidated!F$118</f>
        <v>961.57</v>
      </c>
      <c r="H90" s="47" t="s">
        <v>66</v>
      </c>
      <c r="I90" s="532">
        <f>ROUND(B90*D90*G90,2)</f>
        <v>284367.26</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286.65160000000003</v>
      </c>
      <c r="C91" s="80"/>
      <c r="D91" s="981">
        <f>I6</f>
        <v>1.0309999999999999</v>
      </c>
      <c r="E91" s="981"/>
      <c r="F91" s="981"/>
      <c r="G91" s="113">
        <f>Consolidated!F$119</f>
        <v>918.1</v>
      </c>
      <c r="H91" s="47" t="s">
        <v>66</v>
      </c>
      <c r="I91" s="532">
        <f>ROUND(B91*D91*G91,2)</f>
        <v>271333.25</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573.49180000000001</v>
      </c>
      <c r="C93" s="80"/>
      <c r="D93" s="80"/>
      <c r="E93" s="1059" t="s">
        <v>110</v>
      </c>
      <c r="F93" s="1059"/>
      <c r="G93" s="1059"/>
      <c r="H93" s="1059"/>
      <c r="I93" s="1059"/>
      <c r="J93" s="116">
        <f>IF(A1=75,0,I92+I91+I90)</f>
        <v>555700.51</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22</v>
      </c>
      <c r="D97" s="223">
        <v>25</v>
      </c>
      <c r="E97" s="1103">
        <f>IF(D97&gt;0,(C97+D97)/2,C97)</f>
        <v>23.5</v>
      </c>
      <c r="F97" s="982"/>
      <c r="G97" s="982"/>
      <c r="H97" s="85" t="s">
        <v>115</v>
      </c>
      <c r="I97" s="119">
        <f>Consolidated!G$127</f>
        <v>583</v>
      </c>
      <c r="J97" s="127">
        <f>ROUND(I97*E97,2)</f>
        <v>13700.5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4814572.46</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4549965.4000000004</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4549965.4000000004</v>
      </c>
      <c r="J114" s="234">
        <f>ROUND(IF(E28=0,0,IF(E28&gt;250,-(((250/E28)*I114)*IF(H113="H",0.02,0.05)),IF(H113="H",-0.02*I114,-0.05*I114))),2)</f>
        <v>-105866.33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4708706.13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Payments'!R91</f>
        <v>-785228.65</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3923477.48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392347.75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121631.94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35"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493</v>
      </c>
      <c r="B2" s="101"/>
      <c r="C2" s="101"/>
      <c r="D2" s="101"/>
      <c r="E2" s="6"/>
      <c r="F2" s="6"/>
      <c r="G2" s="6"/>
      <c r="H2" s="6"/>
      <c r="I2" s="685" t="str">
        <f>RIGHT(A2,4)</f>
        <v>3396</v>
      </c>
      <c r="J2" s="6"/>
      <c r="K2" s="6"/>
      <c r="L2" s="6"/>
      <c r="M2" s="6"/>
      <c r="N2" s="6"/>
      <c r="O2" s="6"/>
      <c r="P2" s="6"/>
      <c r="Q2" s="6"/>
      <c r="R2" s="987" t="str">
        <f>Revenue_Estimate_Worksheet_for___________Charter_School</f>
        <v>Revenue Estimate Worksheet: G-Star School of the Arts for Motion Pictures &amp; Television - 3396</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105.63999999999999</v>
      </c>
      <c r="D14" s="389">
        <f>SUMIFS('Surv2-3'!L:L,'Surv2-3'!$H:$H,$I$2,'Surv2-3'!$I:$I,$O14)</f>
        <v>95.830000000000013</v>
      </c>
      <c r="E14" s="1080">
        <f t="shared" si="0"/>
        <v>201.47</v>
      </c>
      <c r="F14" s="1080"/>
      <c r="G14" s="1086">
        <f>Consolidated!$F16</f>
        <v>1</v>
      </c>
      <c r="H14" s="1086">
        <f>Consolidated!$H$9</f>
        <v>1</v>
      </c>
      <c r="I14" s="534">
        <f t="shared" si="3"/>
        <v>201.47</v>
      </c>
      <c r="J14" s="535">
        <f>ROUND(ROUND(ROUND(I14*$E$6,4)*($I$6),2)*(MAX($I$7,1)),2)</f>
        <v>1133628.49</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11</v>
      </c>
      <c r="D15" s="389">
        <f>SUMIFS('Surv2-3'!L:L,'Surv2-3'!$H:$H,$I$2,'Surv2-3'!$I:$I,$O15)</f>
        <v>10.48</v>
      </c>
      <c r="E15" s="1080">
        <f t="shared" si="0"/>
        <v>21.48</v>
      </c>
      <c r="F15" s="1080"/>
      <c r="G15" s="1086">
        <f>Consolidated!$F17</f>
        <v>1</v>
      </c>
      <c r="H15" s="1086">
        <f>Consolidated!$H$9</f>
        <v>1</v>
      </c>
      <c r="I15" s="534">
        <f t="shared" si="3"/>
        <v>21.48</v>
      </c>
      <c r="J15" s="535">
        <f t="shared" si="1"/>
        <v>120863.35</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169.48000000000002</v>
      </c>
      <c r="D16" s="389">
        <f>SUMIFS('Surv2-3'!M:M,'Surv2-3'!$H:$H,$I$2,'Surv2-3'!$I:$I,$O16)</f>
        <v>168.27</v>
      </c>
      <c r="E16" s="1080">
        <f t="shared" si="0"/>
        <v>337.75</v>
      </c>
      <c r="F16" s="1080"/>
      <c r="G16" s="1086">
        <f>Consolidated!$F18</f>
        <v>0.96499999999999997</v>
      </c>
      <c r="H16" s="1086">
        <f>Consolidated!$H$9</f>
        <v>1</v>
      </c>
      <c r="I16" s="534">
        <f t="shared" si="3"/>
        <v>325.92880000000002</v>
      </c>
      <c r="J16" s="535">
        <f t="shared" si="1"/>
        <v>1833931.48</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35</v>
      </c>
      <c r="D17" s="389">
        <f>SUMIFS('Surv2-3'!M:M,'Surv2-3'!$H:$H,$I$2,'Surv2-3'!$I:$I,$O17)</f>
        <v>33.880000000000003</v>
      </c>
      <c r="E17" s="1080">
        <f t="shared" si="0"/>
        <v>68.88</v>
      </c>
      <c r="F17" s="1080"/>
      <c r="G17" s="1086">
        <f>Consolidated!$F19</f>
        <v>0.96499999999999997</v>
      </c>
      <c r="H17" s="1086">
        <f>Consolidated!$H$9</f>
        <v>1</v>
      </c>
      <c r="I17" s="534">
        <f t="shared" si="3"/>
        <v>66.469200000000001</v>
      </c>
      <c r="J17" s="535">
        <f t="shared" si="1"/>
        <v>374007.94</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6.21</v>
      </c>
      <c r="D25" s="389">
        <f>SUMIFS('Surv2-3'!L:L,'Surv2-3'!$H:$H,$I$2,'Surv2-3'!$I:$I,$O25)</f>
        <v>4.5599999999999996</v>
      </c>
      <c r="E25" s="1080">
        <f t="shared" si="0"/>
        <v>10.77</v>
      </c>
      <c r="F25" s="1080"/>
      <c r="G25" s="1086">
        <f>Consolidated!$F27</f>
        <v>1.161</v>
      </c>
      <c r="H25" s="1086">
        <f>Consolidated!$H$9</f>
        <v>1</v>
      </c>
      <c r="I25" s="534">
        <f t="shared" si="3"/>
        <v>12.504</v>
      </c>
      <c r="J25" s="535">
        <f t="shared" si="1"/>
        <v>70357.33</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9.5</v>
      </c>
      <c r="D26" s="389">
        <f>SUMIFS('Surv2-3'!M:M,'Surv2-3'!$H:$H,$I$2,'Surv2-3'!$I:$I,$O26)</f>
        <v>7.97</v>
      </c>
      <c r="E26" s="1080">
        <f t="shared" si="0"/>
        <v>17.47</v>
      </c>
      <c r="F26" s="1080"/>
      <c r="G26" s="1086">
        <f>Consolidated!$F28</f>
        <v>1.161</v>
      </c>
      <c r="H26" s="1086">
        <f>Consolidated!$H$9</f>
        <v>1</v>
      </c>
      <c r="I26" s="534">
        <f t="shared" si="3"/>
        <v>20.282699999999998</v>
      </c>
      <c r="J26" s="535">
        <f t="shared" si="1"/>
        <v>114126.39999999999</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21.86</v>
      </c>
      <c r="D27" s="390">
        <f>SUMIFS('Surv2-3'!J:J,'Surv2-3'!$H:$H,$I$2,'Surv2-3'!$I:$I,$O27)</f>
        <v>22.26</v>
      </c>
      <c r="E27" s="1082">
        <f t="shared" si="0"/>
        <v>44.120000000000005</v>
      </c>
      <c r="F27" s="1082"/>
      <c r="G27" s="1083">
        <f>Consolidated!$F29</f>
        <v>1.0900000000000001</v>
      </c>
      <c r="H27" s="1083">
        <f>Consolidated!$H$9</f>
        <v>1</v>
      </c>
      <c r="I27" s="22">
        <f t="shared" si="3"/>
        <v>48.090800000000002</v>
      </c>
      <c r="J27" s="116">
        <f t="shared" si="1"/>
        <v>270596.62</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358.69</v>
      </c>
      <c r="D28" s="773">
        <f>SUM(D12:D27)</f>
        <v>343.25000000000006</v>
      </c>
      <c r="E28" s="1085">
        <f>SUM(E12:E27)</f>
        <v>701.94</v>
      </c>
      <c r="F28" s="1085"/>
      <c r="G28" s="1080"/>
      <c r="H28" s="1080"/>
      <c r="I28" s="23">
        <f>SUM(I12:I27)</f>
        <v>696.22550000000001</v>
      </c>
      <c r="J28" s="116">
        <f>SUM(J12:J27)</f>
        <v>3917511.6100000003</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696.22550000000001</v>
      </c>
      <c r="H33" s="1080" t="s">
        <v>45</v>
      </c>
      <c r="I33" s="1080"/>
      <c r="J33" s="32">
        <f>SUM(J32,J28)</f>
        <v>3917511.6100000003</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3917511.6100000003</v>
      </c>
      <c r="H36" s="37" t="s">
        <v>48</v>
      </c>
      <c r="I36" s="38">
        <f>Consolidated!H53</f>
        <v>7.1400000000000005E-2</v>
      </c>
      <c r="J36" s="120">
        <f>ROUND(G36*I36,2)</f>
        <v>279710.33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3917511.6100000003</v>
      </c>
      <c r="H37" s="37" t="s">
        <v>48</v>
      </c>
      <c r="I37" s="38">
        <f>Consolidated!H54</f>
        <v>1.06E-2</v>
      </c>
      <c r="J37" s="120">
        <f>ROUND(G37*I37,2)</f>
        <v>41525.620000000003</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321235.95</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9.5</v>
      </c>
      <c r="D44" s="776">
        <f>SUMIFS('ESE FTE'!G:G,'ESE FTE'!$A:$A,$I$2,'ESE FTE'!$E:$E,9)</f>
        <v>9.0500000000000007</v>
      </c>
      <c r="E44" s="1073">
        <f t="shared" si="8"/>
        <v>18.55</v>
      </c>
      <c r="F44" s="1073"/>
      <c r="G44" s="47" t="s">
        <v>58</v>
      </c>
      <c r="H44" s="37">
        <v>251</v>
      </c>
      <c r="I44" s="125">
        <f>Consolidated!$H62</f>
        <v>1173</v>
      </c>
      <c r="J44" s="532">
        <f t="shared" si="9"/>
        <v>21759.15</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1.5</v>
      </c>
      <c r="D45" s="122">
        <f>SUMIFS('ESE FTE'!G:G,'ESE FTE'!$A:$A,$I$2,'ESE FTE'!$E:$E,10)</f>
        <v>1.43</v>
      </c>
      <c r="E45" s="1073">
        <f t="shared" si="8"/>
        <v>2.9299999999999997</v>
      </c>
      <c r="F45" s="1073"/>
      <c r="G45" s="47" t="s">
        <v>58</v>
      </c>
      <c r="H45" s="37">
        <v>252</v>
      </c>
      <c r="I45" s="125">
        <f>Consolidated!$H63</f>
        <v>3506</v>
      </c>
      <c r="J45" s="532">
        <f t="shared" si="9"/>
        <v>10272.58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32.46</v>
      </c>
      <c r="D47" s="122">
        <f>SUMIFS('ESE FTE'!G:G,'ESE FTE'!$A:$A,$I$2,'ESE FTE'!$E:$E,12)</f>
        <v>31.42</v>
      </c>
      <c r="E47" s="1073">
        <f t="shared" si="8"/>
        <v>63.88</v>
      </c>
      <c r="F47" s="1073"/>
      <c r="G47" s="47" t="s">
        <v>59</v>
      </c>
      <c r="H47" s="37">
        <v>251</v>
      </c>
      <c r="I47" s="125">
        <f>Consolidated!$H65</f>
        <v>835</v>
      </c>
      <c r="J47" s="532">
        <f t="shared" si="9"/>
        <v>53339.8</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2.54</v>
      </c>
      <c r="D48" s="122">
        <f>SUMIFS('ESE FTE'!G:G,'ESE FTE'!$A:$A,$I$2,'ESE FTE'!$E:$E,13)</f>
        <v>2.46</v>
      </c>
      <c r="E48" s="1073">
        <f t="shared" si="8"/>
        <v>5</v>
      </c>
      <c r="F48" s="1073"/>
      <c r="G48" s="47" t="s">
        <v>59</v>
      </c>
      <c r="H48" s="37">
        <v>252</v>
      </c>
      <c r="I48" s="125">
        <f>Consolidated!$H66</f>
        <v>3168</v>
      </c>
      <c r="J48" s="532">
        <f t="shared" si="9"/>
        <v>15840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46</v>
      </c>
      <c r="D50" s="774">
        <f>SUM(D41:D49)</f>
        <v>44.360000000000007</v>
      </c>
      <c r="E50" s="1075">
        <f>SUM(E41:E49)</f>
        <v>90.36</v>
      </c>
      <c r="F50" s="1075"/>
      <c r="G50" s="1030" t="s">
        <v>61</v>
      </c>
      <c r="H50" s="1030"/>
      <c r="I50" s="1030"/>
      <c r="J50" s="220">
        <f>SUM(J41:J49)</f>
        <v>101211.53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701.94</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3.3609999999999998E-3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696.22550000000001</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3.143E-3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701.94</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3.9899999999999996E-3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701.94</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3.3660000000000001E-3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701.94</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3.9979999999999998E-3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3.3660000000000001E-3</v>
      </c>
      <c r="J68" s="127">
        <f>ROUND(G68*I68,2)</f>
        <v>154387.35999999999</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3.3609999999999998E-3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3.9979999999999998E-3</v>
      </c>
      <c r="J71" s="127">
        <f>ROUND(G71*I71,2)</f>
        <v>75300.02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3.9899999999999996E-3</v>
      </c>
      <c r="J72" s="127">
        <f>ROUND(G72*I72,2)</f>
        <v>44791.86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v>24.88</v>
      </c>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v>36.020000000000003</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3.6</v>
      </c>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0.5</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65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80" t="s">
        <v>99</v>
      </c>
      <c r="B84" s="980"/>
      <c r="C84" s="980"/>
      <c r="D84" s="52"/>
      <c r="G84" s="112">
        <f>Consolidated!F$106</f>
        <v>58502790</v>
      </c>
      <c r="H84" s="37" t="s">
        <v>79</v>
      </c>
      <c r="I84" s="41">
        <f>IFERROR(ROUND(J81/J82,6),0)</f>
        <v>5.0379999999999999E-3</v>
      </c>
      <c r="J84" s="654">
        <f>ROUND(G84*I84,2)</f>
        <v>294737.06</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3.143E-3</v>
      </c>
      <c r="J85" s="127">
        <f>ROUND(G85*I85,2)</f>
        <v>892282.59</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3.143E-3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3.3609999999999998E-3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235.45399999999998</v>
      </c>
      <c r="C91" s="80"/>
      <c r="D91" s="981">
        <f>I6</f>
        <v>1.0309999999999999</v>
      </c>
      <c r="E91" s="981"/>
      <c r="F91" s="981"/>
      <c r="G91" s="113">
        <f>Consolidated!F$119</f>
        <v>918.1</v>
      </c>
      <c r="H91" s="47" t="s">
        <v>66</v>
      </c>
      <c r="I91" s="532">
        <f>ROUND(B91*D91*G91,2)</f>
        <v>222871.6</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460.7715</v>
      </c>
      <c r="C92" s="80"/>
      <c r="D92" s="981">
        <f>I6</f>
        <v>1.0309999999999999</v>
      </c>
      <c r="E92" s="981"/>
      <c r="F92" s="981"/>
      <c r="G92" s="113">
        <f>Consolidated!F$120</f>
        <v>920.31</v>
      </c>
      <c r="H92" s="47" t="s">
        <v>66</v>
      </c>
      <c r="I92" s="532">
        <f>ROUND(B92*D92*G92,2)</f>
        <v>437198.25</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696.22550000000001</v>
      </c>
      <c r="C93" s="80"/>
      <c r="D93" s="80"/>
      <c r="E93" s="1059" t="s">
        <v>110</v>
      </c>
      <c r="F93" s="1059"/>
      <c r="G93" s="1059"/>
      <c r="H93" s="1059"/>
      <c r="I93" s="1059"/>
      <c r="J93" s="116">
        <f>IF(A1=75,0,I92+I91+I90)</f>
        <v>660069.85</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273</v>
      </c>
      <c r="D97" s="223">
        <v>263</v>
      </c>
      <c r="E97" s="1103">
        <f>IF(D97&gt;0,(C97+D97)/2,C97)</f>
        <v>268</v>
      </c>
      <c r="F97" s="982"/>
      <c r="G97" s="982"/>
      <c r="H97" s="85" t="s">
        <v>115</v>
      </c>
      <c r="I97" s="119">
        <f>Consolidated!G$127</f>
        <v>583</v>
      </c>
      <c r="J97" s="127">
        <f>ROUND(I97*E97,2)</f>
        <v>156244</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6296535.8799999999</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5975299.9299999997</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655" t="s">
        <v>178</v>
      </c>
      <c r="B114" s="641"/>
      <c r="C114" s="641"/>
      <c r="D114" s="641"/>
      <c r="E114" s="641"/>
      <c r="F114" s="641"/>
      <c r="G114" s="641"/>
      <c r="H114" s="638" t="s">
        <v>478</v>
      </c>
      <c r="I114" s="639">
        <f>IF(I111=1,J111,J109)</f>
        <v>5975299.9299999997</v>
      </c>
      <c r="J114" s="640">
        <f>ROUND(IF(E28=0,0,IF(E28&gt;250,-(((250/E28)*I114)*IF(H114="H",0.02,0.05)),IF(H114="H",-0.02*I114,-0.05*I114))),2)</f>
        <v>-42562.75</v>
      </c>
      <c r="M114" s="2"/>
      <c r="N114" s="3"/>
      <c r="R114" s="2"/>
      <c r="T114" s="4"/>
      <c r="W114" s="2"/>
      <c r="X114" s="5"/>
    </row>
    <row r="115" spans="1:26" ht="16.5" customHeight="1" x14ac:dyDescent="0.25">
      <c r="A115" s="641"/>
      <c r="B115" s="641"/>
      <c r="C115" s="641"/>
      <c r="D115" s="641"/>
      <c r="E115" s="641"/>
      <c r="F115" s="641"/>
      <c r="G115" s="641"/>
      <c r="H115" s="641"/>
      <c r="I115" s="642"/>
      <c r="J115" s="643"/>
      <c r="K115" s="72"/>
      <c r="M115" s="2"/>
      <c r="N115" s="3"/>
      <c r="R115" s="2"/>
      <c r="S115" s="229"/>
      <c r="T115" s="229"/>
      <c r="U115" s="229"/>
      <c r="V115" s="229"/>
      <c r="W115" s="229"/>
      <c r="X115" s="229"/>
      <c r="Y115" s="229"/>
      <c r="Z115" s="229"/>
    </row>
    <row r="116" spans="1:26" ht="16.5" customHeight="1" x14ac:dyDescent="0.25">
      <c r="A116" s="656" t="s">
        <v>179</v>
      </c>
      <c r="B116" s="644"/>
      <c r="C116" s="644"/>
      <c r="D116" s="644"/>
      <c r="E116" s="644"/>
      <c r="F116" s="644"/>
      <c r="G116" s="644"/>
      <c r="H116" s="644"/>
      <c r="I116" s="645"/>
      <c r="J116" s="646">
        <f>J107+J114</f>
        <v>6253973.1299999999</v>
      </c>
      <c r="K116" s="72"/>
      <c r="M116" s="2"/>
      <c r="N116" s="3"/>
      <c r="R116" s="2"/>
      <c r="S116" s="229"/>
      <c r="T116" s="229"/>
      <c r="U116" s="229"/>
      <c r="V116" s="229"/>
      <c r="W116" s="229"/>
      <c r="X116" s="229"/>
      <c r="Y116" s="229"/>
      <c r="Z116" s="229"/>
    </row>
    <row r="117" spans="1:26" ht="16.5" customHeight="1" x14ac:dyDescent="0.25">
      <c r="A117" s="641"/>
      <c r="B117" s="641"/>
      <c r="C117" s="641"/>
      <c r="D117" s="641"/>
      <c r="E117" s="641"/>
      <c r="F117" s="641"/>
      <c r="G117" s="641"/>
      <c r="H117" s="641"/>
      <c r="I117" s="642"/>
      <c r="J117" s="643"/>
      <c r="K117" s="72"/>
      <c r="M117" s="2"/>
      <c r="N117" s="3"/>
      <c r="R117" s="2"/>
      <c r="S117" s="229"/>
      <c r="T117" s="229"/>
      <c r="U117" s="229"/>
      <c r="V117" s="229"/>
      <c r="W117" s="229"/>
      <c r="X117" s="229"/>
      <c r="Y117" s="229"/>
      <c r="Z117" s="229"/>
    </row>
    <row r="118" spans="1:26" ht="16.5" customHeight="1" x14ac:dyDescent="0.25">
      <c r="A118" s="655" t="s">
        <v>180</v>
      </c>
      <c r="B118" s="641"/>
      <c r="C118" s="657"/>
      <c r="D118" s="641"/>
      <c r="E118" s="655"/>
      <c r="F118" s="655"/>
      <c r="G118" s="641"/>
      <c r="H118" s="641"/>
      <c r="I118" s="642"/>
      <c r="J118" s="647">
        <f>-'Cumulative Payments'!R92</f>
        <v>-1069580.17</v>
      </c>
      <c r="K118" s="72"/>
      <c r="M118" s="2"/>
      <c r="N118" s="3"/>
      <c r="R118" s="2"/>
      <c r="S118" s="229"/>
      <c r="T118" s="229"/>
      <c r="U118" s="229"/>
      <c r="V118" s="229"/>
      <c r="W118" s="229"/>
      <c r="X118" s="229"/>
      <c r="Y118" s="229"/>
      <c r="Z118" s="229"/>
    </row>
    <row r="119" spans="1:26" ht="16.5" customHeight="1" x14ac:dyDescent="0.25">
      <c r="A119" s="641"/>
      <c r="B119" s="641"/>
      <c r="C119" s="641"/>
      <c r="D119" s="641"/>
      <c r="E119" s="641"/>
      <c r="F119" s="641"/>
      <c r="G119" s="641"/>
      <c r="H119" s="641"/>
      <c r="I119" s="642"/>
      <c r="J119" s="643"/>
      <c r="K119" s="72"/>
      <c r="M119" s="2"/>
      <c r="N119" s="3"/>
      <c r="R119" s="2"/>
      <c r="S119" s="229"/>
      <c r="T119" s="229"/>
      <c r="U119" s="229"/>
      <c r="V119" s="229"/>
      <c r="W119" s="229"/>
      <c r="X119" s="229"/>
      <c r="Y119" s="229"/>
      <c r="Z119" s="229"/>
    </row>
    <row r="120" spans="1:26" ht="16.5" customHeight="1" x14ac:dyDescent="0.25">
      <c r="A120" s="655" t="s">
        <v>181</v>
      </c>
      <c r="B120" s="641"/>
      <c r="C120" s="641"/>
      <c r="D120" s="641"/>
      <c r="E120" s="641"/>
      <c r="F120" s="641"/>
      <c r="G120" s="641"/>
      <c r="H120" s="641"/>
      <c r="I120" s="642"/>
      <c r="J120" s="643">
        <f>J116+J118</f>
        <v>5184392.96</v>
      </c>
      <c r="K120" s="72"/>
      <c r="M120" s="2"/>
      <c r="N120" s="3"/>
      <c r="R120" s="2"/>
      <c r="S120" s="229"/>
      <c r="T120" s="229"/>
      <c r="U120" s="229"/>
      <c r="V120" s="229"/>
      <c r="W120" s="229"/>
      <c r="X120" s="229"/>
      <c r="Y120" s="229"/>
      <c r="Z120" s="229"/>
    </row>
    <row r="121" spans="1:26" ht="16.5" customHeight="1" x14ac:dyDescent="0.25">
      <c r="A121" s="655"/>
      <c r="B121" s="641"/>
      <c r="C121" s="641"/>
      <c r="D121" s="641"/>
      <c r="E121" s="641"/>
      <c r="F121" s="641"/>
      <c r="G121" s="641"/>
      <c r="H121" s="641"/>
      <c r="I121" s="642"/>
      <c r="J121" s="643"/>
      <c r="K121" s="72"/>
      <c r="M121" s="2"/>
      <c r="N121" s="3"/>
      <c r="R121" s="2"/>
      <c r="S121" s="229"/>
      <c r="T121" s="229"/>
      <c r="U121" s="229"/>
      <c r="V121" s="229"/>
      <c r="W121" s="229"/>
      <c r="X121" s="229"/>
      <c r="Y121" s="229"/>
      <c r="Z121" s="229"/>
    </row>
    <row r="122" spans="1:26" ht="16.5" customHeight="1" x14ac:dyDescent="0.25">
      <c r="A122" s="655" t="s">
        <v>182</v>
      </c>
      <c r="B122" s="641"/>
      <c r="C122" s="641"/>
      <c r="D122" s="641"/>
      <c r="E122" s="641"/>
      <c r="F122" s="641"/>
      <c r="G122" s="64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641"/>
      <c r="B123" s="641"/>
      <c r="C123" s="641"/>
      <c r="D123" s="641"/>
      <c r="E123" s="641"/>
      <c r="F123" s="641"/>
      <c r="G123" s="641"/>
      <c r="H123" s="641"/>
      <c r="I123" s="642"/>
      <c r="J123" s="643"/>
      <c r="K123" s="72"/>
      <c r="M123" s="2"/>
      <c r="N123" s="3"/>
      <c r="R123" s="2"/>
      <c r="S123" s="229"/>
      <c r="T123" s="229"/>
      <c r="U123" s="229"/>
      <c r="V123" s="229"/>
      <c r="W123" s="229"/>
      <c r="X123" s="229"/>
      <c r="Y123" s="229"/>
      <c r="Z123" s="229"/>
    </row>
    <row r="124" spans="1:26" ht="16.5" customHeight="1" thickBot="1" x14ac:dyDescent="0.3">
      <c r="A124" s="655" t="s">
        <v>183</v>
      </c>
      <c r="B124" s="641"/>
      <c r="C124" s="641"/>
      <c r="D124" s="641"/>
      <c r="E124" s="641"/>
      <c r="F124" s="641"/>
      <c r="G124" s="641"/>
      <c r="H124" s="641"/>
      <c r="I124" s="642"/>
      <c r="J124" s="649">
        <f>ROUND(J120/J122,2)</f>
        <v>518439.3</v>
      </c>
      <c r="K124" s="72"/>
      <c r="M124" s="2"/>
      <c r="N124" s="3"/>
      <c r="R124" s="2"/>
      <c r="S124" s="229"/>
      <c r="T124" s="229"/>
      <c r="U124" s="229"/>
      <c r="V124" s="229"/>
      <c r="W124" s="229"/>
      <c r="X124" s="229"/>
      <c r="Y124" s="229"/>
      <c r="Z124" s="229"/>
    </row>
    <row r="125" spans="1:26" ht="16.5" customHeight="1" thickTop="1" x14ac:dyDescent="0.25">
      <c r="A125" s="641"/>
      <c r="B125" s="641"/>
      <c r="C125" s="641"/>
      <c r="D125" s="641"/>
      <c r="E125" s="641"/>
      <c r="F125" s="641"/>
      <c r="G125" s="641"/>
      <c r="H125" s="641"/>
      <c r="I125" s="642"/>
      <c r="J125" s="643"/>
      <c r="K125" s="72"/>
      <c r="M125" s="2"/>
      <c r="N125" s="3"/>
      <c r="R125" s="2"/>
      <c r="S125" s="229"/>
      <c r="T125" s="229"/>
      <c r="U125" s="229"/>
      <c r="V125" s="229"/>
      <c r="W125" s="229"/>
      <c r="X125" s="229"/>
      <c r="Y125" s="229"/>
      <c r="Z125" s="229"/>
    </row>
    <row r="126" spans="1:26" ht="16.5" customHeight="1" thickBot="1" x14ac:dyDescent="0.3">
      <c r="A126" s="655" t="s">
        <v>184</v>
      </c>
      <c r="B126" s="641"/>
      <c r="C126" s="641"/>
      <c r="D126" s="641"/>
      <c r="E126" s="641"/>
      <c r="F126" s="641"/>
      <c r="G126" s="641"/>
      <c r="H126" s="641"/>
      <c r="I126" s="642"/>
      <c r="J126" s="650">
        <f>ROUND(IF(H114="H",(I114*0.02)+J114,(I114*0.05)+J114),2)</f>
        <v>76943.25</v>
      </c>
      <c r="K126" s="72"/>
      <c r="M126" s="2"/>
      <c r="N126" s="3"/>
      <c r="R126" s="2"/>
      <c r="S126" s="229"/>
      <c r="T126" s="229"/>
      <c r="U126" s="229"/>
      <c r="V126" s="229"/>
      <c r="W126" s="229"/>
      <c r="X126" s="229"/>
      <c r="Y126" s="229"/>
      <c r="Z126" s="229"/>
    </row>
    <row r="127" spans="1:26" ht="15.75" customHeight="1" thickTop="1" x14ac:dyDescent="0.25">
      <c r="A127" s="641"/>
      <c r="B127" s="641"/>
      <c r="C127" s="641"/>
      <c r="D127" s="641"/>
      <c r="E127" s="641"/>
      <c r="F127" s="641"/>
      <c r="G127" s="64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38" workbookViewId="0">
      <selection activeCell="G37" sqref="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494</v>
      </c>
      <c r="B2" s="101"/>
      <c r="C2" s="101"/>
      <c r="D2" s="101"/>
      <c r="E2" s="6"/>
      <c r="F2" s="6"/>
      <c r="G2" s="6"/>
      <c r="H2" s="6"/>
      <c r="I2" s="685" t="str">
        <f>RIGHT(A2,4)</f>
        <v>3398</v>
      </c>
      <c r="J2" s="6"/>
      <c r="K2" s="6"/>
      <c r="L2" s="6"/>
      <c r="M2" s="6"/>
      <c r="N2" s="6"/>
      <c r="O2" s="6"/>
      <c r="P2" s="6"/>
      <c r="Q2" s="6"/>
      <c r="R2" s="987" t="str">
        <f>Revenue_Estimate_Worksheet_for___________Charter_School</f>
        <v>Revenue Estimate Worksheet: Everglades Preparatory Academy - 3398</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3</v>
      </c>
      <c r="D14" s="389">
        <f>SUMIFS('Surv2-3'!L:L,'Surv2-3'!$H:$H,$I$2,'Surv2-3'!$I:$I,$O14)</f>
        <v>3.52</v>
      </c>
      <c r="E14" s="1080">
        <f t="shared" si="0"/>
        <v>6.52</v>
      </c>
      <c r="F14" s="1080"/>
      <c r="G14" s="1086">
        <f>Consolidated!$F16</f>
        <v>1</v>
      </c>
      <c r="H14" s="1086">
        <f>Consolidated!$H$9</f>
        <v>1</v>
      </c>
      <c r="I14" s="534">
        <f t="shared" si="3"/>
        <v>6.52</v>
      </c>
      <c r="J14" s="535">
        <f>ROUND(ROUND(ROUND(I14*$E$6,4)*($I$6),2)*(MAX($I$7,1)),2)</f>
        <v>36686.639999999999</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2.5</v>
      </c>
      <c r="E15" s="1080">
        <f t="shared" si="0"/>
        <v>2.5</v>
      </c>
      <c r="F15" s="1080"/>
      <c r="G15" s="1086">
        <f>Consolidated!$F17</f>
        <v>1</v>
      </c>
      <c r="H15" s="1086">
        <f>Consolidated!$H$9</f>
        <v>1</v>
      </c>
      <c r="I15" s="534">
        <f t="shared" si="3"/>
        <v>2.5</v>
      </c>
      <c r="J15" s="535">
        <f t="shared" si="1"/>
        <v>14066.96</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32.300000000000004</v>
      </c>
      <c r="D16" s="389">
        <f>SUMIFS('Surv2-3'!M:M,'Surv2-3'!$H:$H,$I$2,'Surv2-3'!$I:$I,$O16)</f>
        <v>33.68</v>
      </c>
      <c r="E16" s="1080">
        <f t="shared" si="0"/>
        <v>65.98</v>
      </c>
      <c r="F16" s="1080"/>
      <c r="G16" s="1086">
        <f>Consolidated!$F18</f>
        <v>0.96499999999999997</v>
      </c>
      <c r="H16" s="1086">
        <f>Consolidated!$H$9</f>
        <v>1</v>
      </c>
      <c r="I16" s="534">
        <f t="shared" si="3"/>
        <v>63.670699999999997</v>
      </c>
      <c r="J16" s="535">
        <f t="shared" si="1"/>
        <v>358261.38</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12.5</v>
      </c>
      <c r="D17" s="389">
        <f>SUMIFS('Surv2-3'!M:M,'Surv2-3'!$H:$H,$I$2,'Surv2-3'!$I:$I,$O17)</f>
        <v>9.3500000000000014</v>
      </c>
      <c r="E17" s="1080">
        <f t="shared" si="0"/>
        <v>21.85</v>
      </c>
      <c r="F17" s="1080"/>
      <c r="G17" s="1086">
        <f>Consolidated!$F19</f>
        <v>0.96499999999999997</v>
      </c>
      <c r="H17" s="1086">
        <f>Consolidated!$H$9</f>
        <v>1</v>
      </c>
      <c r="I17" s="534">
        <f t="shared" si="3"/>
        <v>21.0853</v>
      </c>
      <c r="J17" s="535">
        <f t="shared" si="1"/>
        <v>118642.46</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0.4</v>
      </c>
      <c r="D26" s="389">
        <f>SUMIFS('Surv2-3'!M:M,'Surv2-3'!$H:$H,$I$2,'Surv2-3'!$I:$I,$O26)</f>
        <v>0.41</v>
      </c>
      <c r="E26" s="1080">
        <f t="shared" si="0"/>
        <v>0.81</v>
      </c>
      <c r="F26" s="1080"/>
      <c r="G26" s="1086">
        <f>Consolidated!$F28</f>
        <v>1.161</v>
      </c>
      <c r="H26" s="1086">
        <f>Consolidated!$H$9</f>
        <v>1</v>
      </c>
      <c r="I26" s="534">
        <f t="shared" si="3"/>
        <v>0.94040000000000001</v>
      </c>
      <c r="J26" s="535">
        <f t="shared" si="1"/>
        <v>5291.43</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1.6900000000000002</v>
      </c>
      <c r="D27" s="390">
        <f>SUMIFS('Surv2-3'!J:J,'Surv2-3'!$H:$H,$I$2,'Surv2-3'!$I:$I,$O27)</f>
        <v>2.5499999999999998</v>
      </c>
      <c r="E27" s="1082">
        <f t="shared" si="0"/>
        <v>4.24</v>
      </c>
      <c r="F27" s="1082"/>
      <c r="G27" s="1083">
        <f>Consolidated!$F29</f>
        <v>1.0900000000000001</v>
      </c>
      <c r="H27" s="1083">
        <f>Consolidated!$H$9</f>
        <v>1</v>
      </c>
      <c r="I27" s="22">
        <f t="shared" si="3"/>
        <v>4.6215999999999999</v>
      </c>
      <c r="J27" s="116">
        <f t="shared" si="1"/>
        <v>26004.75</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49.89</v>
      </c>
      <c r="D28" s="773">
        <f>SUM(D12:D27)</f>
        <v>52.01</v>
      </c>
      <c r="E28" s="1085">
        <f>SUM(E12:E27)</f>
        <v>101.89999999999999</v>
      </c>
      <c r="F28" s="1085"/>
      <c r="G28" s="1080"/>
      <c r="H28" s="1080"/>
      <c r="I28" s="23">
        <f>SUM(I12:I27)</f>
        <v>99.337999999999994</v>
      </c>
      <c r="J28" s="116">
        <f>SUM(J12:J27)</f>
        <v>558953.62</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99.337999999999994</v>
      </c>
      <c r="H33" s="1080" t="s">
        <v>45</v>
      </c>
      <c r="I33" s="1080"/>
      <c r="J33" s="32">
        <f>SUM(J32,J28)</f>
        <v>558953.62</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558953.62</v>
      </c>
      <c r="H36" s="37" t="s">
        <v>48</v>
      </c>
      <c r="I36" s="38">
        <f>Consolidated!H53</f>
        <v>7.1400000000000005E-2</v>
      </c>
      <c r="J36" s="120">
        <f>ROUND(G36*I36,2)</f>
        <v>39909.29</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558953.62</v>
      </c>
      <c r="H37" s="37" t="s">
        <v>48</v>
      </c>
      <c r="I37" s="38">
        <f>Consolidated!H54</f>
        <v>1.06E-2</v>
      </c>
      <c r="J37" s="120">
        <f>ROUND(G37*I37,2)</f>
        <v>5924.91</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45834.2</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2.5</v>
      </c>
      <c r="E44" s="1073">
        <f t="shared" si="8"/>
        <v>2.5</v>
      </c>
      <c r="F44" s="1073"/>
      <c r="G44" s="47" t="s">
        <v>58</v>
      </c>
      <c r="H44" s="37">
        <v>251</v>
      </c>
      <c r="I44" s="125">
        <f>Consolidated!$H62</f>
        <v>1173</v>
      </c>
      <c r="J44" s="532">
        <f t="shared" si="9"/>
        <v>2932.5</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532">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11.84</v>
      </c>
      <c r="D47" s="122">
        <f>SUMIFS('ESE FTE'!G:G,'ESE FTE'!$A:$A,$I$2,'ESE FTE'!$E:$E,12)</f>
        <v>8.86</v>
      </c>
      <c r="E47" s="1073">
        <f t="shared" si="8"/>
        <v>20.7</v>
      </c>
      <c r="F47" s="1073"/>
      <c r="G47" s="47" t="s">
        <v>59</v>
      </c>
      <c r="H47" s="37">
        <v>251</v>
      </c>
      <c r="I47" s="125">
        <f>Consolidated!$H65</f>
        <v>835</v>
      </c>
      <c r="J47" s="532">
        <f t="shared" si="9"/>
        <v>17284.5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0.66</v>
      </c>
      <c r="D48" s="122">
        <f>SUMIFS('ESE FTE'!G:G,'ESE FTE'!$A:$A,$I$2,'ESE FTE'!$E:$E,13)</f>
        <v>0.49</v>
      </c>
      <c r="E48" s="1073">
        <f t="shared" si="8"/>
        <v>1.1499999999999999</v>
      </c>
      <c r="F48" s="1073"/>
      <c r="G48" s="47" t="s">
        <v>59</v>
      </c>
      <c r="H48" s="37">
        <v>252</v>
      </c>
      <c r="I48" s="125">
        <f>Consolidated!$H66</f>
        <v>3168</v>
      </c>
      <c r="J48" s="532">
        <f t="shared" si="9"/>
        <v>3643.2</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12.5</v>
      </c>
      <c r="D50" s="774">
        <f>SUM(D41:D49)</f>
        <v>11.85</v>
      </c>
      <c r="E50" s="1075">
        <f>SUM(E41:E49)</f>
        <v>24.349999999999998</v>
      </c>
      <c r="F50" s="1075"/>
      <c r="G50" s="1030" t="s">
        <v>61</v>
      </c>
      <c r="H50" s="1030"/>
      <c r="I50" s="1030"/>
      <c r="J50" s="220">
        <f>SUM(J41:J49)</f>
        <v>23860.2</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101.89999999999999</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4.8799999999999999E-4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99.337999999999994</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4.4799999999999999E-4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101.89999999999999</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5.7899999999999998E-4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101.89999999999999</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4.8899999999999996E-4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101.89999999999999</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5.8E-4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4.8899999999999996E-4</v>
      </c>
      <c r="J68" s="127">
        <f>ROUND(G68*I68,2)</f>
        <v>22428.82</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4.8799999999999999E-4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5.8E-4</v>
      </c>
      <c r="J71" s="127">
        <f>ROUND(G71*I71,2)</f>
        <v>10923.97</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5.7899999999999998E-4</v>
      </c>
      <c r="J72" s="127">
        <f>ROUND(G72*I72,2)</f>
        <v>6499.87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6.25</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6.25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4.84E-4</v>
      </c>
      <c r="J84" s="62">
        <f>ROUND(G84*I84,2)</f>
        <v>28315.35</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4.4799999999999999E-4</v>
      </c>
      <c r="J85" s="127">
        <f>ROUND(G85*I85,2)</f>
        <v>127185.05</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4.4799999999999999E-4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4.8799999999999999E-4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9.02</v>
      </c>
      <c r="C91" s="80"/>
      <c r="D91" s="981">
        <f>I6</f>
        <v>1.0309999999999999</v>
      </c>
      <c r="E91" s="981"/>
      <c r="F91" s="981"/>
      <c r="G91" s="113">
        <f>Consolidated!F$119</f>
        <v>918.1</v>
      </c>
      <c r="H91" s="47" t="s">
        <v>66</v>
      </c>
      <c r="I91" s="532">
        <f>ROUND(B91*D91*G91,2)</f>
        <v>8537.98</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90.317999999999998</v>
      </c>
      <c r="C92" s="80"/>
      <c r="D92" s="981">
        <f>I6</f>
        <v>1.0309999999999999</v>
      </c>
      <c r="E92" s="981"/>
      <c r="F92" s="981"/>
      <c r="G92" s="113">
        <f>Consolidated!F$120</f>
        <v>920.31</v>
      </c>
      <c r="H92" s="47" t="s">
        <v>66</v>
      </c>
      <c r="I92" s="532">
        <f>ROUND(B92*D92*G92,2)</f>
        <v>85697.3</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99.337999999999994</v>
      </c>
      <c r="C93" s="80"/>
      <c r="D93" s="80"/>
      <c r="E93" s="1059" t="s">
        <v>110</v>
      </c>
      <c r="F93" s="1059"/>
      <c r="G93" s="1059"/>
      <c r="H93" s="1059"/>
      <c r="I93" s="1059"/>
      <c r="J93" s="116">
        <f>IF(A1=75,0,I92+I91+I90)</f>
        <v>94235.28</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73</v>
      </c>
      <c r="D97" s="223">
        <v>76</v>
      </c>
      <c r="E97" s="1103">
        <f>IF(D97&gt;0,(C97+D97)/2,C97)</f>
        <v>74.5</v>
      </c>
      <c r="F97" s="982"/>
      <c r="G97" s="982"/>
      <c r="H97" s="85" t="s">
        <v>115</v>
      </c>
      <c r="I97" s="119">
        <f>Consolidated!G$127</f>
        <v>583</v>
      </c>
      <c r="J97" s="127">
        <f>ROUND(I97*E97,2)</f>
        <v>43433.5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915835.65999999992</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870001.46</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c r="I114" s="639">
        <f>IF(I111=1,J111,J109)</f>
        <v>870001.46</v>
      </c>
      <c r="J114" s="640">
        <f>ROUND(IF(E28=0,0,IF(E28&gt;250,-(((250/E28)*I114)*IF(H114="H",0.02,0.05)),IF(H114="H",-0.02*I114,-0.05*I114))),2)</f>
        <v>-43500.07</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872335.59</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Payments'!R93</f>
        <v>-154186.85999999999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718148.73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71814.87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23"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495</v>
      </c>
      <c r="B2" s="101"/>
      <c r="C2" s="101"/>
      <c r="D2" s="101"/>
      <c r="E2" s="6"/>
      <c r="F2" s="6"/>
      <c r="G2" s="6"/>
      <c r="H2" s="6"/>
      <c r="I2" s="685" t="str">
        <f>RIGHT(A2,4)</f>
        <v>3400</v>
      </c>
      <c r="J2" s="6"/>
      <c r="K2" s="6"/>
      <c r="L2" s="6"/>
      <c r="M2" s="6"/>
      <c r="N2" s="6"/>
      <c r="O2" s="6"/>
      <c r="P2" s="6"/>
      <c r="Q2" s="6"/>
      <c r="R2" s="987" t="str">
        <f>Revenue_Estimate_Worksheet_for___________Charter_School</f>
        <v>Revenue Estimate Worksheet: Believers Academy - 3400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1.5</v>
      </c>
      <c r="D15" s="389">
        <f>SUMIFS('Surv2-3'!L:L,'Surv2-3'!$H:$H,$I$2,'Surv2-3'!$I:$I,$O15)</f>
        <v>1</v>
      </c>
      <c r="E15" s="1080">
        <f t="shared" si="0"/>
        <v>2.5</v>
      </c>
      <c r="F15" s="1080"/>
      <c r="G15" s="1086">
        <f>Consolidated!$F17</f>
        <v>1</v>
      </c>
      <c r="H15" s="1086">
        <f>Consolidated!$H$9</f>
        <v>1</v>
      </c>
      <c r="I15" s="534">
        <f t="shared" si="3"/>
        <v>2.5</v>
      </c>
      <c r="J15" s="535">
        <f t="shared" si="1"/>
        <v>14066.96</v>
      </c>
      <c r="M15" s="2"/>
      <c r="O15" s="2" t="str">
        <f t="shared" si="2"/>
        <v>112</v>
      </c>
      <c r="R15" s="1006" t="s">
        <v>23</v>
      </c>
      <c r="S15" s="1006"/>
      <c r="T15" s="1004">
        <f t="shared" si="4"/>
        <v>2.5</v>
      </c>
      <c r="U15" s="1004"/>
      <c r="V15" s="1010">
        <v>1</v>
      </c>
      <c r="W15" s="1010"/>
      <c r="X15" s="145">
        <f t="shared" si="5"/>
        <v>2.5</v>
      </c>
      <c r="Y15" s="212">
        <f t="shared" ref="Y15:Y27" si="7">ROUND(ROUND(ROUND(X15*$E$6,4)*($I$6),2)*(MAX($I$7,1)),2)</f>
        <v>14066.96</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44.44</v>
      </c>
      <c r="D17" s="389">
        <f>SUMIFS('Surv2-3'!M:M,'Surv2-3'!$H:$H,$I$2,'Surv2-3'!$I:$I,$O17)</f>
        <v>44.120000000000005</v>
      </c>
      <c r="E17" s="1080">
        <f t="shared" si="0"/>
        <v>88.56</v>
      </c>
      <c r="F17" s="1080"/>
      <c r="G17" s="1086">
        <f>Consolidated!$F19</f>
        <v>0.96499999999999997</v>
      </c>
      <c r="H17" s="1086">
        <f>Consolidated!$H$9</f>
        <v>1</v>
      </c>
      <c r="I17" s="534">
        <f t="shared" si="3"/>
        <v>85.460400000000007</v>
      </c>
      <c r="J17" s="535">
        <f t="shared" si="1"/>
        <v>480867.35</v>
      </c>
      <c r="M17" s="2"/>
      <c r="O17" s="2" t="str">
        <f t="shared" si="2"/>
        <v>113</v>
      </c>
      <c r="R17" s="1006" t="s">
        <v>25</v>
      </c>
      <c r="S17" s="1006"/>
      <c r="T17" s="1004">
        <f t="shared" si="4"/>
        <v>88.56</v>
      </c>
      <c r="U17" s="1004"/>
      <c r="V17" s="1010">
        <v>1</v>
      </c>
      <c r="W17" s="1010"/>
      <c r="X17" s="145">
        <f t="shared" si="5"/>
        <v>88.56</v>
      </c>
      <c r="Y17" s="212">
        <f t="shared" si="7"/>
        <v>498308.13</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45.94</v>
      </c>
      <c r="D28" s="773">
        <f>SUM(D12:D27)</f>
        <v>45.120000000000005</v>
      </c>
      <c r="E28" s="1085">
        <f>SUM(E12:E27)</f>
        <v>91.06</v>
      </c>
      <c r="F28" s="1085"/>
      <c r="G28" s="1080"/>
      <c r="H28" s="1080"/>
      <c r="I28" s="23">
        <f>SUM(I12:I27)</f>
        <v>87.960400000000007</v>
      </c>
      <c r="J28" s="116">
        <f>SUM(J12:J27)</f>
        <v>494934.31</v>
      </c>
      <c r="M28" s="2"/>
      <c r="R28" s="1023" t="s">
        <v>36</v>
      </c>
      <c r="S28" s="1023"/>
      <c r="T28" s="1024">
        <f>SUM(T12:T27)</f>
        <v>91.06</v>
      </c>
      <c r="U28" s="1024"/>
      <c r="V28" s="1025"/>
      <c r="W28" s="1025"/>
      <c r="X28" s="147">
        <f>SUM(X12:X27)</f>
        <v>91.06</v>
      </c>
      <c r="Y28" s="212">
        <f>SUM(Y12:Y27)</f>
        <v>512375.09</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87.960400000000007</v>
      </c>
      <c r="H33" s="1080" t="s">
        <v>45</v>
      </c>
      <c r="I33" s="1080"/>
      <c r="J33" s="32">
        <f>SUM(J32,J28)</f>
        <v>494934.31</v>
      </c>
      <c r="M33" s="2"/>
      <c r="R33" s="1029" t="s">
        <v>44</v>
      </c>
      <c r="S33" s="1029"/>
      <c r="T33" s="1029"/>
      <c r="U33" s="1029"/>
      <c r="V33" s="153">
        <f>V32+X28</f>
        <v>91.06</v>
      </c>
      <c r="W33" s="1025" t="s">
        <v>45</v>
      </c>
      <c r="X33" s="1025"/>
      <c r="Y33" s="154">
        <f>SUM(Y32,Y28)</f>
        <v>512375.09</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494934.31</v>
      </c>
      <c r="H36" s="37" t="s">
        <v>48</v>
      </c>
      <c r="I36" s="38">
        <f>Consolidated!H53</f>
        <v>7.1400000000000005E-2</v>
      </c>
      <c r="J36" s="120">
        <f>ROUND(G36*I36,2)</f>
        <v>35338.31</v>
      </c>
      <c r="K36" s="39"/>
      <c r="L36" s="33"/>
      <c r="M36" s="33"/>
      <c r="N36" s="33"/>
      <c r="O36" s="31"/>
      <c r="P36" s="34"/>
      <c r="Q36" s="34"/>
      <c r="R36" s="1006" t="str">
        <f>A36</f>
        <v>Maintenance Portion (7.14% of Conference Funding)</v>
      </c>
      <c r="S36" s="1006"/>
      <c r="T36" s="1006"/>
      <c r="U36" s="158"/>
      <c r="V36" s="161">
        <f>Y28</f>
        <v>512375.09</v>
      </c>
      <c r="W36" s="162" t="s">
        <v>48</v>
      </c>
      <c r="X36" s="163">
        <f>I36</f>
        <v>7.1400000000000005E-2</v>
      </c>
      <c r="Y36" s="212">
        <f>J36</f>
        <v>35338.31</v>
      </c>
    </row>
    <row r="37" spans="1:25" ht="20.25" customHeight="1" x14ac:dyDescent="0.25">
      <c r="A37" s="975" t="str">
        <f>Consolidated!B54</f>
        <v>Growth Portion (1.06% of Conference Funding)</v>
      </c>
      <c r="B37" s="975"/>
      <c r="C37" s="975"/>
      <c r="D37" s="975"/>
      <c r="E37" s="975"/>
      <c r="F37" s="36" t="s">
        <v>47</v>
      </c>
      <c r="G37" s="121">
        <v>494934.31</v>
      </c>
      <c r="H37" s="37" t="s">
        <v>48</v>
      </c>
      <c r="I37" s="38">
        <f>Consolidated!H54</f>
        <v>1.06E-2</v>
      </c>
      <c r="J37" s="120">
        <f>ROUND(G37*I37,2)</f>
        <v>5246.3</v>
      </c>
      <c r="K37" s="39"/>
      <c r="L37" s="33"/>
      <c r="M37" s="33"/>
      <c r="N37" s="33"/>
      <c r="O37" s="31"/>
      <c r="P37" s="34"/>
      <c r="Q37" s="34"/>
      <c r="R37" s="1006" t="str">
        <f>A37</f>
        <v>Growth Portion (1.06% of Conference Funding)</v>
      </c>
      <c r="S37" s="1006"/>
      <c r="T37" s="1006"/>
      <c r="U37" s="158"/>
      <c r="V37" s="161">
        <f>Y28</f>
        <v>512375.09</v>
      </c>
      <c r="W37" s="162" t="s">
        <v>48</v>
      </c>
      <c r="X37" s="163">
        <f>I37</f>
        <v>1.06E-2</v>
      </c>
      <c r="Y37" s="212">
        <f>J37</f>
        <v>5246.3</v>
      </c>
    </row>
    <row r="38" spans="1:25" ht="20.25" customHeight="1" x14ac:dyDescent="0.25">
      <c r="A38" s="1012" t="s">
        <v>49</v>
      </c>
      <c r="B38" s="1012"/>
      <c r="C38" s="1012"/>
      <c r="D38" s="1012"/>
      <c r="E38" s="1012"/>
      <c r="F38" s="36" t="s">
        <v>50</v>
      </c>
      <c r="G38" s="40"/>
      <c r="H38" s="37"/>
      <c r="I38" s="41"/>
      <c r="J38" s="120">
        <f>SUM(J36:J37)</f>
        <v>40584.61</v>
      </c>
      <c r="K38" s="39"/>
      <c r="L38" s="33"/>
      <c r="M38" s="33"/>
      <c r="N38" s="33"/>
      <c r="O38" s="31"/>
      <c r="P38" s="34"/>
      <c r="Q38" s="34"/>
      <c r="R38" s="1015" t="s">
        <v>49</v>
      </c>
      <c r="S38" s="1015"/>
      <c r="T38" s="1015"/>
      <c r="U38" s="158" t="s">
        <v>50</v>
      </c>
      <c r="V38" s="164"/>
      <c r="W38" s="162"/>
      <c r="X38" s="165"/>
      <c r="Y38" s="184">
        <f>Y36+Y37</f>
        <v>40584.61</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532">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v>
      </c>
      <c r="D45" s="122">
        <f>SUMIFS('ESE FTE'!G:G,'ESE FTE'!$A:$A,$I$2,'ESE FTE'!$E:$E,10)</f>
        <v>0.67</v>
      </c>
      <c r="E45" s="1073">
        <f t="shared" si="8"/>
        <v>1.67</v>
      </c>
      <c r="F45" s="1073"/>
      <c r="G45" s="47" t="s">
        <v>58</v>
      </c>
      <c r="H45" s="37">
        <v>252</v>
      </c>
      <c r="I45" s="125">
        <f>Consolidated!$H63</f>
        <v>3506</v>
      </c>
      <c r="J45" s="532">
        <f t="shared" si="9"/>
        <v>5855.02</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0.5</v>
      </c>
      <c r="D46" s="122">
        <f>SUMIFS('ESE FTE'!G:G,'ESE FTE'!$A:$A,$I$2,'ESE FTE'!$E:$E,11)</f>
        <v>0.33</v>
      </c>
      <c r="E46" s="1073">
        <f t="shared" si="8"/>
        <v>0.83000000000000007</v>
      </c>
      <c r="F46" s="1073"/>
      <c r="G46" s="47" t="s">
        <v>58</v>
      </c>
      <c r="H46" s="37">
        <v>253</v>
      </c>
      <c r="I46" s="125">
        <f>Consolidated!$H64</f>
        <v>7023</v>
      </c>
      <c r="J46" s="532">
        <f t="shared" si="9"/>
        <v>5829.09</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27.93</v>
      </c>
      <c r="D48" s="122">
        <f>SUMIFS('ESE FTE'!G:G,'ESE FTE'!$A:$A,$I$2,'ESE FTE'!$E:$E,13)</f>
        <v>27.72</v>
      </c>
      <c r="E48" s="1073">
        <f t="shared" si="8"/>
        <v>55.65</v>
      </c>
      <c r="F48" s="1073"/>
      <c r="G48" s="47" t="s">
        <v>59</v>
      </c>
      <c r="H48" s="37">
        <v>252</v>
      </c>
      <c r="I48" s="125">
        <f>Consolidated!$H66</f>
        <v>3168</v>
      </c>
      <c r="J48" s="532">
        <f t="shared" si="9"/>
        <v>176299.2</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16.510000000000002</v>
      </c>
      <c r="D49" s="122">
        <f>SUMIFS('ESE FTE'!G:G,'ESE FTE'!$A:$A,$I$2,'ESE FTE'!$E:$E,14)</f>
        <v>16.399999999999999</v>
      </c>
      <c r="E49" s="1074">
        <f t="shared" si="8"/>
        <v>32.909999999999997</v>
      </c>
      <c r="F49" s="1074"/>
      <c r="G49" s="47" t="s">
        <v>59</v>
      </c>
      <c r="H49" s="37">
        <v>253</v>
      </c>
      <c r="I49" s="125">
        <f>Consolidated!$H67</f>
        <v>6685</v>
      </c>
      <c r="J49" s="532">
        <f t="shared" si="9"/>
        <v>220003.35</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45.94</v>
      </c>
      <c r="D50" s="774">
        <f>SUM(D41:D49)</f>
        <v>45.12</v>
      </c>
      <c r="E50" s="1075">
        <f>SUM(E41:E49)</f>
        <v>91.06</v>
      </c>
      <c r="F50" s="1075"/>
      <c r="G50" s="1030" t="s">
        <v>61</v>
      </c>
      <c r="H50" s="1030"/>
      <c r="I50" s="1030"/>
      <c r="J50" s="220">
        <f>SUM(J41:J49)</f>
        <v>407986.66000000003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91.06</v>
      </c>
      <c r="U52" s="173" t="s">
        <v>64</v>
      </c>
      <c r="V52" s="174"/>
      <c r="W52" s="175" t="s">
        <v>65</v>
      </c>
      <c r="X52" s="1037">
        <f>I53</f>
        <v>208856.94000000003</v>
      </c>
      <c r="Y52" s="1037"/>
    </row>
    <row r="53" spans="1:25" ht="16.5" customHeight="1" x14ac:dyDescent="0.25">
      <c r="A53" s="1013" t="s">
        <v>63</v>
      </c>
      <c r="B53" s="1013"/>
      <c r="C53" s="51"/>
      <c r="D53" s="51"/>
      <c r="E53" s="48">
        <f>E28</f>
        <v>91.06</v>
      </c>
      <c r="F53" s="49" t="s">
        <v>64</v>
      </c>
      <c r="G53" s="3"/>
      <c r="H53" s="50" t="s">
        <v>65</v>
      </c>
      <c r="I53" s="1111">
        <f>Consolidated!H$71</f>
        <v>208856.94000000003</v>
      </c>
      <c r="J53" s="1111"/>
      <c r="M53" s="2"/>
      <c r="R53" s="176"/>
      <c r="S53" s="177"/>
      <c r="T53" s="159"/>
      <c r="U53" s="159"/>
      <c r="V53" s="159"/>
      <c r="W53" s="178" t="s">
        <v>66</v>
      </c>
      <c r="X53" s="1038">
        <f>ROUND(T52/X52,6)</f>
        <v>4.3600000000000003E-4</v>
      </c>
      <c r="Y53" s="1038"/>
    </row>
    <row r="54" spans="1:25" ht="22.5" customHeight="1" x14ac:dyDescent="0.25">
      <c r="A54" s="51"/>
      <c r="B54" s="52"/>
      <c r="C54" s="52"/>
      <c r="D54" s="52"/>
      <c r="H54" s="53" t="s">
        <v>66</v>
      </c>
      <c r="I54" s="1064">
        <f>IFERROR(ROUND(E53/I53,6),0)</f>
        <v>4.3600000000000003E-4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91.06</v>
      </c>
      <c r="U55" s="173" t="s">
        <v>64</v>
      </c>
      <c r="V55" s="174"/>
      <c r="W55" s="175" t="s">
        <v>69</v>
      </c>
      <c r="X55" s="1037">
        <f>I56</f>
        <v>221542.28000000003</v>
      </c>
      <c r="Y55" s="1037"/>
    </row>
    <row r="56" spans="1:25" ht="16.5" customHeight="1" x14ac:dyDescent="0.25">
      <c r="A56" s="1013" t="s">
        <v>68</v>
      </c>
      <c r="B56" s="1013"/>
      <c r="C56" s="51"/>
      <c r="D56" s="51"/>
      <c r="E56" s="48">
        <f>G33</f>
        <v>87.960400000000007</v>
      </c>
      <c r="F56" s="49" t="s">
        <v>64</v>
      </c>
      <c r="G56" s="3"/>
      <c r="H56" s="50" t="s">
        <v>69</v>
      </c>
      <c r="I56" s="1111">
        <f>Consolidated!H$74</f>
        <v>221542.28000000003</v>
      </c>
      <c r="J56" s="1111"/>
      <c r="M56" s="2"/>
      <c r="R56" s="176"/>
      <c r="S56" s="159"/>
      <c r="T56" s="159"/>
      <c r="U56" s="159"/>
      <c r="V56" s="159"/>
      <c r="W56" s="178" t="s">
        <v>66</v>
      </c>
      <c r="X56" s="1038">
        <f>ROUND(T55/X55,6)</f>
        <v>4.1100000000000002E-4</v>
      </c>
      <c r="Y56" s="1038"/>
    </row>
    <row r="57" spans="1:25" ht="18.75" customHeight="1" x14ac:dyDescent="0.25">
      <c r="A57" s="51"/>
      <c r="H57" s="53" t="s">
        <v>66</v>
      </c>
      <c r="I57" s="1064">
        <f>IFERROR(ROUND(E56/I56,6),0)</f>
        <v>3.97E-4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91.06</v>
      </c>
      <c r="U58" s="173" t="s">
        <v>64</v>
      </c>
      <c r="V58" s="1036" t="s">
        <v>72</v>
      </c>
      <c r="W58" s="1036"/>
      <c r="X58" s="1037">
        <f>I59</f>
        <v>175905.69000000003</v>
      </c>
      <c r="Y58" s="1037"/>
    </row>
    <row r="59" spans="1:25" ht="18.75" customHeight="1" x14ac:dyDescent="0.25">
      <c r="A59" s="1013" t="s">
        <v>71</v>
      </c>
      <c r="B59" s="1013"/>
      <c r="C59" s="51"/>
      <c r="D59" s="51"/>
      <c r="E59" s="48">
        <f>E28</f>
        <v>91.06</v>
      </c>
      <c r="F59" s="49" t="s">
        <v>64</v>
      </c>
      <c r="G59" s="1107" t="s">
        <v>72</v>
      </c>
      <c r="H59" s="1107"/>
      <c r="I59" s="1111">
        <f>Consolidated!H$77</f>
        <v>175905.69000000003</v>
      </c>
      <c r="J59" s="1111"/>
      <c r="M59" s="2"/>
      <c r="R59" s="176"/>
      <c r="S59" s="159"/>
      <c r="T59" s="159"/>
      <c r="U59" s="159"/>
      <c r="V59" s="159"/>
      <c r="W59" s="178" t="s">
        <v>66</v>
      </c>
      <c r="X59" s="1038">
        <f>ROUND(T58/X58,6)</f>
        <v>5.1800000000000001E-4</v>
      </c>
      <c r="Y59" s="1038"/>
    </row>
    <row r="60" spans="1:25" ht="18" customHeight="1" x14ac:dyDescent="0.25">
      <c r="A60" s="51"/>
      <c r="H60" s="53" t="s">
        <v>66</v>
      </c>
      <c r="I60" s="1064">
        <f>IFERROR(ROUND(E59/I59,6),0)</f>
        <v>5.1800000000000001E-4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91.06</v>
      </c>
      <c r="U61" s="173" t="s">
        <v>64</v>
      </c>
      <c r="V61" s="1036" t="s">
        <v>74</v>
      </c>
      <c r="W61" s="1036"/>
      <c r="X61" s="1037">
        <f>I62</f>
        <v>208541.94000000003</v>
      </c>
      <c r="Y61" s="1037"/>
    </row>
    <row r="62" spans="1:25" ht="30.75" customHeight="1" x14ac:dyDescent="0.25">
      <c r="A62" s="1013" t="s">
        <v>71</v>
      </c>
      <c r="B62" s="1013"/>
      <c r="C62" s="51"/>
      <c r="D62" s="51"/>
      <c r="E62" s="48">
        <f>E28</f>
        <v>91.06</v>
      </c>
      <c r="F62" s="49" t="s">
        <v>64</v>
      </c>
      <c r="G62" s="1107" t="s">
        <v>74</v>
      </c>
      <c r="H62" s="1107"/>
      <c r="I62" s="1111">
        <f>Consolidated!H$80</f>
        <v>208541.94000000003</v>
      </c>
      <c r="J62" s="1111"/>
      <c r="M62" s="2"/>
      <c r="R62" s="176"/>
      <c r="S62" s="159"/>
      <c r="T62" s="159"/>
      <c r="U62" s="159"/>
      <c r="V62" s="159"/>
      <c r="W62" s="178" t="s">
        <v>66</v>
      </c>
      <c r="X62" s="1038">
        <f>ROUND(T61/X61,6)</f>
        <v>4.37E-4</v>
      </c>
      <c r="Y62" s="1038"/>
    </row>
    <row r="63" spans="1:25" ht="19.5" customHeight="1" x14ac:dyDescent="0.25">
      <c r="A63" s="51"/>
      <c r="H63" s="53" t="s">
        <v>66</v>
      </c>
      <c r="I63" s="1064">
        <f>IFERROR(ROUND(E62/I62,6),0)</f>
        <v>4.37E-4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91.06</v>
      </c>
      <c r="U64" s="173" t="s">
        <v>64</v>
      </c>
      <c r="V64" s="1036" t="s">
        <v>159</v>
      </c>
      <c r="W64" s="1036"/>
      <c r="X64" s="1037">
        <f>I65</f>
        <v>175590.69000000003</v>
      </c>
      <c r="Y64" s="1037"/>
    </row>
    <row r="65" spans="1:26" ht="49.5" customHeight="1" x14ac:dyDescent="0.25">
      <c r="A65" s="1013" t="s">
        <v>71</v>
      </c>
      <c r="B65" s="1013"/>
      <c r="C65" s="51"/>
      <c r="D65" s="51"/>
      <c r="E65" s="48">
        <f>E28</f>
        <v>91.06</v>
      </c>
      <c r="F65" s="49" t="s">
        <v>64</v>
      </c>
      <c r="G65" s="1107" t="s">
        <v>76</v>
      </c>
      <c r="H65" s="1107"/>
      <c r="I65" s="1111">
        <f>Consolidated!H$83</f>
        <v>175590.69000000003</v>
      </c>
      <c r="J65" s="1111"/>
      <c r="M65" s="2"/>
      <c r="R65" s="179"/>
      <c r="S65" s="159"/>
      <c r="T65" s="159"/>
      <c r="U65" s="159"/>
      <c r="V65" s="159"/>
      <c r="W65" s="178" t="s">
        <v>66</v>
      </c>
      <c r="X65" s="1038">
        <f>ROUND(T64/X64,6)</f>
        <v>5.1900000000000004E-4</v>
      </c>
      <c r="Y65" s="1038"/>
    </row>
    <row r="66" spans="1:26" ht="19.5" customHeight="1" x14ac:dyDescent="0.25">
      <c r="A66" s="51"/>
      <c r="H66" s="53" t="s">
        <v>66</v>
      </c>
      <c r="I66" s="1064">
        <f>IFERROR(ROUND(E65/I65,6),0)</f>
        <v>5.1900000000000004E-4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4.37E-4</v>
      </c>
      <c r="Y67" s="215">
        <f>ROUND(V67*X67,2)</f>
        <v>20043.75</v>
      </c>
    </row>
    <row r="68" spans="1:26" ht="30.75" customHeight="1" x14ac:dyDescent="0.25">
      <c r="A68" s="1065" t="s">
        <v>77</v>
      </c>
      <c r="B68" s="1065"/>
      <c r="C68" s="1065"/>
      <c r="D68" s="1065"/>
      <c r="E68" s="1065"/>
      <c r="F68" s="36" t="s">
        <v>78</v>
      </c>
      <c r="G68" s="221">
        <f>Consolidated!F$86</f>
        <v>45866714</v>
      </c>
      <c r="H68" s="37" t="s">
        <v>79</v>
      </c>
      <c r="I68" s="41">
        <f>I63</f>
        <v>4.37E-4</v>
      </c>
      <c r="J68" s="127">
        <f>ROUND(G68*I68,2)</f>
        <v>20043.75</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4.3600000000000003E-4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4.3600000000000003E-4</v>
      </c>
      <c r="J70" s="127">
        <f>ROUND(G70*I70,2)</f>
        <v>0</v>
      </c>
      <c r="M70" s="2"/>
      <c r="R70" s="1015" t="s">
        <v>161</v>
      </c>
      <c r="S70" s="1015"/>
      <c r="T70" s="1015"/>
      <c r="U70" s="158"/>
      <c r="V70" s="182">
        <f>G71</f>
        <v>18834423</v>
      </c>
      <c r="W70" s="162" t="s">
        <v>79</v>
      </c>
      <c r="X70" s="165">
        <f>X65</f>
        <v>5.1900000000000004E-4</v>
      </c>
      <c r="Y70" s="212">
        <f t="shared" si="11"/>
        <v>9775.07</v>
      </c>
    </row>
    <row r="71" spans="1:26" ht="19.5" customHeight="1" x14ac:dyDescent="0.25">
      <c r="A71" s="1012" t="s">
        <v>83</v>
      </c>
      <c r="B71" s="1012"/>
      <c r="C71" s="1012"/>
      <c r="D71" s="1012"/>
      <c r="E71" s="1012"/>
      <c r="F71" s="36" t="s">
        <v>84</v>
      </c>
      <c r="G71" s="221">
        <f>Consolidated!F$91</f>
        <v>18834423</v>
      </c>
      <c r="H71" s="37" t="s">
        <v>79</v>
      </c>
      <c r="I71" s="41">
        <f>I66</f>
        <v>5.1900000000000004E-4</v>
      </c>
      <c r="J71" s="127">
        <f>ROUND(G71*I71,2)</f>
        <v>9775.07</v>
      </c>
      <c r="M71" s="2"/>
      <c r="R71" s="166" t="s">
        <v>162</v>
      </c>
      <c r="S71" s="166"/>
      <c r="T71" s="166"/>
      <c r="U71" s="158"/>
      <c r="V71" s="160">
        <f>G72</f>
        <v>11226031</v>
      </c>
      <c r="W71" s="162" t="s">
        <v>79</v>
      </c>
      <c r="X71" s="165">
        <f>X59</f>
        <v>5.1800000000000001E-4</v>
      </c>
      <c r="Y71" s="212">
        <f t="shared" si="11"/>
        <v>5815.08</v>
      </c>
    </row>
    <row r="72" spans="1:26" ht="19.5" customHeight="1" x14ac:dyDescent="0.25">
      <c r="A72" s="42" t="s">
        <v>85</v>
      </c>
      <c r="B72" s="42"/>
      <c r="C72" s="42"/>
      <c r="D72" s="42"/>
      <c r="E72" s="42"/>
      <c r="F72" s="36" t="s">
        <v>86</v>
      </c>
      <c r="G72" s="221">
        <f>Consolidated!F$93</f>
        <v>11226031</v>
      </c>
      <c r="H72" s="37" t="s">
        <v>79</v>
      </c>
      <c r="I72" s="41">
        <f>I60</f>
        <v>5.1800000000000001E-4</v>
      </c>
      <c r="J72" s="127">
        <f>ROUND(G72*I72,2)</f>
        <v>5815.08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3.97E-4</v>
      </c>
      <c r="J85" s="127">
        <f>ROUND(G85*I85,2)</f>
        <v>112706.39</v>
      </c>
      <c r="K85" s="70"/>
      <c r="L85" s="70"/>
      <c r="M85" s="71"/>
      <c r="N85" s="70"/>
      <c r="O85" s="70"/>
      <c r="P85" s="70"/>
      <c r="Q85" s="70"/>
      <c r="R85" s="1015" t="s">
        <v>166</v>
      </c>
      <c r="S85" s="1015"/>
      <c r="T85" s="1015"/>
      <c r="U85" s="158"/>
      <c r="V85" s="160">
        <f>G85</f>
        <v>283895192</v>
      </c>
      <c r="W85" s="162" t="s">
        <v>79</v>
      </c>
      <c r="X85" s="165">
        <f>X56</f>
        <v>4.1100000000000002E-4</v>
      </c>
      <c r="Y85" s="212">
        <f t="shared" ref="Y85:Y87" si="12">ROUND(V85*X85,2)</f>
        <v>116680.92</v>
      </c>
    </row>
    <row r="86" spans="1:26" ht="14.25" customHeight="1" x14ac:dyDescent="0.25">
      <c r="A86" s="1012" t="s">
        <v>102</v>
      </c>
      <c r="B86" s="1012"/>
      <c r="C86" s="1012"/>
      <c r="D86" s="1012"/>
      <c r="E86" s="1012"/>
      <c r="F86" s="36" t="s">
        <v>101</v>
      </c>
      <c r="G86" s="128">
        <v>0</v>
      </c>
      <c r="H86" s="37" t="s">
        <v>79</v>
      </c>
      <c r="I86" s="41">
        <f>I57</f>
        <v>3.97E-4</v>
      </c>
      <c r="J86" s="127">
        <f>ROUND(G86*I86,2)</f>
        <v>0</v>
      </c>
      <c r="K86" s="70"/>
      <c r="L86" s="71"/>
      <c r="M86" s="76"/>
      <c r="N86" s="76"/>
      <c r="O86" s="76"/>
      <c r="P86" s="76"/>
      <c r="Q86" s="70"/>
      <c r="R86" s="1015" t="s">
        <v>167</v>
      </c>
      <c r="S86" s="1015"/>
      <c r="T86" s="1015"/>
      <c r="U86" s="158"/>
      <c r="V86" s="192">
        <f>G86</f>
        <v>0</v>
      </c>
      <c r="W86" s="162" t="s">
        <v>79</v>
      </c>
      <c r="X86" s="165">
        <f>X56</f>
        <v>4.1100000000000002E-4</v>
      </c>
      <c r="Y86" s="212">
        <f t="shared" si="12"/>
        <v>0</v>
      </c>
    </row>
    <row r="87" spans="1:26" ht="18" customHeight="1" x14ac:dyDescent="0.25">
      <c r="A87" s="1012" t="s">
        <v>103</v>
      </c>
      <c r="B87" s="1012"/>
      <c r="C87" s="1012"/>
      <c r="D87" s="1012"/>
      <c r="E87" s="1012"/>
      <c r="F87" s="36" t="s">
        <v>82</v>
      </c>
      <c r="G87" s="128">
        <v>0</v>
      </c>
      <c r="H87" s="37" t="s">
        <v>79</v>
      </c>
      <c r="I87" s="41">
        <f>I54</f>
        <v>4.3600000000000003E-4</v>
      </c>
      <c r="J87" s="62">
        <f>ROUND(G87*I87,2)</f>
        <v>0</v>
      </c>
      <c r="K87" s="77"/>
      <c r="L87" s="70"/>
      <c r="M87" s="71"/>
      <c r="N87" s="70"/>
      <c r="O87" s="70"/>
      <c r="P87" s="70"/>
      <c r="Q87" s="70"/>
      <c r="R87" s="166" t="s">
        <v>168</v>
      </c>
      <c r="S87" s="166"/>
      <c r="T87" s="166"/>
      <c r="U87" s="158"/>
      <c r="V87" s="192">
        <f>G87</f>
        <v>0</v>
      </c>
      <c r="W87" s="162" t="s">
        <v>79</v>
      </c>
      <c r="X87" s="165">
        <f>X53</f>
        <v>4.3600000000000003E-4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2.5</v>
      </c>
      <c r="C91" s="80"/>
      <c r="D91" s="981">
        <f>I6</f>
        <v>1.0309999999999999</v>
      </c>
      <c r="E91" s="981"/>
      <c r="F91" s="981"/>
      <c r="G91" s="113">
        <f>Consolidated!F$119</f>
        <v>918.1</v>
      </c>
      <c r="H91" s="47" t="s">
        <v>66</v>
      </c>
      <c r="I91" s="129">
        <f>ROUND(B91*D91*G91,2)</f>
        <v>2366.4</v>
      </c>
      <c r="K91" s="70"/>
      <c r="L91" s="70"/>
      <c r="M91" s="71"/>
      <c r="N91" s="70"/>
      <c r="O91" s="70"/>
      <c r="P91" s="70"/>
      <c r="Q91" s="70"/>
      <c r="R91" s="195" t="s">
        <v>58</v>
      </c>
      <c r="S91" s="193">
        <f>X14+X15+X19+X22+X25</f>
        <v>2.5</v>
      </c>
      <c r="T91" s="1044">
        <f>X6</f>
        <v>1.0309999999999999</v>
      </c>
      <c r="U91" s="1044"/>
      <c r="V91" s="113">
        <f>G91</f>
        <v>918.1</v>
      </c>
      <c r="W91" s="171" t="s">
        <v>66</v>
      </c>
      <c r="X91" s="216">
        <f>ROUND(S91*T91*V91,2)</f>
        <v>2366.4</v>
      </c>
      <c r="Y91" s="159"/>
    </row>
    <row r="92" spans="1:26" ht="19.5" customHeight="1" thickBot="1" x14ac:dyDescent="0.3">
      <c r="A92" s="83" t="s">
        <v>59</v>
      </c>
      <c r="B92" s="80">
        <f>I16+I17+I20+I23+I26+I27</f>
        <v>85.460400000000007</v>
      </c>
      <c r="C92" s="80"/>
      <c r="D92" s="981">
        <f>I6</f>
        <v>1.0309999999999999</v>
      </c>
      <c r="E92" s="981"/>
      <c r="F92" s="981"/>
      <c r="G92" s="113">
        <f>Consolidated!F$120</f>
        <v>920.31</v>
      </c>
      <c r="H92" s="47" t="s">
        <v>66</v>
      </c>
      <c r="I92" s="532">
        <f>ROUND(B92*D92*G92,2)</f>
        <v>81088.210000000006</v>
      </c>
      <c r="K92" s="70"/>
      <c r="L92" s="70"/>
      <c r="M92" s="71"/>
      <c r="N92" s="70"/>
      <c r="O92" s="70"/>
      <c r="P92" s="70"/>
      <c r="Q92" s="70"/>
      <c r="R92" s="196" t="s">
        <v>59</v>
      </c>
      <c r="S92" s="197">
        <f>X16+X17+X20+X23+X26+X27</f>
        <v>88.56</v>
      </c>
      <c r="T92" s="1044">
        <f>X6</f>
        <v>1.0309999999999999</v>
      </c>
      <c r="U92" s="1044"/>
      <c r="V92" s="113">
        <f>G92</f>
        <v>920.31</v>
      </c>
      <c r="W92" s="171" t="s">
        <v>66</v>
      </c>
      <c r="X92" s="216">
        <f>ROUND(S92*T92*V92,2)</f>
        <v>84029.24</v>
      </c>
      <c r="Y92" s="159"/>
    </row>
    <row r="93" spans="1:26" ht="18.75" customHeight="1" thickBot="1" x14ac:dyDescent="0.3">
      <c r="A93" s="84" t="s">
        <v>109</v>
      </c>
      <c r="B93" s="80">
        <f>SUM(B90:B92)</f>
        <v>87.960400000000007</v>
      </c>
      <c r="C93" s="80"/>
      <c r="D93" s="80"/>
      <c r="E93" s="1059" t="s">
        <v>110</v>
      </c>
      <c r="F93" s="1059"/>
      <c r="G93" s="1059"/>
      <c r="H93" s="1059"/>
      <c r="I93" s="1059"/>
      <c r="J93" s="116">
        <f>IF(A1=75,0,I92+I91+I90)</f>
        <v>83454.61</v>
      </c>
      <c r="K93" s="70"/>
      <c r="L93" s="70"/>
      <c r="M93" s="71"/>
      <c r="N93" s="70"/>
      <c r="O93" s="70"/>
      <c r="P93" s="70"/>
      <c r="Q93" s="70"/>
      <c r="R93" s="198" t="s">
        <v>109</v>
      </c>
      <c r="S93" s="199">
        <f>SUM(S90:S92)</f>
        <v>91.06</v>
      </c>
      <c r="T93" s="1045" t="s">
        <v>110</v>
      </c>
      <c r="U93" s="1046"/>
      <c r="V93" s="1046"/>
      <c r="W93" s="1046"/>
      <c r="X93" s="1046"/>
      <c r="Y93" s="212">
        <f>IF(R1=75,0,X92+X91+X90)</f>
        <v>86395.64</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33</v>
      </c>
      <c r="U96" s="1050"/>
      <c r="V96" s="1050"/>
      <c r="W96" s="200" t="s">
        <v>115</v>
      </c>
      <c r="X96" s="201">
        <f>I97</f>
        <v>583</v>
      </c>
      <c r="Y96" s="212">
        <f>ROUND(X96*T96,2)</f>
        <v>19239</v>
      </c>
    </row>
    <row r="97" spans="1:25" ht="17.25" customHeight="1" x14ac:dyDescent="0.25">
      <c r="A97" s="1030" t="s">
        <v>114</v>
      </c>
      <c r="B97" s="1030"/>
      <c r="C97" s="223">
        <v>46</v>
      </c>
      <c r="D97" s="223">
        <v>20</v>
      </c>
      <c r="E97" s="1103">
        <f>IF(D97&gt;0,(C97+D97)/2,C97)</f>
        <v>33</v>
      </c>
      <c r="F97" s="982"/>
      <c r="G97" s="982"/>
      <c r="H97" s="85" t="s">
        <v>115</v>
      </c>
      <c r="I97" s="119">
        <f>Consolidated!G$127</f>
        <v>583</v>
      </c>
      <c r="J97" s="127">
        <f>ROUND(I97*E97,2)</f>
        <v>19239</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1153954.8700000001</v>
      </c>
      <c r="L107" s="533"/>
      <c r="R107" s="1015" t="s">
        <v>123</v>
      </c>
      <c r="S107" s="1015"/>
      <c r="T107" s="1015"/>
      <c r="U107" s="1015"/>
      <c r="V107" s="1015"/>
      <c r="W107" s="1015"/>
      <c r="X107" s="1015"/>
      <c r="Y107" s="208">
        <f>SUM(Y106,Y105,Y97,Y96,Y93,Y86,Y85,Y84,Y70,Y69,Y67,Y33,Y71,Y50,Y87,Y83)</f>
        <v>770324.54999999993</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1113370.26</v>
      </c>
      <c r="R109" s="159" t="s">
        <v>174</v>
      </c>
      <c r="S109" s="159"/>
      <c r="T109" s="159"/>
      <c r="U109" s="159"/>
      <c r="V109" s="159"/>
      <c r="W109" s="159"/>
      <c r="X109" s="159"/>
      <c r="Y109" s="209">
        <f>Y107-Y38</f>
        <v>729739.94</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v>1</v>
      </c>
      <c r="J111" s="126">
        <f>Y109</f>
        <v>729739.94</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729739.94</v>
      </c>
      <c r="J114" s="234">
        <f>ROUND(IF(E28=0,0,IF(E28&gt;250,-(((250/E28)*I114)*IF(H114="H",0.02,0.05)),IF(H114="H",-0.02*I114,-0.05*I114))),2)</f>
        <v>-36487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1117467.8700000001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Payments'!R94</f>
        <v>-200377.64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917090.2300000001</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91709.02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8"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496</v>
      </c>
      <c r="B2" s="101"/>
      <c r="C2" s="101"/>
      <c r="D2" s="101"/>
      <c r="E2" s="6"/>
      <c r="F2" s="6"/>
      <c r="G2" s="6"/>
      <c r="H2" s="6"/>
      <c r="I2" s="685" t="str">
        <f>RIGHT(A2,4)</f>
        <v>3401</v>
      </c>
      <c r="J2" s="6"/>
      <c r="K2" s="6"/>
      <c r="L2" s="6"/>
      <c r="M2" s="6"/>
      <c r="N2" s="6"/>
      <c r="O2" s="6"/>
      <c r="P2" s="6"/>
      <c r="Q2" s="6"/>
      <c r="R2" s="987" t="str">
        <f>Revenue_Estimate_Worksheet_for___________Charter_School</f>
        <v>Revenue Estimate Worksheet: Quantum High School - 3401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3.1</v>
      </c>
      <c r="D14" s="389">
        <f>SUMIFS('Surv2-3'!L:L,'Surv2-3'!$H:$H,$I$2,'Surv2-3'!$I:$I,$O14)</f>
        <v>4.0500000000000007</v>
      </c>
      <c r="E14" s="1080">
        <f t="shared" si="0"/>
        <v>7.15</v>
      </c>
      <c r="F14" s="1080"/>
      <c r="G14" s="1086">
        <f>Consolidated!$F16</f>
        <v>1</v>
      </c>
      <c r="H14" s="1086">
        <f>Consolidated!$H$9</f>
        <v>1</v>
      </c>
      <c r="I14" s="534">
        <f t="shared" si="3"/>
        <v>7.15</v>
      </c>
      <c r="J14" s="535">
        <f>ROUND(ROUND(ROUND(I14*$E$6,4)*($I$6),2)*(MAX($I$7,1)),2)</f>
        <v>40231.519999999997</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4</v>
      </c>
      <c r="D15" s="389">
        <f>SUMIFS('Surv2-3'!L:L,'Surv2-3'!$H:$H,$I$2,'Surv2-3'!$I:$I,$O15)</f>
        <v>2.94</v>
      </c>
      <c r="E15" s="1080">
        <f t="shared" si="0"/>
        <v>6.9399999999999995</v>
      </c>
      <c r="F15" s="1080"/>
      <c r="G15" s="1086">
        <f>Consolidated!$F17</f>
        <v>1</v>
      </c>
      <c r="H15" s="1086">
        <f>Consolidated!$H$9</f>
        <v>1</v>
      </c>
      <c r="I15" s="534">
        <f t="shared" si="3"/>
        <v>6.94</v>
      </c>
      <c r="J15" s="535">
        <f t="shared" si="1"/>
        <v>39049.89</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135.99</v>
      </c>
      <c r="D16" s="389">
        <f>SUMIFS('Surv2-3'!M:M,'Surv2-3'!$H:$H,$I$2,'Surv2-3'!$I:$I,$O16)</f>
        <v>142.19</v>
      </c>
      <c r="E16" s="1080">
        <f t="shared" si="0"/>
        <v>278.18</v>
      </c>
      <c r="F16" s="1080"/>
      <c r="G16" s="1086">
        <f>Consolidated!$F18</f>
        <v>0.96499999999999997</v>
      </c>
      <c r="H16" s="1086">
        <f>Consolidated!$H$9</f>
        <v>1</v>
      </c>
      <c r="I16" s="534">
        <f t="shared" si="3"/>
        <v>268.44369999999998</v>
      </c>
      <c r="J16" s="535">
        <f t="shared" si="1"/>
        <v>1510475.15</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36.130000000000003</v>
      </c>
      <c r="D17" s="389">
        <f>SUMIFS('Surv2-3'!M:M,'Surv2-3'!$H:$H,$I$2,'Surv2-3'!$I:$I,$O17)</f>
        <v>37.349999999999994</v>
      </c>
      <c r="E17" s="1080">
        <f t="shared" si="0"/>
        <v>73.47999999999999</v>
      </c>
      <c r="F17" s="1080"/>
      <c r="G17" s="1086">
        <f>Consolidated!$F19</f>
        <v>0.96499999999999997</v>
      </c>
      <c r="H17" s="1086">
        <f>Consolidated!$H$9</f>
        <v>1</v>
      </c>
      <c r="I17" s="534">
        <f t="shared" si="3"/>
        <v>70.908199999999994</v>
      </c>
      <c r="J17" s="535">
        <f t="shared" si="1"/>
        <v>398985.24</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0.4</v>
      </c>
      <c r="D25" s="389">
        <f>SUMIFS('Surv2-3'!L:L,'Surv2-3'!$H:$H,$I$2,'Surv2-3'!$I:$I,$O25)</f>
        <v>0.4</v>
      </c>
      <c r="E25" s="1080">
        <f t="shared" si="0"/>
        <v>0.8</v>
      </c>
      <c r="F25" s="1080"/>
      <c r="G25" s="1086">
        <f>Consolidated!$F27</f>
        <v>1.161</v>
      </c>
      <c r="H25" s="1086">
        <f>Consolidated!$H$9</f>
        <v>1</v>
      </c>
      <c r="I25" s="534">
        <f t="shared" si="3"/>
        <v>0.92879999999999996</v>
      </c>
      <c r="J25" s="535">
        <f t="shared" si="1"/>
        <v>5226.16</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11.799999999999999</v>
      </c>
      <c r="D26" s="389">
        <f>SUMIFS('Surv2-3'!M:M,'Surv2-3'!$H:$H,$I$2,'Surv2-3'!$I:$I,$O26)</f>
        <v>11.9</v>
      </c>
      <c r="E26" s="1080">
        <f t="shared" ref="E26" si="8">IF($D$28=0,C26*2,C26+D26)</f>
        <v>23.7</v>
      </c>
      <c r="F26" s="1080"/>
      <c r="G26" s="1086">
        <f>Consolidated!$F28</f>
        <v>1.161</v>
      </c>
      <c r="H26" s="1086">
        <f>Consolidated!$H$9</f>
        <v>1</v>
      </c>
      <c r="I26" s="534">
        <f t="shared" si="3"/>
        <v>27.515699999999999</v>
      </c>
      <c r="J26" s="535">
        <f t="shared" si="1"/>
        <v>154824.94</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2</v>
      </c>
      <c r="D27" s="390">
        <f>SUMIFS('Surv2-3'!J:J,'Surv2-3'!$H:$H,$I$2,'Surv2-3'!$I:$I,$O27)</f>
        <v>2.6799999999999997</v>
      </c>
      <c r="E27" s="1082">
        <f t="shared" si="0"/>
        <v>4.68</v>
      </c>
      <c r="F27" s="1082"/>
      <c r="G27" s="1083">
        <f>Consolidated!$F29</f>
        <v>1.0900000000000001</v>
      </c>
      <c r="H27" s="1083">
        <f>Consolidated!$H$9</f>
        <v>1</v>
      </c>
      <c r="I27" s="22">
        <f t="shared" si="3"/>
        <v>5.1012000000000004</v>
      </c>
      <c r="J27" s="116">
        <f t="shared" si="1"/>
        <v>28703.360000000001</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193.42000000000002</v>
      </c>
      <c r="D28" s="773">
        <f>SUM(D12:D27)</f>
        <v>201.51000000000002</v>
      </c>
      <c r="E28" s="1085">
        <f>SUM(E12:E27)</f>
        <v>394.93</v>
      </c>
      <c r="F28" s="1085"/>
      <c r="G28" s="1080"/>
      <c r="H28" s="1080"/>
      <c r="I28" s="23">
        <f>SUM(I12:I27)</f>
        <v>386.98759999999993</v>
      </c>
      <c r="J28" s="116">
        <f>SUM(J12:J27)</f>
        <v>2177496.2599999998</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386.98759999999993</v>
      </c>
      <c r="H33" s="1080" t="s">
        <v>45</v>
      </c>
      <c r="I33" s="1080"/>
      <c r="J33" s="32">
        <f>SUM(J32,J28)</f>
        <v>2177496.2599999998</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2177496.2599999998</v>
      </c>
      <c r="H36" s="37" t="s">
        <v>48</v>
      </c>
      <c r="I36" s="38">
        <f>Consolidated!H53</f>
        <v>7.1400000000000005E-2</v>
      </c>
      <c r="J36" s="120">
        <f>ROUND(G36*I36,2)</f>
        <v>155473.23000000001</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2177496.2599999998</v>
      </c>
      <c r="H37" s="37" t="s">
        <v>48</v>
      </c>
      <c r="I37" s="38">
        <f>Consolidated!H54</f>
        <v>1.06E-2</v>
      </c>
      <c r="J37" s="120">
        <f>ROUND(G37*I37,2)</f>
        <v>23081.46</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178554.69</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9">IF($D$50=0,C41*2,C41+D41)</f>
        <v>0</v>
      </c>
      <c r="F41" s="1073"/>
      <c r="G41" s="37" t="s">
        <v>57</v>
      </c>
      <c r="H41" s="37">
        <v>251</v>
      </c>
      <c r="I41" s="125">
        <f>Consolidated!$H59</f>
        <v>1047</v>
      </c>
      <c r="J41" s="532">
        <f t="shared" ref="J41:J49" si="10">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9"/>
        <v>0</v>
      </c>
      <c r="F42" s="1073"/>
      <c r="G42" s="37" t="s">
        <v>57</v>
      </c>
      <c r="H42" s="37">
        <v>252</v>
      </c>
      <c r="I42" s="125">
        <f>Consolidated!$H60</f>
        <v>3380</v>
      </c>
      <c r="J42" s="532">
        <f t="shared" si="10"/>
        <v>0</v>
      </c>
      <c r="M42" s="2"/>
      <c r="R42" s="1018"/>
      <c r="S42" s="1018"/>
      <c r="T42" s="1019"/>
      <c r="U42" s="1019"/>
      <c r="V42" s="162" t="s">
        <v>57</v>
      </c>
      <c r="W42" s="162">
        <v>252</v>
      </c>
      <c r="X42" s="123">
        <f>Consolidated!$H60</f>
        <v>3380</v>
      </c>
      <c r="Y42" s="213">
        <f t="shared" ref="Y42:Y49" si="11">ROUND(T42*X42,2)</f>
        <v>0</v>
      </c>
    </row>
    <row r="43" spans="1:25" x14ac:dyDescent="0.25">
      <c r="A43" s="1079"/>
      <c r="B43" s="1079"/>
      <c r="C43" s="122">
        <f>SUMIFS('ESE FTE'!F:F,'ESE FTE'!$A:$A,$I$2,'ESE FTE'!$E:$E,8)</f>
        <v>0</v>
      </c>
      <c r="D43" s="122">
        <f>SUMIFS('ESE FTE'!G:G,'ESE FTE'!$A:$A,$I$2,'ESE FTE'!$E:$E,8)</f>
        <v>0</v>
      </c>
      <c r="E43" s="1073">
        <f t="shared" si="9"/>
        <v>0</v>
      </c>
      <c r="F43" s="1073"/>
      <c r="G43" s="37" t="s">
        <v>57</v>
      </c>
      <c r="H43" s="37">
        <v>253</v>
      </c>
      <c r="I43" s="125">
        <f>Consolidated!$H61</f>
        <v>6896</v>
      </c>
      <c r="J43" s="532">
        <f t="shared" si="10"/>
        <v>0</v>
      </c>
      <c r="M43" s="2"/>
      <c r="R43" s="1018"/>
      <c r="S43" s="1018"/>
      <c r="T43" s="1020"/>
      <c r="U43" s="1020"/>
      <c r="V43" s="162" t="s">
        <v>57</v>
      </c>
      <c r="W43" s="162">
        <v>253</v>
      </c>
      <c r="X43" s="123">
        <f>Consolidated!$H61</f>
        <v>6896</v>
      </c>
      <c r="Y43" s="213">
        <f t="shared" si="11"/>
        <v>0</v>
      </c>
    </row>
    <row r="44" spans="1:25" x14ac:dyDescent="0.25">
      <c r="A44" s="1079"/>
      <c r="B44" s="1079"/>
      <c r="C44" s="122">
        <f>SUMIFS('ESE FTE'!F:F,'ESE FTE'!$A:$A,$I$2,'ESE FTE'!$E:$E,9)</f>
        <v>3.5</v>
      </c>
      <c r="D44" s="776">
        <f>SUMIFS('ESE FTE'!G:G,'ESE FTE'!$A:$A,$I$2,'ESE FTE'!$E:$E,9)</f>
        <v>2.57</v>
      </c>
      <c r="E44" s="1073">
        <f t="shared" si="9"/>
        <v>6.07</v>
      </c>
      <c r="F44" s="1073"/>
      <c r="G44" s="47" t="s">
        <v>58</v>
      </c>
      <c r="H44" s="37">
        <v>251</v>
      </c>
      <c r="I44" s="125">
        <f>Consolidated!$H62</f>
        <v>1173</v>
      </c>
      <c r="J44" s="532">
        <f t="shared" si="10"/>
        <v>7120.11</v>
      </c>
      <c r="L44" s="3"/>
      <c r="M44" s="2"/>
      <c r="Q44" s="4"/>
      <c r="R44" s="1018"/>
      <c r="S44" s="1018"/>
      <c r="T44" s="1020"/>
      <c r="U44" s="1020"/>
      <c r="V44" s="171" t="s">
        <v>58</v>
      </c>
      <c r="W44" s="162">
        <v>251</v>
      </c>
      <c r="X44" s="123">
        <f>Consolidated!$H62</f>
        <v>1173</v>
      </c>
      <c r="Y44" s="213">
        <f t="shared" si="11"/>
        <v>0</v>
      </c>
    </row>
    <row r="45" spans="1:25" x14ac:dyDescent="0.25">
      <c r="A45" s="1079"/>
      <c r="B45" s="1079"/>
      <c r="C45" s="122">
        <f>SUMIFS('ESE FTE'!F:F,'ESE FTE'!$A:$A,$I$2,'ESE FTE'!$E:$E,10)</f>
        <v>0.5</v>
      </c>
      <c r="D45" s="122">
        <f>SUMIFS('ESE FTE'!G:G,'ESE FTE'!$A:$A,$I$2,'ESE FTE'!$E:$E,10)</f>
        <v>0.37</v>
      </c>
      <c r="E45" s="1073">
        <f t="shared" si="9"/>
        <v>0.87</v>
      </c>
      <c r="F45" s="1073"/>
      <c r="G45" s="47" t="s">
        <v>58</v>
      </c>
      <c r="H45" s="37">
        <v>252</v>
      </c>
      <c r="I45" s="125">
        <f>Consolidated!$H63</f>
        <v>3506</v>
      </c>
      <c r="J45" s="532">
        <f t="shared" si="10"/>
        <v>3050.22</v>
      </c>
      <c r="M45" s="2"/>
      <c r="R45" s="1018"/>
      <c r="S45" s="1018"/>
      <c r="T45" s="1020"/>
      <c r="U45" s="1020"/>
      <c r="V45" s="171" t="s">
        <v>58</v>
      </c>
      <c r="W45" s="162">
        <v>252</v>
      </c>
      <c r="X45" s="123">
        <f>Consolidated!$H63</f>
        <v>3506</v>
      </c>
      <c r="Y45" s="213">
        <f t="shared" si="11"/>
        <v>0</v>
      </c>
    </row>
    <row r="46" spans="1:25" x14ac:dyDescent="0.25">
      <c r="A46" s="1079"/>
      <c r="B46" s="1079"/>
      <c r="C46" s="122">
        <f>SUMIFS('ESE FTE'!F:F,'ESE FTE'!$A:$A,$I$2,'ESE FTE'!$E:$E,11)</f>
        <v>0</v>
      </c>
      <c r="D46" s="122">
        <f>SUMIFS('ESE FTE'!G:G,'ESE FTE'!$A:$A,$I$2,'ESE FTE'!$E:$E,11)</f>
        <v>0</v>
      </c>
      <c r="E46" s="1073">
        <f t="shared" si="9"/>
        <v>0</v>
      </c>
      <c r="F46" s="1073"/>
      <c r="G46" s="47" t="s">
        <v>58</v>
      </c>
      <c r="H46" s="37">
        <v>253</v>
      </c>
      <c r="I46" s="125">
        <f>Consolidated!$H64</f>
        <v>7023</v>
      </c>
      <c r="J46" s="532">
        <f t="shared" si="10"/>
        <v>0</v>
      </c>
      <c r="M46" s="2"/>
      <c r="R46" s="1018"/>
      <c r="S46" s="1018"/>
      <c r="T46" s="1020"/>
      <c r="U46" s="1020"/>
      <c r="V46" s="171" t="s">
        <v>58</v>
      </c>
      <c r="W46" s="162">
        <v>253</v>
      </c>
      <c r="X46" s="123">
        <f>Consolidated!$H64</f>
        <v>7023</v>
      </c>
      <c r="Y46" s="213">
        <f t="shared" si="11"/>
        <v>0</v>
      </c>
    </row>
    <row r="47" spans="1:25" ht="16.5" customHeight="1" x14ac:dyDescent="0.25">
      <c r="A47" s="1079"/>
      <c r="B47" s="1079"/>
      <c r="C47" s="122">
        <f>SUMIFS('ESE FTE'!F:F,'ESE FTE'!$A:$A,$I$2,'ESE FTE'!$E:$E,12)</f>
        <v>33.130000000000003</v>
      </c>
      <c r="D47" s="122">
        <f>SUMIFS('ESE FTE'!G:G,'ESE FTE'!$A:$A,$I$2,'ESE FTE'!$E:$E,12)</f>
        <v>34.25</v>
      </c>
      <c r="E47" s="1073">
        <f t="shared" si="9"/>
        <v>67.38</v>
      </c>
      <c r="F47" s="1073"/>
      <c r="G47" s="47" t="s">
        <v>59</v>
      </c>
      <c r="H47" s="37">
        <v>251</v>
      </c>
      <c r="I47" s="125">
        <f>Consolidated!$H65</f>
        <v>835</v>
      </c>
      <c r="J47" s="532">
        <f t="shared" si="10"/>
        <v>56262.3</v>
      </c>
      <c r="M47" s="2"/>
      <c r="R47" s="1018"/>
      <c r="S47" s="1018"/>
      <c r="T47" s="1020"/>
      <c r="U47" s="1020"/>
      <c r="V47" s="171" t="s">
        <v>59</v>
      </c>
      <c r="W47" s="162">
        <v>251</v>
      </c>
      <c r="X47" s="123">
        <f>Consolidated!$H65</f>
        <v>835</v>
      </c>
      <c r="Y47" s="213">
        <f t="shared" si="11"/>
        <v>0</v>
      </c>
    </row>
    <row r="48" spans="1:25" ht="15.75" customHeight="1" x14ac:dyDescent="0.25">
      <c r="A48" s="1079"/>
      <c r="B48" s="1079"/>
      <c r="C48" s="122">
        <f>SUMIFS('ESE FTE'!F:F,'ESE FTE'!$A:$A,$I$2,'ESE FTE'!$E:$E,13)</f>
        <v>3</v>
      </c>
      <c r="D48" s="122">
        <f>SUMIFS('ESE FTE'!G:G,'ESE FTE'!$A:$A,$I$2,'ESE FTE'!$E:$E,13)</f>
        <v>3.1</v>
      </c>
      <c r="E48" s="1073">
        <f t="shared" si="9"/>
        <v>6.1</v>
      </c>
      <c r="F48" s="1073"/>
      <c r="G48" s="47" t="s">
        <v>59</v>
      </c>
      <c r="H48" s="37">
        <v>252</v>
      </c>
      <c r="I48" s="125">
        <f>Consolidated!$H66</f>
        <v>3168</v>
      </c>
      <c r="J48" s="532">
        <f t="shared" si="10"/>
        <v>19324.8</v>
      </c>
      <c r="M48" s="2"/>
      <c r="R48" s="1018"/>
      <c r="S48" s="1018"/>
      <c r="T48" s="1020"/>
      <c r="U48" s="1020"/>
      <c r="V48" s="171" t="s">
        <v>59</v>
      </c>
      <c r="W48" s="162">
        <v>252</v>
      </c>
      <c r="X48" s="123">
        <f>Consolidated!$H66</f>
        <v>3168</v>
      </c>
      <c r="Y48" s="213">
        <f t="shared" si="11"/>
        <v>0</v>
      </c>
    </row>
    <row r="49" spans="1:25" ht="15.75" customHeight="1" thickBot="1" x14ac:dyDescent="0.3">
      <c r="A49" s="1079"/>
      <c r="B49" s="1079"/>
      <c r="C49" s="122">
        <f>SUMIFS('ESE FTE'!F:F,'ESE FTE'!$A:$A,$I$2,'ESE FTE'!$E:$E,14)</f>
        <v>0</v>
      </c>
      <c r="D49" s="122">
        <f>SUMIFS('ESE FTE'!G:G,'ESE FTE'!$A:$A,$I$2,'ESE FTE'!$E:$E,14)</f>
        <v>0</v>
      </c>
      <c r="E49" s="1074">
        <f t="shared" si="9"/>
        <v>0</v>
      </c>
      <c r="F49" s="1074"/>
      <c r="G49" s="47" t="s">
        <v>59</v>
      </c>
      <c r="H49" s="37">
        <v>253</v>
      </c>
      <c r="I49" s="125">
        <f>Consolidated!$H67</f>
        <v>6685</v>
      </c>
      <c r="J49" s="532">
        <f t="shared" si="10"/>
        <v>0</v>
      </c>
      <c r="M49" s="2"/>
      <c r="R49" s="1018"/>
      <c r="S49" s="1018"/>
      <c r="T49" s="1031"/>
      <c r="U49" s="1031"/>
      <c r="V49" s="171" t="s">
        <v>59</v>
      </c>
      <c r="W49" s="162">
        <v>253</v>
      </c>
      <c r="X49" s="123">
        <f>Consolidated!$H67</f>
        <v>6685</v>
      </c>
      <c r="Y49" s="213">
        <f t="shared" si="11"/>
        <v>0</v>
      </c>
    </row>
    <row r="50" spans="1:25" ht="15.75" customHeight="1" thickBot="1" x14ac:dyDescent="0.3">
      <c r="A50" s="1030" t="s">
        <v>60</v>
      </c>
      <c r="B50" s="1030"/>
      <c r="C50" s="774">
        <f>SUM(C41:C49)</f>
        <v>40.130000000000003</v>
      </c>
      <c r="D50" s="774">
        <f>SUM(D41:D49)</f>
        <v>40.29</v>
      </c>
      <c r="E50" s="1075">
        <f>SUM(E41:E49)</f>
        <v>80.419999999999987</v>
      </c>
      <c r="F50" s="1075"/>
      <c r="G50" s="1030" t="s">
        <v>61</v>
      </c>
      <c r="H50" s="1030"/>
      <c r="I50" s="1030"/>
      <c r="J50" s="220">
        <f>SUM(J41:J49)</f>
        <v>85757.430000000008</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394.93</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1.8910000000000001E-3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386.98759999999993</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1.7470000000000001E-3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394.93</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2.245E-3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394.93</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1.8940000000000001E-3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394.93</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2.2490000000000001E-3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1.8940000000000001E-3</v>
      </c>
      <c r="J68" s="127">
        <f>ROUND(G68*I68,2)</f>
        <v>86871.56</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2">ROUND(V69*X69,2)</f>
        <v>0</v>
      </c>
    </row>
    <row r="70" spans="1:26" ht="17.25" customHeight="1" x14ac:dyDescent="0.25">
      <c r="A70" s="1067" t="s">
        <v>81</v>
      </c>
      <c r="B70" s="1067"/>
      <c r="C70" s="1067"/>
      <c r="D70" s="1067"/>
      <c r="E70" s="1067"/>
      <c r="F70" s="36" t="s">
        <v>82</v>
      </c>
      <c r="G70" s="221">
        <f>Consolidated!F$89</f>
        <v>0</v>
      </c>
      <c r="H70" s="37" t="s">
        <v>79</v>
      </c>
      <c r="I70" s="41">
        <f>I54</f>
        <v>1.8910000000000001E-3</v>
      </c>
      <c r="J70" s="127">
        <f>ROUND(G70*I70,2)</f>
        <v>0</v>
      </c>
      <c r="M70" s="2"/>
      <c r="R70" s="1015" t="s">
        <v>161</v>
      </c>
      <c r="S70" s="1015"/>
      <c r="T70" s="1015"/>
      <c r="U70" s="158"/>
      <c r="V70" s="182">
        <f>G71</f>
        <v>18834423</v>
      </c>
      <c r="W70" s="162" t="s">
        <v>79</v>
      </c>
      <c r="X70" s="165">
        <f>X65</f>
        <v>0</v>
      </c>
      <c r="Y70" s="212">
        <f t="shared" si="12"/>
        <v>0</v>
      </c>
    </row>
    <row r="71" spans="1:26" ht="19.5" customHeight="1" x14ac:dyDescent="0.25">
      <c r="A71" s="1012" t="s">
        <v>83</v>
      </c>
      <c r="B71" s="1012"/>
      <c r="C71" s="1012"/>
      <c r="D71" s="1012"/>
      <c r="E71" s="1012"/>
      <c r="F71" s="36" t="s">
        <v>84</v>
      </c>
      <c r="G71" s="221">
        <f>Consolidated!F$91</f>
        <v>18834423</v>
      </c>
      <c r="H71" s="37" t="s">
        <v>79</v>
      </c>
      <c r="I71" s="41">
        <f>I66</f>
        <v>2.2490000000000001E-3</v>
      </c>
      <c r="J71" s="127">
        <f>ROUND(G71*I71,2)</f>
        <v>42358.62</v>
      </c>
      <c r="M71" s="2"/>
      <c r="R71" s="166" t="s">
        <v>162</v>
      </c>
      <c r="S71" s="166"/>
      <c r="T71" s="166"/>
      <c r="U71" s="158"/>
      <c r="V71" s="160">
        <f>G72</f>
        <v>11226031</v>
      </c>
      <c r="W71" s="162" t="s">
        <v>79</v>
      </c>
      <c r="X71" s="165">
        <f>X59</f>
        <v>0</v>
      </c>
      <c r="Y71" s="212">
        <f t="shared" si="12"/>
        <v>0</v>
      </c>
    </row>
    <row r="72" spans="1:26" ht="19.5" customHeight="1" x14ac:dyDescent="0.25">
      <c r="A72" s="42" t="s">
        <v>85</v>
      </c>
      <c r="B72" s="42"/>
      <c r="C72" s="42"/>
      <c r="D72" s="42"/>
      <c r="E72" s="42"/>
      <c r="F72" s="36" t="s">
        <v>86</v>
      </c>
      <c r="G72" s="221">
        <f>Consolidated!F$93</f>
        <v>11226031</v>
      </c>
      <c r="H72" s="37" t="s">
        <v>79</v>
      </c>
      <c r="I72" s="41">
        <f>I60</f>
        <v>2.245E-3</v>
      </c>
      <c r="J72" s="127">
        <f>ROUND(G72*I72,2)</f>
        <v>25202.44</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4.25</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4.25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80" t="s">
        <v>99</v>
      </c>
      <c r="B84" s="980"/>
      <c r="C84" s="980"/>
      <c r="D84" s="52"/>
      <c r="G84" s="112">
        <f>Consolidated!F$106</f>
        <v>58502790</v>
      </c>
      <c r="H84" s="37" t="s">
        <v>79</v>
      </c>
      <c r="I84" s="41">
        <f>IFERROR(ROUND(J81/J82,6),0)</f>
        <v>3.2899999999999997E-4</v>
      </c>
      <c r="J84" s="654">
        <f>ROUND(G84*I84,2)</f>
        <v>19247.419999999998</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1.7470000000000001E-3</v>
      </c>
      <c r="J85" s="654">
        <f>ROUND(G85*I85,2)</f>
        <v>495964.9</v>
      </c>
      <c r="K85" s="70"/>
      <c r="L85" s="70"/>
      <c r="M85" s="71"/>
      <c r="N85" s="70"/>
      <c r="O85" s="70"/>
      <c r="P85" s="70"/>
      <c r="Q85" s="70"/>
      <c r="R85" s="1015" t="s">
        <v>166</v>
      </c>
      <c r="S85" s="1015"/>
      <c r="T85" s="1015"/>
      <c r="U85" s="158"/>
      <c r="V85" s="160">
        <f>G85</f>
        <v>283895192</v>
      </c>
      <c r="W85" s="162" t="s">
        <v>79</v>
      </c>
      <c r="X85" s="165">
        <f>X56</f>
        <v>0</v>
      </c>
      <c r="Y85" s="212">
        <f t="shared" ref="Y85:Y87" si="13">ROUND(V85*X85,2)</f>
        <v>0</v>
      </c>
    </row>
    <row r="86" spans="1:26" ht="14.25" customHeight="1" x14ac:dyDescent="0.25">
      <c r="A86" s="1012" t="s">
        <v>102</v>
      </c>
      <c r="B86" s="1012"/>
      <c r="C86" s="1012"/>
      <c r="D86" s="1012"/>
      <c r="E86" s="1012"/>
      <c r="F86" s="36" t="s">
        <v>101</v>
      </c>
      <c r="G86" s="128">
        <v>0</v>
      </c>
      <c r="H86" s="37" t="s">
        <v>79</v>
      </c>
      <c r="I86" s="41">
        <f>I57</f>
        <v>1.7470000000000001E-3</v>
      </c>
      <c r="J86" s="654">
        <f>ROUND(G86*I86,2)</f>
        <v>0</v>
      </c>
      <c r="K86" s="70"/>
      <c r="L86" s="71"/>
      <c r="M86" s="76"/>
      <c r="N86" s="76"/>
      <c r="O86" s="76"/>
      <c r="P86" s="76"/>
      <c r="Q86" s="70"/>
      <c r="R86" s="1015" t="s">
        <v>167</v>
      </c>
      <c r="S86" s="1015"/>
      <c r="T86" s="1015"/>
      <c r="U86" s="158"/>
      <c r="V86" s="192">
        <f>G86</f>
        <v>0</v>
      </c>
      <c r="W86" s="162" t="s">
        <v>79</v>
      </c>
      <c r="X86" s="165">
        <f>X56</f>
        <v>0</v>
      </c>
      <c r="Y86" s="212">
        <f t="shared" si="13"/>
        <v>0</v>
      </c>
    </row>
    <row r="87" spans="1:26" ht="18" customHeight="1" x14ac:dyDescent="0.25">
      <c r="A87" s="1012" t="s">
        <v>103</v>
      </c>
      <c r="B87" s="1012"/>
      <c r="C87" s="1012"/>
      <c r="D87" s="1012"/>
      <c r="E87" s="1012"/>
      <c r="F87" s="36" t="s">
        <v>82</v>
      </c>
      <c r="G87" s="128">
        <v>0</v>
      </c>
      <c r="H87" s="37" t="s">
        <v>79</v>
      </c>
      <c r="I87" s="41">
        <f>I54</f>
        <v>1.8910000000000001E-3</v>
      </c>
      <c r="J87" s="654">
        <f>ROUND(G87*I87,2)</f>
        <v>0</v>
      </c>
      <c r="K87" s="77"/>
      <c r="L87" s="70"/>
      <c r="M87" s="71"/>
      <c r="N87" s="70"/>
      <c r="O87" s="70"/>
      <c r="P87" s="70"/>
      <c r="Q87" s="70"/>
      <c r="R87" s="166" t="s">
        <v>168</v>
      </c>
      <c r="S87" s="166"/>
      <c r="T87" s="166"/>
      <c r="U87" s="158"/>
      <c r="V87" s="192">
        <f>G87</f>
        <v>0</v>
      </c>
      <c r="W87" s="162" t="s">
        <v>79</v>
      </c>
      <c r="X87" s="165">
        <f>X53</f>
        <v>0</v>
      </c>
      <c r="Y87" s="212">
        <f t="shared" si="13"/>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15.018800000000001</v>
      </c>
      <c r="C91" s="80"/>
      <c r="D91" s="981">
        <f>I6</f>
        <v>1.0309999999999999</v>
      </c>
      <c r="E91" s="981"/>
      <c r="F91" s="981"/>
      <c r="G91" s="113">
        <f>Consolidated!F$119</f>
        <v>918.1</v>
      </c>
      <c r="H91" s="47" t="s">
        <v>66</v>
      </c>
      <c r="I91" s="532">
        <f>ROUND(B91*D91*G91,2)</f>
        <v>14216.21</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371.96879999999999</v>
      </c>
      <c r="C92" s="80"/>
      <c r="D92" s="981">
        <f>I6</f>
        <v>1.0309999999999999</v>
      </c>
      <c r="E92" s="981"/>
      <c r="F92" s="981"/>
      <c r="G92" s="113">
        <f>Consolidated!F$120</f>
        <v>920.31</v>
      </c>
      <c r="H92" s="47" t="s">
        <v>66</v>
      </c>
      <c r="I92" s="532">
        <f>ROUND(B92*D92*G92,2)</f>
        <v>352938.73</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386.98759999999999</v>
      </c>
      <c r="C93" s="80"/>
      <c r="D93" s="80"/>
      <c r="E93" s="1059" t="s">
        <v>110</v>
      </c>
      <c r="F93" s="1059"/>
      <c r="G93" s="1059"/>
      <c r="H93" s="1059"/>
      <c r="I93" s="1059"/>
      <c r="J93" s="116">
        <f>IF(A1=75,0,I92+I91+I90)</f>
        <v>367154.94</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240</v>
      </c>
      <c r="D97" s="223">
        <v>143</v>
      </c>
      <c r="E97" s="1103">
        <f>IF(D97&gt;0,(C97+D97)/2,C97)</f>
        <v>191.5</v>
      </c>
      <c r="F97" s="982"/>
      <c r="G97" s="982"/>
      <c r="H97" s="85" t="s">
        <v>115</v>
      </c>
      <c r="I97" s="119">
        <f>Consolidated!G$127</f>
        <v>583</v>
      </c>
      <c r="J97" s="127">
        <f>ROUND(I97*E97,2)</f>
        <v>111644.5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3411698.07</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3233143.38</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3233143.38</v>
      </c>
      <c r="J114" s="234">
        <f>ROUND(IF(E28=0,0,IF(E28&gt;250,-(((250/E28)*I114)*IF(H114="H",0.02,0.05)),IF(H114="H",-0.02*I114,-0.05*I114))),2)</f>
        <v>-102332.8</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3309365.27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Payments'!R95</f>
        <v>-580724.02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2728641.25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272864.13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59324.37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39"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497</v>
      </c>
      <c r="B2" s="101"/>
      <c r="C2" s="101"/>
      <c r="D2" s="101"/>
      <c r="E2" s="6"/>
      <c r="F2" s="6"/>
      <c r="G2" s="6"/>
      <c r="H2" s="6"/>
      <c r="I2" s="685" t="str">
        <f>RIGHT(A2,4)</f>
        <v>3413</v>
      </c>
      <c r="J2" s="6"/>
      <c r="K2" s="6"/>
      <c r="L2" s="6"/>
      <c r="M2" s="6"/>
      <c r="N2" s="6"/>
      <c r="O2" s="6"/>
      <c r="P2" s="6"/>
      <c r="Q2" s="6"/>
      <c r="R2" s="987" t="str">
        <f>Revenue_Estimate_Worksheet_for___________Charter_School</f>
        <v>Revenue Estimate Worksheet: Somerset Academy Boca East - 3413</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96.41</v>
      </c>
      <c r="D12" s="699">
        <f>SUMIFS('Surv2-3'!K:K,'Surv2-3'!$H:$H,$I$2,'Surv2-3'!$I:$I,$O12)</f>
        <v>91.51</v>
      </c>
      <c r="E12" s="1081">
        <f t="shared" ref="E12:E27" si="0">IF($D$28=0,C12*2,C12+D12)</f>
        <v>187.92000000000002</v>
      </c>
      <c r="F12" s="1081"/>
      <c r="G12" s="1096">
        <f>Consolidated!$F14</f>
        <v>1.107</v>
      </c>
      <c r="H12" s="1096">
        <f>Consolidated!$H$9</f>
        <v>1</v>
      </c>
      <c r="I12" s="534">
        <f>ROUND(E12*G12,4)</f>
        <v>208.0274</v>
      </c>
      <c r="J12" s="535">
        <f t="shared" ref="J12:J27" si="1">ROUND(ROUND(ROUND(I12*$E$6,4)*($I$6),2)*(MAX($I$7,1)),2)</f>
        <v>1170525.58</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22.5</v>
      </c>
      <c r="D13" s="389">
        <f>SUMIFS('Surv2-3'!K:K,'Surv2-3'!$H:$H,$I$2,'Surv2-3'!$I:$I,$O13)</f>
        <v>27</v>
      </c>
      <c r="E13" s="1080">
        <f t="shared" si="0"/>
        <v>49.5</v>
      </c>
      <c r="F13" s="1080"/>
      <c r="G13" s="1086">
        <f>Consolidated!$F15</f>
        <v>1.107</v>
      </c>
      <c r="H13" s="1086">
        <f>Consolidated!$H$9</f>
        <v>1</v>
      </c>
      <c r="I13" s="534">
        <f t="shared" ref="I13:I27" si="3">ROUND(E13*G13,4)</f>
        <v>54.796500000000002</v>
      </c>
      <c r="J13" s="535">
        <f t="shared" si="1"/>
        <v>308328.15999999997</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44.739999999999995</v>
      </c>
      <c r="D14" s="389">
        <f>SUMIFS('Surv2-3'!L:L,'Surv2-3'!$H:$H,$I$2,'Surv2-3'!$I:$I,$O14)</f>
        <v>44.97</v>
      </c>
      <c r="E14" s="1080">
        <f t="shared" si="0"/>
        <v>89.71</v>
      </c>
      <c r="F14" s="1080"/>
      <c r="G14" s="1086">
        <f>Consolidated!$F16</f>
        <v>1</v>
      </c>
      <c r="H14" s="1086">
        <f>Consolidated!$H$9</f>
        <v>1</v>
      </c>
      <c r="I14" s="534">
        <f t="shared" si="3"/>
        <v>89.71</v>
      </c>
      <c r="J14" s="535">
        <f>ROUND(ROUND(ROUND(I14*$E$6,4)*($I$6),2)*(MAX($I$7,1)),2)</f>
        <v>504778.94</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18</v>
      </c>
      <c r="D15" s="389">
        <f>SUMIFS('Surv2-3'!L:L,'Surv2-3'!$H:$H,$I$2,'Surv2-3'!$I:$I,$O15)</f>
        <v>18</v>
      </c>
      <c r="E15" s="1080">
        <f t="shared" si="0"/>
        <v>36</v>
      </c>
      <c r="F15" s="1080"/>
      <c r="G15" s="1086">
        <f>Consolidated!$F17</f>
        <v>1</v>
      </c>
      <c r="H15" s="1086">
        <f>Consolidated!$H$9</f>
        <v>1</v>
      </c>
      <c r="I15" s="534">
        <f t="shared" si="3"/>
        <v>36</v>
      </c>
      <c r="J15" s="535">
        <f t="shared" si="1"/>
        <v>202564.28</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12.090000000000002</v>
      </c>
      <c r="D24" s="389">
        <f>SUMIFS('Surv2-3'!K:K,'Surv2-3'!$H:$H,$I$2,'Surv2-3'!$I:$I,$O24)</f>
        <v>12.5</v>
      </c>
      <c r="E24" s="1080">
        <f t="shared" si="0"/>
        <v>24.590000000000003</v>
      </c>
      <c r="F24" s="1080"/>
      <c r="G24" s="1086">
        <f>Consolidated!$F26</f>
        <v>1.161</v>
      </c>
      <c r="H24" s="1086">
        <f>Consolidated!$H$9</f>
        <v>1</v>
      </c>
      <c r="I24" s="534">
        <f t="shared" si="3"/>
        <v>28.548999999999999</v>
      </c>
      <c r="J24" s="535">
        <f t="shared" si="1"/>
        <v>160639.1</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2.02</v>
      </c>
      <c r="D25" s="389">
        <f>SUMIFS('Surv2-3'!L:L,'Surv2-3'!$H:$H,$I$2,'Surv2-3'!$I:$I,$O25)</f>
        <v>2.02</v>
      </c>
      <c r="E25" s="1080">
        <f t="shared" si="0"/>
        <v>4.04</v>
      </c>
      <c r="F25" s="1080"/>
      <c r="G25" s="1086">
        <f>Consolidated!$F27</f>
        <v>1.161</v>
      </c>
      <c r="H25" s="1086">
        <f>Consolidated!$H$9</f>
        <v>1</v>
      </c>
      <c r="I25" s="534">
        <f t="shared" si="3"/>
        <v>4.6904000000000003</v>
      </c>
      <c r="J25" s="535">
        <f t="shared" si="1"/>
        <v>26391.88</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195.76</v>
      </c>
      <c r="D28" s="773">
        <f>SUM(D12:D27)</f>
        <v>196.00000000000003</v>
      </c>
      <c r="E28" s="1085">
        <f>SUM(E12:E27)</f>
        <v>391.76000000000005</v>
      </c>
      <c r="F28" s="1085"/>
      <c r="G28" s="1080"/>
      <c r="H28" s="1080"/>
      <c r="I28" s="23">
        <f>SUM(I12:I27)</f>
        <v>421.77329999999995</v>
      </c>
      <c r="J28" s="116">
        <f>SUM(J12:J27)</f>
        <v>2373227.94</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421.77329999999995</v>
      </c>
      <c r="H33" s="1080" t="s">
        <v>45</v>
      </c>
      <c r="I33" s="1080"/>
      <c r="J33" s="32">
        <f>SUM(J32,J28)</f>
        <v>2373227.94</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2373227.94</v>
      </c>
      <c r="H36" s="37" t="s">
        <v>48</v>
      </c>
      <c r="I36" s="38">
        <f>Consolidated!H53</f>
        <v>7.1400000000000005E-2</v>
      </c>
      <c r="J36" s="120">
        <f>ROUND(G36*I36,2)</f>
        <v>169448.47</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2373227.94</v>
      </c>
      <c r="H37" s="37" t="s">
        <v>48</v>
      </c>
      <c r="I37" s="38">
        <f>Consolidated!H54</f>
        <v>1.06E-2</v>
      </c>
      <c r="J37" s="120">
        <f>ROUND(G37*I37,2)</f>
        <v>25156.22</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194604.69</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20.57</v>
      </c>
      <c r="D41" s="776">
        <f>SUMIFS('ESE FTE'!G:G,'ESE FTE'!$A:$A,$I$2,'ESE FTE'!$E:$E,6)</f>
        <v>24.69</v>
      </c>
      <c r="E41" s="1073">
        <f t="shared" ref="E41:E49" si="8">IF($D$50=0,C41*2,C41+D41)</f>
        <v>45.260000000000005</v>
      </c>
      <c r="F41" s="1073"/>
      <c r="G41" s="37" t="s">
        <v>57</v>
      </c>
      <c r="H41" s="37">
        <v>251</v>
      </c>
      <c r="I41" s="125">
        <f>Consolidated!$H59</f>
        <v>1047</v>
      </c>
      <c r="J41" s="532">
        <f t="shared" ref="J41:J49" si="9">ROUND(E41*I41,2)</f>
        <v>47387.22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1.93</v>
      </c>
      <c r="D42" s="122">
        <f>SUMIFS('ESE FTE'!G:G,'ESE FTE'!$A:$A,$I$2,'ESE FTE'!$E:$E,7)</f>
        <v>2.31</v>
      </c>
      <c r="E42" s="1073">
        <f t="shared" si="8"/>
        <v>4.24</v>
      </c>
      <c r="F42" s="1073"/>
      <c r="G42" s="37" t="s">
        <v>57</v>
      </c>
      <c r="H42" s="37">
        <v>252</v>
      </c>
      <c r="I42" s="125">
        <f>Consolidated!$H60</f>
        <v>3380</v>
      </c>
      <c r="J42" s="532">
        <f t="shared" si="9"/>
        <v>14331.2</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17.2</v>
      </c>
      <c r="D44" s="776">
        <f>SUMIFS('ESE FTE'!G:G,'ESE FTE'!$A:$A,$I$2,'ESE FTE'!$E:$E,9)</f>
        <v>17.2</v>
      </c>
      <c r="E44" s="1073">
        <f t="shared" si="8"/>
        <v>34.4</v>
      </c>
      <c r="F44" s="1073"/>
      <c r="G44" s="47" t="s">
        <v>58</v>
      </c>
      <c r="H44" s="37">
        <v>251</v>
      </c>
      <c r="I44" s="125">
        <f>Consolidated!$H62</f>
        <v>1173</v>
      </c>
      <c r="J44" s="532">
        <f t="shared" si="9"/>
        <v>40351.199999999997</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0.8</v>
      </c>
      <c r="D45" s="122">
        <f>SUMIFS('ESE FTE'!G:G,'ESE FTE'!$A:$A,$I$2,'ESE FTE'!$E:$E,10)</f>
        <v>0.8</v>
      </c>
      <c r="E45" s="1073">
        <f t="shared" si="8"/>
        <v>1.6</v>
      </c>
      <c r="F45" s="1073"/>
      <c r="G45" s="47" t="s">
        <v>58</v>
      </c>
      <c r="H45" s="37">
        <v>252</v>
      </c>
      <c r="I45" s="125">
        <f>Consolidated!$H63</f>
        <v>3506</v>
      </c>
      <c r="J45" s="532">
        <f t="shared" si="9"/>
        <v>5609.6</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40.5</v>
      </c>
      <c r="D50" s="774">
        <f>SUM(D41:D49)</f>
        <v>45</v>
      </c>
      <c r="E50" s="1075">
        <f>SUM(E41:E49)</f>
        <v>85.5</v>
      </c>
      <c r="F50" s="1075"/>
      <c r="G50" s="1030" t="s">
        <v>61</v>
      </c>
      <c r="H50" s="1030"/>
      <c r="I50" s="1030"/>
      <c r="J50" s="220">
        <f>SUM(J41:J49)</f>
        <v>107679.22</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391.76000000000005</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1.8760000000000001E-3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421.77329999999995</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1.9040000000000001E-3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391.76000000000005</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2.2269999999999998E-3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391.76000000000005</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1.879E-3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391.76000000000005</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2.2309999999999999E-3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1.879E-3</v>
      </c>
      <c r="J68" s="127">
        <f>ROUND(G68*I68,2)</f>
        <v>86183.56</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1.8760000000000001E-3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2.2309999999999999E-3</v>
      </c>
      <c r="J71" s="127">
        <f>ROUND(G71*I71,2)</f>
        <v>42019.6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2.2269999999999998E-3</v>
      </c>
      <c r="J72" s="127">
        <f>ROUND(G72*I72,2)</f>
        <v>25000.37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1.9040000000000001E-3</v>
      </c>
      <c r="J85" s="127">
        <f>ROUND(G85*I85,2)</f>
        <v>540536.44999999995</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1.9040000000000001E-3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1.8760000000000001E-3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291.37289999999996</v>
      </c>
      <c r="C90" s="80"/>
      <c r="D90" s="981">
        <f>I6</f>
        <v>1.0309999999999999</v>
      </c>
      <c r="E90" s="981"/>
      <c r="F90" s="981"/>
      <c r="G90" s="113">
        <f>Consolidated!F$118</f>
        <v>961.57</v>
      </c>
      <c r="H90" s="47" t="s">
        <v>66</v>
      </c>
      <c r="I90" s="130">
        <f>ROUND(B90*D90*G90,2)</f>
        <v>288860.88</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130.40039999999999</v>
      </c>
      <c r="C91" s="80"/>
      <c r="D91" s="981">
        <f>I6</f>
        <v>1.0309999999999999</v>
      </c>
      <c r="E91" s="981"/>
      <c r="F91" s="981"/>
      <c r="G91" s="113">
        <f>Consolidated!F$119</f>
        <v>918.1</v>
      </c>
      <c r="H91" s="47" t="s">
        <v>66</v>
      </c>
      <c r="I91" s="129">
        <f>ROUND(B91*D91*G91,2)</f>
        <v>123431.95</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421.77329999999995</v>
      </c>
      <c r="C93" s="80"/>
      <c r="D93" s="80"/>
      <c r="E93" s="1059" t="s">
        <v>110</v>
      </c>
      <c r="F93" s="1059"/>
      <c r="G93" s="1059"/>
      <c r="H93" s="1059"/>
      <c r="I93" s="1059"/>
      <c r="J93" s="116">
        <f>IF(A1=75,0,I92+I91+I90)</f>
        <v>412292.83</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3586939.97</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3392335.2800000003</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t="s">
        <v>478</v>
      </c>
      <c r="I114" s="233">
        <f>IF(I111=1,J111,J109)</f>
        <v>3392335.2800000003</v>
      </c>
      <c r="J114" s="234">
        <f>ROUND(IF(E28=0,0,IF(E28&gt;250,-(((250/E28)*I114)*IF(H114="H",0.02,0.05)),IF(H114="H",-0.02*I114,-0.05*I114))),2)</f>
        <v>-43296.09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3543643.8800000004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Payments'!R96</f>
        <v>-591957.63</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2951686.2500000005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295168.63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24550.62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38"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498</v>
      </c>
      <c r="B2" s="101"/>
      <c r="C2" s="101"/>
      <c r="D2" s="101"/>
      <c r="E2" s="6"/>
      <c r="F2" s="6"/>
      <c r="G2" s="6"/>
      <c r="H2" s="6"/>
      <c r="I2" s="685" t="str">
        <f>RIGHT(A2,4)</f>
        <v>3421</v>
      </c>
      <c r="J2" s="6"/>
      <c r="K2" s="6"/>
      <c r="L2" s="6"/>
      <c r="M2" s="6"/>
      <c r="N2" s="6"/>
      <c r="O2" s="6"/>
      <c r="P2" s="6"/>
      <c r="Q2" s="6"/>
      <c r="R2" s="987" t="str">
        <f>Revenue_Estimate_Worksheet_for___________Charter_School</f>
        <v>Revenue Estimate Worksheet: Worthington High School - 3421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2.5</v>
      </c>
      <c r="D14" s="389">
        <f>SUMIFS('Surv2-3'!L:L,'Surv2-3'!$H:$H,$I$2,'Surv2-3'!$I:$I,$O14)</f>
        <v>5.28</v>
      </c>
      <c r="E14" s="1080">
        <f t="shared" si="0"/>
        <v>7.78</v>
      </c>
      <c r="F14" s="1080"/>
      <c r="G14" s="1086">
        <f>Consolidated!$F16</f>
        <v>1</v>
      </c>
      <c r="H14" s="1086">
        <f>Consolidated!$H$9</f>
        <v>1</v>
      </c>
      <c r="I14" s="534">
        <f t="shared" si="3"/>
        <v>7.78</v>
      </c>
      <c r="J14" s="535">
        <f>ROUND(ROUND(ROUND(I14*$E$6,4)*($I$6),2)*(MAX($I$7,1)),2)</f>
        <v>43776.39</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v>
      </c>
      <c r="D15" s="389">
        <f>SUMIFS('Surv2-3'!L:L,'Surv2-3'!$H:$H,$I$2,'Surv2-3'!$I:$I,$O15)</f>
        <v>1.45</v>
      </c>
      <c r="E15" s="1080">
        <f t="shared" si="0"/>
        <v>2.4500000000000002</v>
      </c>
      <c r="F15" s="1080"/>
      <c r="G15" s="1086">
        <f>Consolidated!$F17</f>
        <v>1</v>
      </c>
      <c r="H15" s="1086">
        <f>Consolidated!$H$9</f>
        <v>1</v>
      </c>
      <c r="I15" s="534">
        <f t="shared" si="3"/>
        <v>2.4500000000000002</v>
      </c>
      <c r="J15" s="535">
        <f t="shared" si="1"/>
        <v>13785.62</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220.27</v>
      </c>
      <c r="D16" s="389">
        <f>SUMIFS('Surv2-3'!M:M,'Surv2-3'!$H:$H,$I$2,'Surv2-3'!$I:$I,$O16)</f>
        <v>231.05</v>
      </c>
      <c r="E16" s="1080">
        <f t="shared" si="0"/>
        <v>451.32000000000005</v>
      </c>
      <c r="F16" s="1080"/>
      <c r="G16" s="1086">
        <f>Consolidated!$F18</f>
        <v>0.96499999999999997</v>
      </c>
      <c r="H16" s="1086">
        <f>Consolidated!$H$9</f>
        <v>1</v>
      </c>
      <c r="I16" s="534">
        <f t="shared" si="3"/>
        <v>435.52379999999999</v>
      </c>
      <c r="J16" s="535">
        <f t="shared" si="1"/>
        <v>2450599.0499999998</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48.76</v>
      </c>
      <c r="D17" s="389">
        <f>SUMIFS('Surv2-3'!M:M,'Surv2-3'!$H:$H,$I$2,'Surv2-3'!$I:$I,$O17)</f>
        <v>58.650000000000006</v>
      </c>
      <c r="E17" s="1080">
        <f t="shared" si="0"/>
        <v>107.41</v>
      </c>
      <c r="F17" s="1080"/>
      <c r="G17" s="1086">
        <f>Consolidated!$F19</f>
        <v>0.96499999999999997</v>
      </c>
      <c r="H17" s="1086">
        <f>Consolidated!$H$9</f>
        <v>1</v>
      </c>
      <c r="I17" s="534">
        <f t="shared" si="3"/>
        <v>103.6507</v>
      </c>
      <c r="J17" s="535">
        <f t="shared" si="1"/>
        <v>583220.27</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5.0999999999999996</v>
      </c>
      <c r="D26" s="389">
        <f>SUMIFS('Surv2-3'!M:M,'Surv2-3'!$H:$H,$I$2,'Surv2-3'!$I:$I,$O26)</f>
        <v>16.650000000000002</v>
      </c>
      <c r="E26" s="1080">
        <f t="shared" si="0"/>
        <v>21.75</v>
      </c>
      <c r="F26" s="1080"/>
      <c r="G26" s="1086">
        <f>Consolidated!$F28</f>
        <v>1.161</v>
      </c>
      <c r="H26" s="1086">
        <f>Consolidated!$H$9</f>
        <v>1</v>
      </c>
      <c r="I26" s="534">
        <f t="shared" si="3"/>
        <v>25.251799999999999</v>
      </c>
      <c r="J26" s="535">
        <f t="shared" si="1"/>
        <v>142086.46</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4.57</v>
      </c>
      <c r="D27" s="390">
        <f>SUMIFS('Surv2-3'!J:J,'Surv2-3'!$H:$H,$I$2,'Surv2-3'!$I:$I,$O27)</f>
        <v>2.58</v>
      </c>
      <c r="E27" s="1082">
        <f t="shared" si="0"/>
        <v>7.15</v>
      </c>
      <c r="F27" s="1082"/>
      <c r="G27" s="1083">
        <f>Consolidated!$F29</f>
        <v>1.0900000000000001</v>
      </c>
      <c r="H27" s="1083">
        <f>Consolidated!$H$9</f>
        <v>1</v>
      </c>
      <c r="I27" s="22">
        <f t="shared" si="3"/>
        <v>7.7934999999999999</v>
      </c>
      <c r="J27" s="116">
        <f t="shared" si="1"/>
        <v>43852.35</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282.20000000000005</v>
      </c>
      <c r="D28" s="773">
        <f>SUM(D12:D27)</f>
        <v>315.65999999999997</v>
      </c>
      <c r="E28" s="1085">
        <f>SUM(E12:E27)</f>
        <v>597.86</v>
      </c>
      <c r="F28" s="1085"/>
      <c r="G28" s="1080"/>
      <c r="H28" s="1080"/>
      <c r="I28" s="23">
        <f>SUM(I12:I27)</f>
        <v>582.44979999999998</v>
      </c>
      <c r="J28" s="116">
        <f>SUM(J12:J27)</f>
        <v>3277320.1399999997</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582.44979999999998</v>
      </c>
      <c r="H33" s="1080" t="s">
        <v>45</v>
      </c>
      <c r="I33" s="1080"/>
      <c r="J33" s="32">
        <f>SUM(J32,J28)</f>
        <v>3277320.1399999997</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3277320.1399999997</v>
      </c>
      <c r="H36" s="37" t="s">
        <v>48</v>
      </c>
      <c r="I36" s="38">
        <f>Consolidated!H53</f>
        <v>7.1400000000000005E-2</v>
      </c>
      <c r="J36" s="120">
        <f>ROUND(G36*I36,2)</f>
        <v>234000.66</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3277320.1399999997</v>
      </c>
      <c r="H37" s="37" t="s">
        <v>48</v>
      </c>
      <c r="I37" s="38">
        <f>Consolidated!H54</f>
        <v>1.06E-2</v>
      </c>
      <c r="J37" s="120">
        <f>ROUND(G37*I37,2)</f>
        <v>34739.589999999997</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268740.25</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v>
      </c>
      <c r="D44" s="776">
        <f>SUMIFS('ESE FTE'!G:G,'ESE FTE'!$A:$A,$I$2,'ESE FTE'!$E:$E,9)</f>
        <v>1.45</v>
      </c>
      <c r="E44" s="1073">
        <f t="shared" si="8"/>
        <v>2.4500000000000002</v>
      </c>
      <c r="F44" s="1073"/>
      <c r="G44" s="47" t="s">
        <v>58</v>
      </c>
      <c r="H44" s="37">
        <v>251</v>
      </c>
      <c r="I44" s="125">
        <f>Consolidated!$H62</f>
        <v>1173</v>
      </c>
      <c r="J44" s="532">
        <f t="shared" si="9"/>
        <v>2873.85</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532">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44.96</v>
      </c>
      <c r="D47" s="122">
        <f>SUMIFS('ESE FTE'!G:G,'ESE FTE'!$A:$A,$I$2,'ESE FTE'!$E:$E,12)</f>
        <v>54.07</v>
      </c>
      <c r="E47" s="1073">
        <f t="shared" si="8"/>
        <v>99.03</v>
      </c>
      <c r="F47" s="1073"/>
      <c r="G47" s="47" t="s">
        <v>59</v>
      </c>
      <c r="H47" s="37">
        <v>251</v>
      </c>
      <c r="I47" s="125">
        <f>Consolidated!$H65</f>
        <v>835</v>
      </c>
      <c r="J47" s="532">
        <f t="shared" si="9"/>
        <v>82690.05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3.8</v>
      </c>
      <c r="D48" s="122">
        <f>SUMIFS('ESE FTE'!G:G,'ESE FTE'!$A:$A,$I$2,'ESE FTE'!$E:$E,13)</f>
        <v>4.58</v>
      </c>
      <c r="E48" s="1073">
        <f t="shared" si="8"/>
        <v>8.379999999999999</v>
      </c>
      <c r="F48" s="1073"/>
      <c r="G48" s="47" t="s">
        <v>59</v>
      </c>
      <c r="H48" s="37">
        <v>252</v>
      </c>
      <c r="I48" s="125">
        <f>Consolidated!$H66</f>
        <v>3168</v>
      </c>
      <c r="J48" s="532">
        <f t="shared" si="9"/>
        <v>26547.84</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49.76</v>
      </c>
      <c r="D50" s="774">
        <f>SUM(D41:D49)</f>
        <v>60.1</v>
      </c>
      <c r="E50" s="1075">
        <f>SUM(E41:E49)</f>
        <v>109.86</v>
      </c>
      <c r="F50" s="1075"/>
      <c r="G50" s="1030" t="s">
        <v>61</v>
      </c>
      <c r="H50" s="1030"/>
      <c r="I50" s="1030"/>
      <c r="J50" s="220">
        <f>SUM(J41:J49)</f>
        <v>112111.74</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597.86</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2.8630000000000001E-3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582.44979999999998</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2.6289999999999998E-3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597.86</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3.3990000000000001E-3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597.86</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2.8670000000000002E-3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597.86</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3.405E-3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2.8670000000000002E-3</v>
      </c>
      <c r="J68" s="127">
        <f>ROUND(G68*I68,2)</f>
        <v>131499.87</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2.8630000000000001E-3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3.405E-3</v>
      </c>
      <c r="J71" s="127">
        <f>ROUND(G71*I71,2)</f>
        <v>64131.21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3.3990000000000001E-3</v>
      </c>
      <c r="J72" s="127">
        <f>ROUND(G72*I72,2)</f>
        <v>38157.279999999999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7.5</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7.5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5.8100000000000003E-4</v>
      </c>
      <c r="J84" s="654">
        <f>ROUND(G84*I84,2)</f>
        <v>33990.120000000003</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2.6289999999999998E-3</v>
      </c>
      <c r="J85" s="654">
        <f>ROUND(G85*I85,2)</f>
        <v>746360.46</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2.6289999999999998E-3</v>
      </c>
      <c r="J86" s="654">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2.8630000000000001E-3</v>
      </c>
      <c r="J87" s="654">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10.23</v>
      </c>
      <c r="C91" s="80"/>
      <c r="D91" s="981">
        <f>I6</f>
        <v>1.0309999999999999</v>
      </c>
      <c r="E91" s="981"/>
      <c r="F91" s="981"/>
      <c r="G91" s="113">
        <f>Consolidated!F$119</f>
        <v>918.1</v>
      </c>
      <c r="H91" s="47" t="s">
        <v>66</v>
      </c>
      <c r="I91" s="532">
        <f>ROUND(B91*D91*G91,2)</f>
        <v>9683.32</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572.21979999999996</v>
      </c>
      <c r="C92" s="80"/>
      <c r="D92" s="981">
        <f>I6</f>
        <v>1.0309999999999999</v>
      </c>
      <c r="E92" s="981"/>
      <c r="F92" s="981"/>
      <c r="G92" s="113">
        <f>Consolidated!F$120</f>
        <v>920.31</v>
      </c>
      <c r="H92" s="47" t="s">
        <v>66</v>
      </c>
      <c r="I92" s="532">
        <f>ROUND(B92*D92*G92,2)</f>
        <v>542944.81000000006</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582.44979999999998</v>
      </c>
      <c r="C93" s="80"/>
      <c r="D93" s="80"/>
      <c r="E93" s="1059" t="s">
        <v>110</v>
      </c>
      <c r="F93" s="1059"/>
      <c r="G93" s="1059"/>
      <c r="H93" s="1059"/>
      <c r="I93" s="1059"/>
      <c r="J93" s="116">
        <f>IF(A1=75,0,I92+I91+I90)</f>
        <v>552628.13</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134</v>
      </c>
      <c r="D97" s="223">
        <v>1E-3</v>
      </c>
      <c r="E97" s="1103">
        <f>IF(D97&gt;0,(C97+D97)/2,C97)</f>
        <v>67.000500000000002</v>
      </c>
      <c r="F97" s="982"/>
      <c r="G97" s="982"/>
      <c r="H97" s="85" t="s">
        <v>115</v>
      </c>
      <c r="I97" s="119">
        <f>Consolidated!G$127</f>
        <v>583</v>
      </c>
      <c r="J97" s="127">
        <f>ROUND(I97*E97,2)</f>
        <v>39061.29</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4995260.24</v>
      </c>
      <c r="L107" s="533"/>
      <c r="R107" s="1015" t="s">
        <v>123</v>
      </c>
      <c r="S107" s="1015"/>
      <c r="T107" s="1015"/>
      <c r="U107" s="1015"/>
      <c r="V107" s="1015"/>
      <c r="W107" s="1015"/>
      <c r="X107" s="1015"/>
      <c r="Y107" s="208">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4726519.99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4726519.99</v>
      </c>
      <c r="J114" s="234">
        <f>ROUND(IF(E28=0,0,IF(E28&gt;250,-(((250/E28)*I114)*IF(H114="H",0.02,0.05)),IF(H114="H",-0.02*I114,-0.05*I114))),2)</f>
        <v>-98821.63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4896438.6100000003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Payments'!R97</f>
        <v>-858156.52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4038282.0900000003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403828.21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137504.37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35"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499</v>
      </c>
      <c r="B2" s="101"/>
      <c r="C2" s="101"/>
      <c r="D2" s="101"/>
      <c r="E2" s="6"/>
      <c r="F2" s="6"/>
      <c r="G2" s="6"/>
      <c r="H2" s="6"/>
      <c r="I2" s="685" t="str">
        <f>RIGHT(A2,4)</f>
        <v>3431</v>
      </c>
      <c r="J2" s="6"/>
      <c r="K2" s="6"/>
      <c r="L2" s="6"/>
      <c r="M2" s="6"/>
      <c r="N2" s="6"/>
      <c r="O2" s="6"/>
      <c r="P2" s="6"/>
      <c r="Q2" s="6"/>
      <c r="R2" s="987" t="str">
        <f>Revenue_Estimate_Worksheet_for___________Charter_School</f>
        <v>Revenue Estimate Worksheet: Renaissance Charter School at West Palm Beach - 3431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185.53</v>
      </c>
      <c r="D12" s="699">
        <f>SUMIFS('Surv2-3'!K:K,'Surv2-3'!$H:$H,$I$2,'Surv2-3'!$I:$I,$O12)</f>
        <v>179.55</v>
      </c>
      <c r="E12" s="1081">
        <f t="shared" ref="E12:E27" si="0">IF($D$28=0,C12*2,C12+D12)</f>
        <v>365.08000000000004</v>
      </c>
      <c r="F12" s="1081"/>
      <c r="G12" s="1096">
        <f>Consolidated!$F14</f>
        <v>1.107</v>
      </c>
      <c r="H12" s="1096">
        <f>Consolidated!$H$9</f>
        <v>1</v>
      </c>
      <c r="I12" s="534">
        <f>ROUND(E12*G12,4)</f>
        <v>404.14359999999999</v>
      </c>
      <c r="J12" s="535">
        <f t="shared" ref="J12:J27" si="1">ROUND(ROUND(ROUND(I12*$E$6,4)*($I$6),2)*(MAX($I$7,1)),2)</f>
        <v>2274029.39</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26.5</v>
      </c>
      <c r="D13" s="389">
        <f>SUMIFS('Surv2-3'!K:K,'Surv2-3'!$H:$H,$I$2,'Surv2-3'!$I:$I,$O13)</f>
        <v>32</v>
      </c>
      <c r="E13" s="1080">
        <f t="shared" si="0"/>
        <v>58.5</v>
      </c>
      <c r="F13" s="1080"/>
      <c r="G13" s="1086">
        <f>Consolidated!$F15</f>
        <v>1.107</v>
      </c>
      <c r="H13" s="1086">
        <f>Consolidated!$H$9</f>
        <v>1</v>
      </c>
      <c r="I13" s="534">
        <f t="shared" ref="I13:I27" si="3">ROUND(E13*G13,4)</f>
        <v>64.759500000000003</v>
      </c>
      <c r="J13" s="535">
        <f t="shared" si="1"/>
        <v>364387.82</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208.16</v>
      </c>
      <c r="D14" s="389">
        <f>SUMIFS('Surv2-3'!L:L,'Surv2-3'!$H:$H,$I$2,'Surv2-3'!$I:$I,$O14)</f>
        <v>203.46999999999997</v>
      </c>
      <c r="E14" s="1080">
        <f t="shared" si="0"/>
        <v>411.63</v>
      </c>
      <c r="F14" s="1080"/>
      <c r="G14" s="1086">
        <f>Consolidated!$F16</f>
        <v>1</v>
      </c>
      <c r="H14" s="1086">
        <f>Consolidated!$H$9</f>
        <v>1</v>
      </c>
      <c r="I14" s="534">
        <f t="shared" si="3"/>
        <v>411.63</v>
      </c>
      <c r="J14" s="535">
        <f>ROUND(ROUND(ROUND(I14*$E$6,4)*($I$6),2)*(MAX($I$7,1)),2)</f>
        <v>2316153.7599999998</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42.5</v>
      </c>
      <c r="D15" s="389">
        <f>SUMIFS('Surv2-3'!L:L,'Surv2-3'!$H:$H,$I$2,'Surv2-3'!$I:$I,$O15)</f>
        <v>42.480000000000004</v>
      </c>
      <c r="E15" s="1080">
        <f t="shared" si="0"/>
        <v>84.98</v>
      </c>
      <c r="F15" s="1080"/>
      <c r="G15" s="1086">
        <f>Consolidated!$F17</f>
        <v>1</v>
      </c>
      <c r="H15" s="1086">
        <f>Consolidated!$H$9</f>
        <v>1</v>
      </c>
      <c r="I15" s="534">
        <f t="shared" si="3"/>
        <v>84.98</v>
      </c>
      <c r="J15" s="535">
        <f t="shared" si="1"/>
        <v>478164.24</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33.97</v>
      </c>
      <c r="D24" s="389">
        <f>SUMIFS('Surv2-3'!K:K,'Surv2-3'!$H:$H,$I$2,'Surv2-3'!$I:$I,$O24)</f>
        <v>32.720000000000006</v>
      </c>
      <c r="E24" s="1080">
        <f t="shared" si="0"/>
        <v>66.69</v>
      </c>
      <c r="F24" s="1080"/>
      <c r="G24" s="1086">
        <f>Consolidated!$F26</f>
        <v>1.161</v>
      </c>
      <c r="H24" s="1086">
        <f>Consolidated!$H$9</f>
        <v>1</v>
      </c>
      <c r="I24" s="534">
        <f t="shared" si="3"/>
        <v>77.427099999999996</v>
      </c>
      <c r="J24" s="535">
        <f t="shared" si="1"/>
        <v>435665.69</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5.34</v>
      </c>
      <c r="D25" s="389">
        <f>SUMIFS('Surv2-3'!L:L,'Surv2-3'!$H:$H,$I$2,'Surv2-3'!$I:$I,$O25)</f>
        <v>5.39</v>
      </c>
      <c r="E25" s="1080">
        <f t="shared" si="0"/>
        <v>10.73</v>
      </c>
      <c r="F25" s="1080"/>
      <c r="G25" s="1086">
        <f>Consolidated!$F27</f>
        <v>1.161</v>
      </c>
      <c r="H25" s="1086">
        <f>Consolidated!$H$9</f>
        <v>1</v>
      </c>
      <c r="I25" s="534">
        <f t="shared" si="3"/>
        <v>12.4575</v>
      </c>
      <c r="J25" s="535">
        <f t="shared" si="1"/>
        <v>70095.679999999993</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501.99999999999994</v>
      </c>
      <c r="D28" s="773">
        <f>SUM(D12:D27)</f>
        <v>495.61</v>
      </c>
      <c r="E28" s="1085">
        <f>SUM(E12:E27)</f>
        <v>997.61000000000013</v>
      </c>
      <c r="F28" s="1085"/>
      <c r="G28" s="1080"/>
      <c r="H28" s="1080"/>
      <c r="I28" s="23">
        <f>SUM(I12:I27)</f>
        <v>1055.3977</v>
      </c>
      <c r="J28" s="116">
        <f>SUM(J12:J27)</f>
        <v>5938496.5800000001</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1055.3977</v>
      </c>
      <c r="H33" s="1080" t="s">
        <v>45</v>
      </c>
      <c r="I33" s="1080"/>
      <c r="J33" s="32">
        <f>SUM(J32,J28)</f>
        <v>5938496.5800000001</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5938496.5800000001</v>
      </c>
      <c r="H36" s="37" t="s">
        <v>48</v>
      </c>
      <c r="I36" s="38">
        <f>Consolidated!H53</f>
        <v>7.1400000000000005E-2</v>
      </c>
      <c r="J36" s="120">
        <f>ROUND(G36*I36,2)</f>
        <v>424008.66</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5938496.5800000001</v>
      </c>
      <c r="H37" s="37" t="s">
        <v>48</v>
      </c>
      <c r="I37" s="38">
        <f>Consolidated!H54</f>
        <v>1.06E-2</v>
      </c>
      <c r="J37" s="120">
        <f>ROUND(G37*I37,2)</f>
        <v>62948.06</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486956.72</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23.63</v>
      </c>
      <c r="D41" s="776">
        <f>SUMIFS('ESE FTE'!G:G,'ESE FTE'!$A:$A,$I$2,'ESE FTE'!$E:$E,6)</f>
        <v>28.53</v>
      </c>
      <c r="E41" s="1073">
        <f t="shared" ref="E41:E49" si="8">IF($D$50=0,C41*2,C41+D41)</f>
        <v>52.16</v>
      </c>
      <c r="F41" s="1073"/>
      <c r="G41" s="37" t="s">
        <v>57</v>
      </c>
      <c r="H41" s="37">
        <v>251</v>
      </c>
      <c r="I41" s="125">
        <f>Consolidated!$H59</f>
        <v>1047</v>
      </c>
      <c r="J41" s="532">
        <f t="shared" ref="J41:J49" si="9">ROUND(E41*I41,2)</f>
        <v>54611.519999999997</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2.87</v>
      </c>
      <c r="D42" s="122">
        <f>SUMIFS('ESE FTE'!G:G,'ESE FTE'!$A:$A,$I$2,'ESE FTE'!$E:$E,7)</f>
        <v>3.47</v>
      </c>
      <c r="E42" s="1073">
        <f t="shared" si="8"/>
        <v>6.34</v>
      </c>
      <c r="F42" s="1073"/>
      <c r="G42" s="37" t="s">
        <v>57</v>
      </c>
      <c r="H42" s="37">
        <v>252</v>
      </c>
      <c r="I42" s="125">
        <f>Consolidated!$H60</f>
        <v>3380</v>
      </c>
      <c r="J42" s="532">
        <f t="shared" si="9"/>
        <v>21429.200000000001</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36.08</v>
      </c>
      <c r="D44" s="776">
        <f>SUMIFS('ESE FTE'!G:G,'ESE FTE'!$A:$A,$I$2,'ESE FTE'!$E:$E,9)</f>
        <v>36.07</v>
      </c>
      <c r="E44" s="1073">
        <f t="shared" si="8"/>
        <v>72.150000000000006</v>
      </c>
      <c r="F44" s="1073"/>
      <c r="G44" s="47" t="s">
        <v>58</v>
      </c>
      <c r="H44" s="37">
        <v>251</v>
      </c>
      <c r="I44" s="125">
        <f>Consolidated!$H62</f>
        <v>1173</v>
      </c>
      <c r="J44" s="532">
        <f t="shared" si="9"/>
        <v>84631.95</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6.42</v>
      </c>
      <c r="D45" s="122">
        <f>SUMIFS('ESE FTE'!G:G,'ESE FTE'!$A:$A,$I$2,'ESE FTE'!$E:$E,10)</f>
        <v>6.41</v>
      </c>
      <c r="E45" s="1073">
        <f t="shared" si="8"/>
        <v>12.83</v>
      </c>
      <c r="F45" s="1073"/>
      <c r="G45" s="47" t="s">
        <v>58</v>
      </c>
      <c r="H45" s="37">
        <v>252</v>
      </c>
      <c r="I45" s="125">
        <f>Consolidated!$H63</f>
        <v>3506</v>
      </c>
      <c r="J45" s="532">
        <f t="shared" si="9"/>
        <v>44981.98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69</v>
      </c>
      <c r="D50" s="774">
        <f>SUM(D41:D49)</f>
        <v>74.47999999999999</v>
      </c>
      <c r="E50" s="1075">
        <f>SUM(E41:E49)</f>
        <v>143.48000000000002</v>
      </c>
      <c r="F50" s="1075"/>
      <c r="G50" s="1030" t="s">
        <v>61</v>
      </c>
      <c r="H50" s="1030"/>
      <c r="I50" s="1030"/>
      <c r="J50" s="220">
        <f>SUM(J41:J49)</f>
        <v>205654.65</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997.61000000000013</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4.777E-3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1055.3977</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4.764E-3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997.61000000000013</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5.6709999999999998E-3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997.61000000000013</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4.7840000000000001E-3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997.61000000000013</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5.6810000000000003E-3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4.7840000000000001E-3</v>
      </c>
      <c r="J68" s="127">
        <f>ROUND(G68*I68,2)</f>
        <v>219426.36</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4.777E-3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5.6810000000000003E-3</v>
      </c>
      <c r="J71" s="127">
        <f>ROUND(G71*I71,2)</f>
        <v>106998.36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5.6709999999999998E-3</v>
      </c>
      <c r="J72" s="127">
        <f>ROUND(G72*I72,2)</f>
        <v>63662.82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4.764E-3</v>
      </c>
      <c r="J85" s="127">
        <f>ROUND(G85*I85,2)</f>
        <v>1352476.69</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4.764E-3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4.777E-3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546.33019999999999</v>
      </c>
      <c r="C90" s="80"/>
      <c r="D90" s="981">
        <f>I6</f>
        <v>1.0309999999999999</v>
      </c>
      <c r="E90" s="981"/>
      <c r="F90" s="981"/>
      <c r="G90" s="113">
        <f>Consolidated!F$118</f>
        <v>961.57</v>
      </c>
      <c r="H90" s="47" t="s">
        <v>66</v>
      </c>
      <c r="I90" s="532">
        <f>ROUND(B90*D90*G90,2)</f>
        <v>541620.11</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509.0675</v>
      </c>
      <c r="C91" s="80"/>
      <c r="D91" s="981">
        <f>I6</f>
        <v>1.0309999999999999</v>
      </c>
      <c r="E91" s="981"/>
      <c r="F91" s="981"/>
      <c r="G91" s="113">
        <f>Consolidated!F$119</f>
        <v>918.1</v>
      </c>
      <c r="H91" s="47" t="s">
        <v>66</v>
      </c>
      <c r="I91" s="532">
        <f>ROUND(B91*D91*G91,2)</f>
        <v>481863.49</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1055.3977</v>
      </c>
      <c r="C93" s="80"/>
      <c r="D93" s="80"/>
      <c r="E93" s="1059" t="s">
        <v>110</v>
      </c>
      <c r="F93" s="1059"/>
      <c r="G93" s="1059"/>
      <c r="H93" s="1059"/>
      <c r="I93" s="1059"/>
      <c r="J93" s="116">
        <f>IF(A1=75,0,I92+I91+I90)</f>
        <v>1023483.6</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34</v>
      </c>
      <c r="D97" s="223">
        <v>37</v>
      </c>
      <c r="E97" s="1103">
        <f>IF(D97&gt;0,(C97+D97)/2,C97)</f>
        <v>35.5</v>
      </c>
      <c r="F97" s="982"/>
      <c r="G97" s="982"/>
      <c r="H97" s="85" t="s">
        <v>115</v>
      </c>
      <c r="I97" s="119">
        <f>Consolidated!G$127</f>
        <v>583</v>
      </c>
      <c r="J97" s="127">
        <f>ROUND(I97*E97,2)</f>
        <v>20696.5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8930895.5600000005</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8443938.8399999999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t="s">
        <v>478</v>
      </c>
      <c r="I114" s="639">
        <f>IF(I111=1,J111,J109)</f>
        <v>8443938.8399999999</v>
      </c>
      <c r="J114" s="640">
        <f>ROUND(IF(E28=0,0,IF(E28&gt;250,-(((250/E28)*I114)*IF(H114="H",0.02,0.05)),IF(H114="H",-0.02*I114,-0.05*I114))),2)</f>
        <v>-42320.84</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8888574.7200000007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Payments'!R98</f>
        <v>-1483083.4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7405491.3200000003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740549.13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126557.94</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642"/>
      <c r="I127" s="651"/>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40"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6" t="s">
        <v>500</v>
      </c>
      <c r="B2" s="101"/>
      <c r="C2" s="101"/>
      <c r="D2" s="101"/>
      <c r="E2" s="6"/>
      <c r="F2" s="6"/>
      <c r="G2" s="6"/>
      <c r="H2" s="6"/>
      <c r="I2" s="685" t="str">
        <f>RIGHT(A2,4)</f>
        <v>3441</v>
      </c>
      <c r="J2" s="6"/>
      <c r="K2" s="6"/>
      <c r="L2" s="6"/>
      <c r="M2" s="6"/>
      <c r="N2" s="6"/>
      <c r="O2" s="6"/>
      <c r="P2" s="6"/>
      <c r="Q2" s="6"/>
      <c r="R2" s="987" t="str">
        <f>Revenue_Estimate_Worksheet_for___________Charter_School</f>
        <v>Revenue Estimate Worksheet: SouthTech Preparatory Academy - 3441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217.6</v>
      </c>
      <c r="D14" s="389">
        <f>SUMIFS('Surv2-3'!L:L,'Surv2-3'!$H:$H,$I$2,'Surv2-3'!$I:$I,$O14)</f>
        <v>217.62</v>
      </c>
      <c r="E14" s="1080">
        <f t="shared" si="0"/>
        <v>435.22</v>
      </c>
      <c r="F14" s="1080"/>
      <c r="G14" s="1086">
        <f>Consolidated!$F16</f>
        <v>1</v>
      </c>
      <c r="H14" s="1086">
        <f>Consolidated!$H$9</f>
        <v>1</v>
      </c>
      <c r="I14" s="534">
        <f t="shared" si="3"/>
        <v>435.22</v>
      </c>
      <c r="J14" s="535">
        <f>ROUND(ROUND(ROUND(I14*$E$6,4)*($I$6),2)*(MAX($I$7,1)),2)</f>
        <v>2448889.63</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36</v>
      </c>
      <c r="D15" s="389">
        <f>SUMIFS('Surv2-3'!L:L,'Surv2-3'!$H:$H,$I$2,'Surv2-3'!$I:$I,$O15)</f>
        <v>35</v>
      </c>
      <c r="E15" s="1080">
        <f t="shared" si="0"/>
        <v>71</v>
      </c>
      <c r="F15" s="1080"/>
      <c r="G15" s="1086">
        <f>Consolidated!$F17</f>
        <v>1</v>
      </c>
      <c r="H15" s="1086">
        <f>Consolidated!$H$9</f>
        <v>1</v>
      </c>
      <c r="I15" s="534">
        <f t="shared" si="3"/>
        <v>71</v>
      </c>
      <c r="J15" s="535">
        <f t="shared" si="1"/>
        <v>399501.78</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8.3000000000000007</v>
      </c>
      <c r="D25" s="389">
        <f>SUMIFS('Surv2-3'!L:L,'Surv2-3'!$H:$H,$I$2,'Surv2-3'!$I:$I,$O25)</f>
        <v>8.25</v>
      </c>
      <c r="E25" s="1080">
        <f t="shared" si="0"/>
        <v>16.55</v>
      </c>
      <c r="F25" s="1080"/>
      <c r="G25" s="1086">
        <f>Consolidated!$F27</f>
        <v>1.161</v>
      </c>
      <c r="H25" s="1086">
        <f>Consolidated!$H$9</f>
        <v>1</v>
      </c>
      <c r="I25" s="534">
        <f t="shared" si="3"/>
        <v>19.214600000000001</v>
      </c>
      <c r="J25" s="535">
        <f t="shared" si="1"/>
        <v>108116.43</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261.89999999999998</v>
      </c>
      <c r="D28" s="773">
        <f>SUM(D12:D27)</f>
        <v>260.87</v>
      </c>
      <c r="E28" s="1085">
        <f>SUM(E12:E27)</f>
        <v>522.77</v>
      </c>
      <c r="F28" s="1085"/>
      <c r="G28" s="1080"/>
      <c r="H28" s="1080"/>
      <c r="I28" s="23">
        <f>SUM(I12:I27)</f>
        <v>525.43460000000005</v>
      </c>
      <c r="J28" s="116">
        <f>SUM(J12:J27)</f>
        <v>2956507.8400000003</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525.43460000000005</v>
      </c>
      <c r="H33" s="1080" t="s">
        <v>45</v>
      </c>
      <c r="I33" s="1080"/>
      <c r="J33" s="32">
        <f>SUM(J32,J28)</f>
        <v>2956507.8400000003</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2956507.8400000003</v>
      </c>
      <c r="H36" s="37" t="s">
        <v>48</v>
      </c>
      <c r="I36" s="38">
        <f>Consolidated!H53</f>
        <v>7.1400000000000005E-2</v>
      </c>
      <c r="J36" s="120">
        <f>ROUND(G36*I36,2)</f>
        <v>211094.66</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2956507.8400000003</v>
      </c>
      <c r="H37" s="37" t="s">
        <v>48</v>
      </c>
      <c r="I37" s="38">
        <f>Consolidated!H54</f>
        <v>1.06E-2</v>
      </c>
      <c r="J37" s="120">
        <f>ROUND(G37*I37,2)</f>
        <v>31338.98</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242433.64</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34.479999999999997</v>
      </c>
      <c r="D44" s="776">
        <f>SUMIFS('ESE FTE'!G:G,'ESE FTE'!$A:$A,$I$2,'ESE FTE'!$E:$E,9)</f>
        <v>33.520000000000003</v>
      </c>
      <c r="E44" s="1073">
        <f t="shared" si="8"/>
        <v>68</v>
      </c>
      <c r="F44" s="1073"/>
      <c r="G44" s="47" t="s">
        <v>58</v>
      </c>
      <c r="H44" s="37">
        <v>251</v>
      </c>
      <c r="I44" s="125">
        <f>Consolidated!$H62</f>
        <v>1173</v>
      </c>
      <c r="J44" s="532">
        <f t="shared" si="9"/>
        <v>79764</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1.52</v>
      </c>
      <c r="D45" s="122">
        <f>SUMIFS('ESE FTE'!G:G,'ESE FTE'!$A:$A,$I$2,'ESE FTE'!$E:$E,10)</f>
        <v>1.48</v>
      </c>
      <c r="E45" s="1073">
        <f t="shared" si="8"/>
        <v>3</v>
      </c>
      <c r="F45" s="1073"/>
      <c r="G45" s="47" t="s">
        <v>58</v>
      </c>
      <c r="H45" s="37">
        <v>252</v>
      </c>
      <c r="I45" s="125">
        <f>Consolidated!$H63</f>
        <v>3506</v>
      </c>
      <c r="J45" s="532">
        <f t="shared" si="9"/>
        <v>10518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36</v>
      </c>
      <c r="D50" s="774">
        <f>SUM(D41:D49)</f>
        <v>35</v>
      </c>
      <c r="E50" s="1075">
        <f>SUM(E41:E49)</f>
        <v>71</v>
      </c>
      <c r="F50" s="1075"/>
      <c r="G50" s="1030" t="s">
        <v>61</v>
      </c>
      <c r="H50" s="1030"/>
      <c r="I50" s="1030"/>
      <c r="J50" s="220">
        <f>SUM(J41:J49)</f>
        <v>90282</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522.77</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2.503E-3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v>0</v>
      </c>
      <c r="U55" s="173" t="s">
        <v>64</v>
      </c>
      <c r="V55" s="174"/>
      <c r="W55" s="175" t="s">
        <v>69</v>
      </c>
      <c r="X55" s="1037">
        <f>I56</f>
        <v>221542.28000000003</v>
      </c>
      <c r="Y55" s="1037"/>
    </row>
    <row r="56" spans="1:25" ht="16.5" customHeight="1" x14ac:dyDescent="0.25">
      <c r="A56" s="1013" t="s">
        <v>68</v>
      </c>
      <c r="B56" s="1013"/>
      <c r="C56" s="51"/>
      <c r="D56" s="51"/>
      <c r="E56" s="48">
        <f>G33</f>
        <v>525.43460000000005</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2.372E-3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522.77</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2.9719999999999998E-3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522.77</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2.5070000000000001E-3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522.77</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2.977E-3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2.5070000000000001E-3</v>
      </c>
      <c r="J68" s="127">
        <f>ROUND(G68*I68,2)</f>
        <v>114987.85</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2.503E-3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2.977E-3</v>
      </c>
      <c r="J71" s="127">
        <f>ROUND(G71*I71,2)</f>
        <v>56070.080000000002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2.9719999999999998E-3</v>
      </c>
      <c r="J72" s="127">
        <f>ROUND(G72*I72,2)</f>
        <v>33363.760000000002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16.100000000000001</v>
      </c>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16.100000000000001</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1.248E-3</v>
      </c>
      <c r="J84" s="62">
        <f>ROUND(G84*I84,2)</f>
        <v>73011.48</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2.372E-3</v>
      </c>
      <c r="J85" s="127">
        <f>ROUND(G85*I85,2)</f>
        <v>673399.4</v>
      </c>
      <c r="K85" s="70"/>
      <c r="L85" s="70"/>
      <c r="M85" s="71"/>
      <c r="N85" s="70"/>
      <c r="O85" s="70"/>
      <c r="P85" s="70"/>
      <c r="Q85" s="70"/>
      <c r="R85" s="1015" t="s">
        <v>166</v>
      </c>
      <c r="S85" s="1015"/>
      <c r="T85" s="1015"/>
      <c r="U85" s="158"/>
      <c r="V85" s="160">
        <f>G85</f>
        <v>283895192</v>
      </c>
      <c r="W85" s="162" t="s">
        <v>79</v>
      </c>
      <c r="X85" s="165">
        <f>X56</f>
        <v>0</v>
      </c>
      <c r="Y85" s="212">
        <f>ROUND(V85*X85,2)</f>
        <v>0</v>
      </c>
    </row>
    <row r="86" spans="1:26" ht="14.25" customHeight="1" x14ac:dyDescent="0.25">
      <c r="A86" s="1012" t="s">
        <v>102</v>
      </c>
      <c r="B86" s="1012"/>
      <c r="C86" s="1012"/>
      <c r="D86" s="1012"/>
      <c r="E86" s="1012"/>
      <c r="F86" s="36" t="s">
        <v>101</v>
      </c>
      <c r="G86" s="128">
        <v>0</v>
      </c>
      <c r="H86" s="37" t="s">
        <v>79</v>
      </c>
      <c r="I86" s="41">
        <f>I57</f>
        <v>2.372E-3</v>
      </c>
      <c r="J86" s="127">
        <f>ROUND(G86*I86,2)</f>
        <v>0</v>
      </c>
      <c r="K86" s="70"/>
      <c r="L86" s="71"/>
      <c r="M86" s="76"/>
      <c r="N86" s="76"/>
      <c r="O86" s="76"/>
      <c r="P86" s="76"/>
      <c r="Q86" s="70"/>
      <c r="R86" s="1015" t="s">
        <v>167</v>
      </c>
      <c r="S86" s="1015"/>
      <c r="T86" s="1015"/>
      <c r="U86" s="158"/>
      <c r="V86" s="192">
        <f>G86</f>
        <v>0</v>
      </c>
      <c r="W86" s="162" t="s">
        <v>79</v>
      </c>
      <c r="X86" s="165">
        <f>X56</f>
        <v>0</v>
      </c>
      <c r="Y86" s="212">
        <f t="shared" ref="Y86:Y87" si="12">ROUND(V86*X86,2)</f>
        <v>0</v>
      </c>
    </row>
    <row r="87" spans="1:26" ht="18" customHeight="1" x14ac:dyDescent="0.25">
      <c r="A87" s="1012" t="s">
        <v>103</v>
      </c>
      <c r="B87" s="1012"/>
      <c r="C87" s="1012"/>
      <c r="D87" s="1012"/>
      <c r="E87" s="1012"/>
      <c r="F87" s="36" t="s">
        <v>82</v>
      </c>
      <c r="G87" s="128">
        <v>0</v>
      </c>
      <c r="H87" s="37" t="s">
        <v>79</v>
      </c>
      <c r="I87" s="41">
        <f>I54</f>
        <v>2.503E-3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525.43460000000005</v>
      </c>
      <c r="C91" s="80"/>
      <c r="D91" s="981">
        <f>I6</f>
        <v>1.0309999999999999</v>
      </c>
      <c r="E91" s="981"/>
      <c r="F91" s="981"/>
      <c r="G91" s="113">
        <f>Consolidated!F$119</f>
        <v>918.1</v>
      </c>
      <c r="H91" s="47" t="s">
        <v>66</v>
      </c>
      <c r="I91" s="532">
        <f>ROUND(B91*D91*G91,2)</f>
        <v>497355.95</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525.43460000000005</v>
      </c>
      <c r="C93" s="80"/>
      <c r="D93" s="80"/>
      <c r="E93" s="1059" t="s">
        <v>110</v>
      </c>
      <c r="F93" s="1059"/>
      <c r="G93" s="1059"/>
      <c r="H93" s="1059"/>
      <c r="I93" s="1059"/>
      <c r="J93" s="116">
        <f>IF(A1=75,0,I92+I91+I90)</f>
        <v>497355.95</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350</v>
      </c>
      <c r="D97" s="223">
        <v>343</v>
      </c>
      <c r="E97" s="1103">
        <f>IF(D97&gt;0,(C97+D97)/2,C97)</f>
        <v>346.5</v>
      </c>
      <c r="F97" s="982"/>
      <c r="G97" s="982"/>
      <c r="H97" s="85" t="s">
        <v>115</v>
      </c>
      <c r="I97" s="119">
        <f>Consolidated!G$127</f>
        <v>583</v>
      </c>
      <c r="J97" s="127">
        <f>ROUND(I97*E97,2)</f>
        <v>202009.5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4696987.8600000013</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4454554.2200000016</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t="s">
        <v>478</v>
      </c>
      <c r="I114" s="233">
        <f>IF(I111=1,J111,J109)</f>
        <v>4454554.2200000016</v>
      </c>
      <c r="J114" s="234">
        <f>ROUND(IF(E28=0,0,IF(E28&gt;250,-(((250/E28)*I114)*IF(H114="H",0.02,0.05)),IF(H114="H",-0.02*I114,-0.05*I114))),2)</f>
        <v>-42605.3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4654382.5600000015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Payments'!R99</f>
        <v>-782392.96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3871989.6000000015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387198.96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46485.78</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28" workbookViewId="0">
      <selection activeCell="G37" sqref="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501</v>
      </c>
      <c r="B2" s="101"/>
      <c r="C2" s="101"/>
      <c r="D2" s="101"/>
      <c r="E2" s="6"/>
      <c r="F2" s="6"/>
      <c r="G2" s="6"/>
      <c r="H2" s="6"/>
      <c r="I2" s="685" t="str">
        <f>RIGHT(A2,4)</f>
        <v>3924</v>
      </c>
      <c r="J2" s="6"/>
      <c r="K2" s="6"/>
      <c r="L2" s="6"/>
      <c r="M2" s="6"/>
      <c r="N2" s="6"/>
      <c r="O2" s="6"/>
      <c r="P2" s="6"/>
      <c r="Q2" s="6"/>
      <c r="R2" s="987" t="str">
        <f>Revenue_Estimate_Worksheet_for___________Charter_School</f>
        <v>Revenue Estimate Worksheet: Palm Beach Maritime Academy Secondary - 3924</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95.429999999999993</v>
      </c>
      <c r="D14" s="389">
        <f>SUMIFS('Surv2-3'!L:L,'Surv2-3'!$H:$H,$I$2,'Surv2-3'!$I:$I,$O14)</f>
        <v>92.91</v>
      </c>
      <c r="E14" s="1080">
        <f t="shared" si="0"/>
        <v>188.33999999999997</v>
      </c>
      <c r="F14" s="1080"/>
      <c r="G14" s="1086">
        <f>Consolidated!$F16</f>
        <v>1</v>
      </c>
      <c r="H14" s="1086">
        <f>Consolidated!$H$9</f>
        <v>1</v>
      </c>
      <c r="I14" s="534">
        <f t="shared" si="3"/>
        <v>188.34</v>
      </c>
      <c r="J14" s="535">
        <f>ROUND(ROUND(ROUND(I14*$E$6,4)*($I$6),2)*(MAX($I$7,1)),2)</f>
        <v>1059748.8</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27.5</v>
      </c>
      <c r="D15" s="389">
        <f>SUMIFS('Surv2-3'!L:L,'Surv2-3'!$H:$H,$I$2,'Surv2-3'!$I:$I,$O15)</f>
        <v>26</v>
      </c>
      <c r="E15" s="1080">
        <f t="shared" si="0"/>
        <v>53.5</v>
      </c>
      <c r="F15" s="1080"/>
      <c r="G15" s="1086">
        <f>Consolidated!$F17</f>
        <v>1</v>
      </c>
      <c r="H15" s="1086">
        <f>Consolidated!$H$9</f>
        <v>1</v>
      </c>
      <c r="I15" s="534">
        <f t="shared" si="3"/>
        <v>53.5</v>
      </c>
      <c r="J15" s="535">
        <f t="shared" si="1"/>
        <v>301033.03000000003</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55.34</v>
      </c>
      <c r="D16" s="389">
        <f>SUMIFS('Surv2-3'!M:M,'Surv2-3'!$H:$H,$I$2,'Surv2-3'!$I:$I,$O16)</f>
        <v>56.72</v>
      </c>
      <c r="E16" s="1080">
        <f t="shared" si="0"/>
        <v>112.06</v>
      </c>
      <c r="F16" s="1080"/>
      <c r="G16" s="1086">
        <f>Consolidated!$F18</f>
        <v>0.96499999999999997</v>
      </c>
      <c r="H16" s="1086">
        <f>Consolidated!$H$9</f>
        <v>1</v>
      </c>
      <c r="I16" s="534">
        <f t="shared" si="3"/>
        <v>108.1379</v>
      </c>
      <c r="J16" s="535">
        <f t="shared" si="1"/>
        <v>608468.78</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11.5</v>
      </c>
      <c r="D17" s="389">
        <f>SUMIFS('Surv2-3'!M:M,'Surv2-3'!$H:$H,$I$2,'Surv2-3'!$I:$I,$O17)</f>
        <v>10.969999999999999</v>
      </c>
      <c r="E17" s="1080">
        <f t="shared" si="0"/>
        <v>22.47</v>
      </c>
      <c r="F17" s="1080"/>
      <c r="G17" s="1086">
        <f>Consolidated!$F19</f>
        <v>0.96499999999999997</v>
      </c>
      <c r="H17" s="1086">
        <f>Consolidated!$H$9</f>
        <v>1</v>
      </c>
      <c r="I17" s="534">
        <f t="shared" si="3"/>
        <v>21.683599999999998</v>
      </c>
      <c r="J17" s="535">
        <f t="shared" si="1"/>
        <v>122008.97</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8.07</v>
      </c>
      <c r="D25" s="389">
        <f>SUMIFS('Surv2-3'!L:L,'Surv2-3'!$H:$H,$I$2,'Surv2-3'!$I:$I,$O25)</f>
        <v>8.5599999999999987</v>
      </c>
      <c r="E25" s="1080">
        <f t="shared" si="0"/>
        <v>16.63</v>
      </c>
      <c r="F25" s="1080"/>
      <c r="G25" s="1086">
        <f>Consolidated!$F27</f>
        <v>1.161</v>
      </c>
      <c r="H25" s="1086">
        <f>Consolidated!$H$9</f>
        <v>1</v>
      </c>
      <c r="I25" s="534">
        <f t="shared" si="3"/>
        <v>19.307400000000001</v>
      </c>
      <c r="J25" s="535">
        <f t="shared" si="1"/>
        <v>108638.6</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6.29</v>
      </c>
      <c r="D26" s="389">
        <f>SUMIFS('Surv2-3'!M:M,'Surv2-3'!$H:$H,$I$2,'Surv2-3'!$I:$I,$O26)</f>
        <v>6.07</v>
      </c>
      <c r="E26" s="1080">
        <f t="shared" si="0"/>
        <v>12.36</v>
      </c>
      <c r="F26" s="1080"/>
      <c r="G26" s="1086">
        <f>Consolidated!$F28</f>
        <v>1.161</v>
      </c>
      <c r="H26" s="1086">
        <f>Consolidated!$H$9</f>
        <v>1</v>
      </c>
      <c r="I26" s="534">
        <f t="shared" si="3"/>
        <v>14.35</v>
      </c>
      <c r="J26" s="535">
        <f t="shared" si="1"/>
        <v>80744.37</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0.78</v>
      </c>
      <c r="D27" s="390">
        <f>SUMIFS('Surv2-3'!J:J,'Surv2-3'!$H:$H,$I$2,'Surv2-3'!$I:$I,$O27)</f>
        <v>0.79</v>
      </c>
      <c r="E27" s="1082">
        <f t="shared" si="0"/>
        <v>1.57</v>
      </c>
      <c r="F27" s="1082"/>
      <c r="G27" s="1083">
        <f>Consolidated!$F29</f>
        <v>1.0900000000000001</v>
      </c>
      <c r="H27" s="1083">
        <f>Consolidated!$H$9</f>
        <v>1</v>
      </c>
      <c r="I27" s="22">
        <f t="shared" si="3"/>
        <v>1.7113</v>
      </c>
      <c r="J27" s="116">
        <f t="shared" si="1"/>
        <v>9629.1200000000008</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204.90999999999997</v>
      </c>
      <c r="D28" s="773">
        <f>SUM(D12:D27)</f>
        <v>202.01999999999998</v>
      </c>
      <c r="E28" s="1085">
        <f>SUM(E12:E27)</f>
        <v>406.93</v>
      </c>
      <c r="F28" s="1085"/>
      <c r="G28" s="1080"/>
      <c r="H28" s="1080"/>
      <c r="I28" s="23">
        <f>SUM(I12:I27)</f>
        <v>407.03019999999998</v>
      </c>
      <c r="J28" s="116">
        <f>SUM(J12:J27)</f>
        <v>2290271.6700000004</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407.03019999999998</v>
      </c>
      <c r="H33" s="1080" t="s">
        <v>45</v>
      </c>
      <c r="I33" s="1080"/>
      <c r="J33" s="32">
        <f>SUM(J32,J28)</f>
        <v>2290271.6700000004</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2290271.6700000004</v>
      </c>
      <c r="H36" s="37" t="s">
        <v>48</v>
      </c>
      <c r="I36" s="38">
        <f>Consolidated!H53</f>
        <v>7.1400000000000005E-2</v>
      </c>
      <c r="J36" s="120">
        <f>ROUND(G36*I36,2)</f>
        <v>163525.4</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2290271.6700000004</v>
      </c>
      <c r="H37" s="37" t="s">
        <v>48</v>
      </c>
      <c r="I37" s="38">
        <f>Consolidated!H54</f>
        <v>1.06E-2</v>
      </c>
      <c r="J37" s="120">
        <f>ROUND(G37*I37,2)</f>
        <v>24276.880000000001</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187802.28</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25.42</v>
      </c>
      <c r="D44" s="776">
        <f>SUMIFS('ESE FTE'!G:G,'ESE FTE'!$A:$A,$I$2,'ESE FTE'!$E:$E,9)</f>
        <v>24.04</v>
      </c>
      <c r="E44" s="1073">
        <f t="shared" si="8"/>
        <v>49.46</v>
      </c>
      <c r="F44" s="1073"/>
      <c r="G44" s="47" t="s">
        <v>58</v>
      </c>
      <c r="H44" s="37">
        <v>251</v>
      </c>
      <c r="I44" s="125">
        <f>Consolidated!$H62</f>
        <v>1173</v>
      </c>
      <c r="J44" s="126">
        <f t="shared" si="9"/>
        <v>58016.58</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2.08</v>
      </c>
      <c r="D45" s="122">
        <f>SUMIFS('ESE FTE'!G:G,'ESE FTE'!$A:$A,$I$2,'ESE FTE'!$E:$E,10)</f>
        <v>1.96</v>
      </c>
      <c r="E45" s="1073">
        <f t="shared" si="8"/>
        <v>4.04</v>
      </c>
      <c r="F45" s="1073"/>
      <c r="G45" s="47" t="s">
        <v>58</v>
      </c>
      <c r="H45" s="37">
        <v>252</v>
      </c>
      <c r="I45" s="125">
        <f>Consolidated!$H63</f>
        <v>3506</v>
      </c>
      <c r="J45" s="46">
        <f t="shared" si="9"/>
        <v>14164.24</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10.98</v>
      </c>
      <c r="D47" s="122">
        <f>SUMIFS('ESE FTE'!G:G,'ESE FTE'!$A:$A,$I$2,'ESE FTE'!$E:$E,12)</f>
        <v>10.47</v>
      </c>
      <c r="E47" s="1073">
        <f t="shared" si="8"/>
        <v>21.450000000000003</v>
      </c>
      <c r="F47" s="1073"/>
      <c r="G47" s="47" t="s">
        <v>59</v>
      </c>
      <c r="H47" s="37">
        <v>251</v>
      </c>
      <c r="I47" s="125">
        <f>Consolidated!$H65</f>
        <v>835</v>
      </c>
      <c r="J47" s="46">
        <f t="shared" si="9"/>
        <v>17910.75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0.52</v>
      </c>
      <c r="D48" s="122">
        <f>SUMIFS('ESE FTE'!G:G,'ESE FTE'!$A:$A,$I$2,'ESE FTE'!$E:$E,13)</f>
        <v>0.5</v>
      </c>
      <c r="E48" s="1073">
        <f t="shared" si="8"/>
        <v>1.02</v>
      </c>
      <c r="F48" s="1073"/>
      <c r="G48" s="47" t="s">
        <v>59</v>
      </c>
      <c r="H48" s="37">
        <v>252</v>
      </c>
      <c r="I48" s="125">
        <f>Consolidated!$H66</f>
        <v>3168</v>
      </c>
      <c r="J48" s="46">
        <f t="shared" si="9"/>
        <v>3231.36</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39.000000000000007</v>
      </c>
      <c r="D50" s="774">
        <f>SUM(D41:D49)</f>
        <v>36.97</v>
      </c>
      <c r="E50" s="1075">
        <f>SUM(E41:E49)</f>
        <v>75.97</v>
      </c>
      <c r="F50" s="1075"/>
      <c r="G50" s="1030" t="s">
        <v>61</v>
      </c>
      <c r="H50" s="1030"/>
      <c r="I50" s="1030"/>
      <c r="J50" s="220">
        <f>SUM(J41:J49)</f>
        <v>93322.930000000008</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406.93</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1.9480000000000001E-3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v>0</v>
      </c>
      <c r="U55" s="173" t="s">
        <v>64</v>
      </c>
      <c r="V55" s="174"/>
      <c r="W55" s="175" t="s">
        <v>69</v>
      </c>
      <c r="X55" s="1037">
        <f>I56</f>
        <v>221542.28000000003</v>
      </c>
      <c r="Y55" s="1037"/>
    </row>
    <row r="56" spans="1:25" ht="16.5" customHeight="1" x14ac:dyDescent="0.25">
      <c r="A56" s="1013" t="s">
        <v>68</v>
      </c>
      <c r="B56" s="1013"/>
      <c r="C56" s="51"/>
      <c r="D56" s="51"/>
      <c r="E56" s="48">
        <f>G33</f>
        <v>407.03019999999998</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1.8370000000000001E-3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406.93</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2.313E-3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406.93</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1.951E-3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406.93</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2.317E-3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1.951E-3</v>
      </c>
      <c r="J68" s="127">
        <f>ROUND(G68*I68,2)</f>
        <v>89485.96</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1.9480000000000001E-3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2.317E-3</v>
      </c>
      <c r="J71" s="127">
        <f>ROUND(G71*I71,2)</f>
        <v>43639.360000000001</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2.313E-3</v>
      </c>
      <c r="J72" s="127">
        <f>ROUND(G72*I72,2)</f>
        <v>25965.81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v>1.44</v>
      </c>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0</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v>0.16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1.5999999999999999</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1.2400000000000001E-4</v>
      </c>
      <c r="J84" s="654">
        <f>ROUND(G84*I84,2)</f>
        <v>7254.35</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1.8370000000000001E-3</v>
      </c>
      <c r="J85" s="654">
        <f>ROUND(G85*I85,2)</f>
        <v>521515.47</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1.8370000000000001E-3</v>
      </c>
      <c r="J86" s="654">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1.9480000000000001E-3</v>
      </c>
      <c r="J87" s="654">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261.1474</v>
      </c>
      <c r="C91" s="80"/>
      <c r="D91" s="981">
        <f>I6</f>
        <v>1.0309999999999999</v>
      </c>
      <c r="E91" s="981"/>
      <c r="F91" s="981"/>
      <c r="G91" s="113">
        <f>Consolidated!F$119</f>
        <v>918.1</v>
      </c>
      <c r="H91" s="47" t="s">
        <v>66</v>
      </c>
      <c r="I91" s="532">
        <f>ROUND(B91*D91*G91,2)</f>
        <v>247191.97</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145.8828</v>
      </c>
      <c r="C92" s="80"/>
      <c r="D92" s="981">
        <f>I6</f>
        <v>1.0309999999999999</v>
      </c>
      <c r="E92" s="981"/>
      <c r="F92" s="981"/>
      <c r="G92" s="113">
        <f>Consolidated!F$120</f>
        <v>920.31</v>
      </c>
      <c r="H92" s="47" t="s">
        <v>66</v>
      </c>
      <c r="I92" s="532">
        <f>ROUND(B92*D92*G92,2)</f>
        <v>138419.38</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407.03020000000004</v>
      </c>
      <c r="C93" s="80"/>
      <c r="D93" s="80"/>
      <c r="E93" s="1059" t="s">
        <v>110</v>
      </c>
      <c r="F93" s="1059"/>
      <c r="G93" s="1059"/>
      <c r="H93" s="1059"/>
      <c r="I93" s="1059"/>
      <c r="J93" s="116">
        <f>IF(A1=75,0,I92+I91+I90)</f>
        <v>385611.35</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237</v>
      </c>
      <c r="D97" s="223">
        <v>235</v>
      </c>
      <c r="E97" s="1103">
        <f>IF(D97&gt;0,(C97+D97)/2,C97)</f>
        <v>236</v>
      </c>
      <c r="F97" s="982"/>
      <c r="G97" s="982"/>
      <c r="H97" s="85" t="s">
        <v>115</v>
      </c>
      <c r="I97" s="119">
        <f>Consolidated!G$127</f>
        <v>583</v>
      </c>
      <c r="J97" s="127">
        <f>ROUND(I97*E97,2)</f>
        <v>137588</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3594654.9000000008</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3406852.620000001</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3406852.620000001</v>
      </c>
      <c r="J114" s="234">
        <f>ROUND(IF(E28=0,0,IF(E28&gt;250,-(((250/E28)*I114)*IF(H114="H",0.02,0.05)),IF(H114="H",-0.02*I114,-0.05*I114))),2)</f>
        <v>-104651.06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3490003.8400000008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Payments'!R100</f>
        <v>-596221.54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2893782.3000000007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289378.23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65691.570000000007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37" zoomScale="112" zoomScaleNormal="112"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502</v>
      </c>
      <c r="B2" s="101"/>
      <c r="C2" s="101"/>
      <c r="D2" s="101"/>
      <c r="E2" s="6"/>
      <c r="F2" s="6"/>
      <c r="G2" s="6"/>
      <c r="H2" s="6"/>
      <c r="I2" s="685" t="str">
        <f>RIGHT(A2,4)</f>
        <v>3941</v>
      </c>
      <c r="J2" s="6"/>
      <c r="K2" s="6"/>
      <c r="L2" s="6"/>
      <c r="M2" s="6"/>
      <c r="N2" s="6"/>
      <c r="O2" s="6"/>
      <c r="P2" s="6"/>
      <c r="Q2" s="6"/>
      <c r="R2" s="987" t="str">
        <f>Revenue_Estimate_Worksheet_for___________Charter_School</f>
        <v>Revenue Estimate Worksheet: Ben Gamla Charter School - 3941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54.97</v>
      </c>
      <c r="D12" s="699">
        <f>SUMIFS('Surv2-3'!K:K,'Surv2-3'!$H:$H,$I$2,'Surv2-3'!$I:$I,$O12)</f>
        <v>52</v>
      </c>
      <c r="E12" s="1081">
        <f t="shared" ref="E12:E27" si="0">IF($D$28=0,C12*2,C12+D12)</f>
        <v>106.97</v>
      </c>
      <c r="F12" s="1081"/>
      <c r="G12" s="1096">
        <f>Consolidated!$F14</f>
        <v>1.107</v>
      </c>
      <c r="H12" s="1096">
        <f>Consolidated!$H$9</f>
        <v>1</v>
      </c>
      <c r="I12" s="534">
        <f>ROUND(E12*G12,4)</f>
        <v>118.4158</v>
      </c>
      <c r="J12" s="535">
        <f t="shared" ref="J12:J27" si="1">ROUND(ROUND(ROUND(I12*$E$6,4)*($I$6),2)*(MAX($I$7,1)),2)</f>
        <v>666300.31999999995</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10.5</v>
      </c>
      <c r="D13" s="389">
        <f>SUMIFS('Surv2-3'!K:K,'Surv2-3'!$H:$H,$I$2,'Surv2-3'!$I:$I,$O13)</f>
        <v>11.01</v>
      </c>
      <c r="E13" s="1080">
        <f t="shared" si="0"/>
        <v>21.509999999999998</v>
      </c>
      <c r="F13" s="1080"/>
      <c r="G13" s="1086">
        <f>Consolidated!$F15</f>
        <v>1.107</v>
      </c>
      <c r="H13" s="1086">
        <f>Consolidated!$H$9</f>
        <v>1</v>
      </c>
      <c r="I13" s="534">
        <f t="shared" ref="I13:I27" si="3">ROUND(E13*G13,4)</f>
        <v>23.811599999999999</v>
      </c>
      <c r="J13" s="535">
        <f t="shared" si="1"/>
        <v>133982.76999999999</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29.55</v>
      </c>
      <c r="D14" s="389">
        <f>SUMIFS('Surv2-3'!L:L,'Surv2-3'!$H:$H,$I$2,'Surv2-3'!$I:$I,$O14)</f>
        <v>29.56</v>
      </c>
      <c r="E14" s="1080">
        <f t="shared" si="0"/>
        <v>59.11</v>
      </c>
      <c r="F14" s="1080"/>
      <c r="G14" s="1086">
        <f>Consolidated!$F16</f>
        <v>1</v>
      </c>
      <c r="H14" s="1086">
        <f>Consolidated!$H$9</f>
        <v>1</v>
      </c>
      <c r="I14" s="534">
        <f t="shared" si="3"/>
        <v>59.11</v>
      </c>
      <c r="J14" s="535">
        <f>ROUND(ROUND(ROUND(I14*$E$6,4)*($I$6),2)*(MAX($I$7,1)),2)</f>
        <v>332599.3</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6</v>
      </c>
      <c r="D15" s="389">
        <f>SUMIFS('Surv2-3'!L:L,'Surv2-3'!$H:$H,$I$2,'Surv2-3'!$I:$I,$O15)</f>
        <v>5.52</v>
      </c>
      <c r="E15" s="1080">
        <f t="shared" si="0"/>
        <v>11.52</v>
      </c>
      <c r="F15" s="1080"/>
      <c r="G15" s="1086">
        <f>Consolidated!$F17</f>
        <v>1</v>
      </c>
      <c r="H15" s="1086">
        <f>Consolidated!$H$9</f>
        <v>1</v>
      </c>
      <c r="I15" s="534">
        <f t="shared" si="3"/>
        <v>11.52</v>
      </c>
      <c r="J15" s="535">
        <f t="shared" si="1"/>
        <v>64820.57</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8.0299999999999994</v>
      </c>
      <c r="D24" s="389">
        <f>SUMIFS('Surv2-3'!K:K,'Surv2-3'!$H:$H,$I$2,'Surv2-3'!$I:$I,$O24)</f>
        <v>7.26</v>
      </c>
      <c r="E24" s="1080">
        <f t="shared" si="0"/>
        <v>15.29</v>
      </c>
      <c r="F24" s="1080"/>
      <c r="G24" s="1086">
        <f>Consolidated!$F26</f>
        <v>1.161</v>
      </c>
      <c r="H24" s="1086">
        <f>Consolidated!$H$9</f>
        <v>1</v>
      </c>
      <c r="I24" s="534">
        <f t="shared" si="3"/>
        <v>17.7517</v>
      </c>
      <c r="J24" s="535">
        <f t="shared" si="1"/>
        <v>99885.01</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4.9499999999999993</v>
      </c>
      <c r="D25" s="389">
        <f>SUMIFS('Surv2-3'!L:L,'Surv2-3'!$H:$H,$I$2,'Surv2-3'!$I:$I,$O25)</f>
        <v>4.9499999999999993</v>
      </c>
      <c r="E25" s="1080">
        <f t="shared" si="0"/>
        <v>9.8999999999999986</v>
      </c>
      <c r="F25" s="1080"/>
      <c r="G25" s="1086">
        <f>Consolidated!$F27</f>
        <v>1.161</v>
      </c>
      <c r="H25" s="1086">
        <f>Consolidated!$H$9</f>
        <v>1</v>
      </c>
      <c r="I25" s="534">
        <f t="shared" si="3"/>
        <v>11.4939</v>
      </c>
      <c r="J25" s="535">
        <f t="shared" si="1"/>
        <v>64673.71</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114</v>
      </c>
      <c r="D28" s="773">
        <f>SUM(D12:D27)</f>
        <v>110.3</v>
      </c>
      <c r="E28" s="1085">
        <f>SUM(E12:E27)</f>
        <v>224.29999999999998</v>
      </c>
      <c r="F28" s="1085"/>
      <c r="G28" s="1080"/>
      <c r="H28" s="1080"/>
      <c r="I28" s="23">
        <f>SUM(I12:I27)</f>
        <v>242.10300000000001</v>
      </c>
      <c r="J28" s="116">
        <f>SUM(J12:J27)</f>
        <v>1362261.68</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242.10300000000001</v>
      </c>
      <c r="H33" s="1080" t="s">
        <v>45</v>
      </c>
      <c r="I33" s="1080"/>
      <c r="J33" s="32">
        <f>SUM(J32,J28)</f>
        <v>1362261.68</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1362261.68</v>
      </c>
      <c r="H36" s="37" t="s">
        <v>48</v>
      </c>
      <c r="I36" s="38">
        <f>Consolidated!H53</f>
        <v>7.1400000000000005E-2</v>
      </c>
      <c r="J36" s="120">
        <f>ROUND(G36*I36,2)</f>
        <v>97265.48</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1362261.68</v>
      </c>
      <c r="H37" s="37" t="s">
        <v>48</v>
      </c>
      <c r="I37" s="38">
        <f>Consolidated!H54</f>
        <v>1.06E-2</v>
      </c>
      <c r="J37" s="120">
        <f>ROUND(G37*I37,2)</f>
        <v>14439.97</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111705.45</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8</v>
      </c>
      <c r="D41" s="776">
        <f>SUMIFS('ESE FTE'!G:G,'ESE FTE'!$A:$A,$I$2,'ESE FTE'!$E:$E,6)</f>
        <v>8.39</v>
      </c>
      <c r="E41" s="1073">
        <f t="shared" ref="E41:E49" si="8">IF($D$50=0,C41*2,C41+D41)</f>
        <v>16.39</v>
      </c>
      <c r="F41" s="1073"/>
      <c r="G41" s="37" t="s">
        <v>57</v>
      </c>
      <c r="H41" s="37">
        <v>251</v>
      </c>
      <c r="I41" s="125">
        <f>Consolidated!$H59</f>
        <v>1047</v>
      </c>
      <c r="J41" s="532">
        <f t="shared" ref="J41:J49" si="9">ROUND(E41*I41,2)</f>
        <v>17160.330000000002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2.5</v>
      </c>
      <c r="D42" s="122">
        <f>SUMIFS('ESE FTE'!G:G,'ESE FTE'!$A:$A,$I$2,'ESE FTE'!$E:$E,7)</f>
        <v>2.62</v>
      </c>
      <c r="E42" s="1073">
        <f t="shared" si="8"/>
        <v>5.12</v>
      </c>
      <c r="F42" s="1073"/>
      <c r="G42" s="37" t="s">
        <v>57</v>
      </c>
      <c r="H42" s="37">
        <v>252</v>
      </c>
      <c r="I42" s="125">
        <f>Consolidated!$H60</f>
        <v>3380</v>
      </c>
      <c r="J42" s="532">
        <f t="shared" si="9"/>
        <v>17305.599999999999</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4.5</v>
      </c>
      <c r="D44" s="776">
        <f>SUMIFS('ESE FTE'!G:G,'ESE FTE'!$A:$A,$I$2,'ESE FTE'!$E:$E,9)</f>
        <v>4.1399999999999997</v>
      </c>
      <c r="E44" s="1073">
        <f t="shared" si="8"/>
        <v>8.64</v>
      </c>
      <c r="F44" s="1073"/>
      <c r="G44" s="47" t="s">
        <v>58</v>
      </c>
      <c r="H44" s="37">
        <v>251</v>
      </c>
      <c r="I44" s="125">
        <f>Consolidated!$H62</f>
        <v>1173</v>
      </c>
      <c r="J44" s="532">
        <f t="shared" si="9"/>
        <v>10134.719999999999</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1.5</v>
      </c>
      <c r="D45" s="122">
        <f>SUMIFS('ESE FTE'!G:G,'ESE FTE'!$A:$A,$I$2,'ESE FTE'!$E:$E,10)</f>
        <v>1.38</v>
      </c>
      <c r="E45" s="1073">
        <f t="shared" si="8"/>
        <v>2.88</v>
      </c>
      <c r="F45" s="1073"/>
      <c r="G45" s="47" t="s">
        <v>58</v>
      </c>
      <c r="H45" s="37">
        <v>252</v>
      </c>
      <c r="I45" s="125">
        <f>Consolidated!$H63</f>
        <v>3506</v>
      </c>
      <c r="J45" s="532">
        <f t="shared" si="9"/>
        <v>10097.280000000001</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16.5</v>
      </c>
      <c r="D50" s="774">
        <f>SUM(D41:D49)</f>
        <v>16.53</v>
      </c>
      <c r="E50" s="1075">
        <f>SUM(E41:E49)</f>
        <v>33.03</v>
      </c>
      <c r="F50" s="1075"/>
      <c r="G50" s="1030" t="s">
        <v>61</v>
      </c>
      <c r="H50" s="1030"/>
      <c r="I50" s="1030"/>
      <c r="J50" s="220">
        <f>SUM(J41:J49)</f>
        <v>54697.93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224.29999999999998</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1.0740000000000001E-3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242.10300000000001</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1.093E-3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224.29999999999998</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1.2750000000000001E-3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224.29999999999998</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1.0759999999999999E-3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224.29999999999998</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1.2769999999999999E-3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1.0759999999999999E-3</v>
      </c>
      <c r="J68" s="127">
        <f>ROUND(G68*I68,2)</f>
        <v>49352.58</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1.0740000000000001E-3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1.2769999999999999E-3</v>
      </c>
      <c r="J71" s="127">
        <f>ROUND(G71*I71,2)</f>
        <v>24051.56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1.2750000000000001E-3</v>
      </c>
      <c r="J72" s="127">
        <f>ROUND(G72*I72,2)</f>
        <v>14313.19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1.093E-3</v>
      </c>
      <c r="J85" s="127">
        <f>ROUND(G85*I85,2)</f>
        <v>310297.44</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1.093E-3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1.0740000000000001E-3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159.97909999999999</v>
      </c>
      <c r="C90" s="80"/>
      <c r="D90" s="981">
        <f>I6</f>
        <v>1.0309999999999999</v>
      </c>
      <c r="E90" s="981"/>
      <c r="F90" s="981"/>
      <c r="G90" s="113">
        <f>Consolidated!F$118</f>
        <v>961.57</v>
      </c>
      <c r="H90" s="47" t="s">
        <v>66</v>
      </c>
      <c r="I90" s="532">
        <f>ROUND(B90*D90*G90,2)</f>
        <v>158599.87</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82.123899999999992</v>
      </c>
      <c r="C91" s="80"/>
      <c r="D91" s="981">
        <f>I6</f>
        <v>1.0309999999999999</v>
      </c>
      <c r="E91" s="981"/>
      <c r="F91" s="981"/>
      <c r="G91" s="113">
        <f>Consolidated!F$119</f>
        <v>918.1</v>
      </c>
      <c r="H91" s="47" t="s">
        <v>66</v>
      </c>
      <c r="I91" s="532">
        <f>ROUND(B91*D91*G91,2)</f>
        <v>77735.289999999994</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242.10299999999998</v>
      </c>
      <c r="C93" s="80"/>
      <c r="D93" s="80"/>
      <c r="E93" s="1059" t="s">
        <v>110</v>
      </c>
      <c r="F93" s="1059"/>
      <c r="G93" s="1059"/>
      <c r="H93" s="1059"/>
      <c r="I93" s="1059"/>
      <c r="J93" s="116">
        <f>IF(A1=75,0,I92+I91+I90)</f>
        <v>236335.15999999997</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2051309.5399999998</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1939604.0899999999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t="s">
        <v>478</v>
      </c>
      <c r="I114" s="639">
        <f>IF(I111=1,J111,J109)</f>
        <v>1939604.0899999999</v>
      </c>
      <c r="J114" s="640">
        <f>ROUND(IF(E28=0,0,IF(E28&gt;250,-(((250/E28)*I114)*IF(H114="H",0.02,0.05)),IF(H114="H",-0.02*I114,-0.05*I114))),2)</f>
        <v>-38792.080000000002</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2012517.4599999997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Payments'!R101</f>
        <v>-333812.83999999997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1678704.6199999996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167870.46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sheetPr>
    <tabColor theme="0" tint="-0.34998626667073579"/>
  </sheetPr>
  <dimension ref="A1:Z207"/>
  <sheetViews>
    <sheetView topLeftCell="A40" workbookViewId="0">
      <selection activeCell="C15" sqref="C15"/>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503</v>
      </c>
      <c r="B2" s="101"/>
      <c r="C2" s="101"/>
      <c r="D2" s="101"/>
      <c r="E2" s="6"/>
      <c r="F2" s="6"/>
      <c r="G2" s="6"/>
      <c r="H2" s="6"/>
      <c r="I2" s="685" t="str">
        <f>RIGHT(A2,4)</f>
        <v>3961</v>
      </c>
      <c r="J2" s="658" t="s">
        <v>579</v>
      </c>
      <c r="K2" s="658"/>
      <c r="L2" s="6"/>
      <c r="M2" s="6"/>
      <c r="N2" s="6"/>
      <c r="O2" s="6"/>
      <c r="P2" s="6"/>
      <c r="Q2" s="6"/>
      <c r="R2" s="987" t="str">
        <f>Revenue_Estimate_Worksheet_for___________Charter_School</f>
        <v>Revenue Estimate Worksheet: Gardens School of Technology Arts - 3961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0</v>
      </c>
      <c r="D28" s="773">
        <f>SUM(D12:D27)</f>
        <v>0</v>
      </c>
      <c r="E28" s="1085">
        <f>SUM(E12:E27)</f>
        <v>0</v>
      </c>
      <c r="F28" s="1085"/>
      <c r="G28" s="1080"/>
      <c r="H28" s="1080"/>
      <c r="I28" s="23">
        <f>SUM(I12:I27)</f>
        <v>0</v>
      </c>
      <c r="J28" s="116">
        <f>SUM(J12:J27)</f>
        <v>0</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0</v>
      </c>
      <c r="H33" s="1080" t="s">
        <v>45</v>
      </c>
      <c r="I33" s="1080"/>
      <c r="J33" s="32">
        <f>SUM(J32,J28)</f>
        <v>0</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f>J$28</f>
        <v>0</v>
      </c>
      <c r="H36" s="37" t="s">
        <v>48</v>
      </c>
      <c r="I36" s="38">
        <f>Consolidated!H53</f>
        <v>7.1400000000000005E-2</v>
      </c>
      <c r="J36" s="120">
        <f>ROUND(G36*I36,2)</f>
        <v>0</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f>J$28</f>
        <v>0</v>
      </c>
      <c r="H37" s="37" t="s">
        <v>48</v>
      </c>
      <c r="I37" s="38">
        <f>Consolidated!H54</f>
        <v>1.06E-2</v>
      </c>
      <c r="J37" s="120">
        <f>ROUND(G37*I37,2)</f>
        <v>0</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0</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0</v>
      </c>
      <c r="D50" s="774">
        <f>SUM(D41:D49)</f>
        <v>0</v>
      </c>
      <c r="E50" s="1075">
        <f>SUM(E41:E49)</f>
        <v>0</v>
      </c>
      <c r="F50" s="1075"/>
      <c r="G50" s="1030" t="s">
        <v>61</v>
      </c>
      <c r="H50" s="1030"/>
      <c r="I50" s="1030"/>
      <c r="J50" s="220">
        <f>SUM(J41:J49)</f>
        <v>0</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0</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0</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E56</f>
        <v>0</v>
      </c>
      <c r="U55" s="173" t="s">
        <v>64</v>
      </c>
      <c r="V55" s="174"/>
      <c r="W55" s="175" t="s">
        <v>69</v>
      </c>
      <c r="X55" s="1037">
        <f>I56</f>
        <v>221542.28000000003</v>
      </c>
      <c r="Y55" s="1037"/>
    </row>
    <row r="56" spans="1:25" ht="16.5" customHeight="1" x14ac:dyDescent="0.25">
      <c r="A56" s="1013" t="s">
        <v>68</v>
      </c>
      <c r="B56" s="1013"/>
      <c r="C56" s="51"/>
      <c r="D56" s="51"/>
      <c r="E56" s="48">
        <f>G33</f>
        <v>0</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0</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0</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0</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0</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0</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0</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0</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0</v>
      </c>
      <c r="J68" s="127">
        <f>ROUND(G68*I68,2)</f>
        <v>0</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0</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0</v>
      </c>
      <c r="J85" s="127">
        <f>ROUND(G85*I85,2)</f>
        <v>0</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0</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129">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0</v>
      </c>
      <c r="C93" s="80"/>
      <c r="D93" s="80"/>
      <c r="E93" s="1059" t="s">
        <v>110</v>
      </c>
      <c r="F93" s="1059"/>
      <c r="G93" s="1059"/>
      <c r="H93" s="1059"/>
      <c r="I93" s="1059"/>
      <c r="J93" s="116">
        <f>IF(A1=75,0,I92+I91+I90)</f>
        <v>0</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0</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0</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t="s">
        <v>478</v>
      </c>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Payments'!R102</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107" workbookViewId="0">
      <selection activeCell="J114" sqref="J11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504</v>
      </c>
      <c r="B2" s="101"/>
      <c r="C2" s="101"/>
      <c r="D2" s="101"/>
      <c r="E2" s="6"/>
      <c r="F2" s="6"/>
      <c r="G2" s="6"/>
      <c r="H2" s="6"/>
      <c r="I2" s="685" t="str">
        <f>RIGHT(A2,4)</f>
        <v>3971</v>
      </c>
      <c r="J2" s="6"/>
      <c r="K2" s="6"/>
      <c r="L2" s="6"/>
      <c r="M2" s="6"/>
      <c r="N2" s="6"/>
      <c r="O2" s="6"/>
      <c r="P2" s="6"/>
      <c r="Q2" s="6"/>
      <c r="R2" s="987" t="str">
        <f>Revenue_Estimate_Worksheet_for___________Charter_School</f>
        <v>Revenue Estimate Worksheet: Palm Beach Preparatory Charter Academy - 3971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6.75</v>
      </c>
      <c r="D14" s="389">
        <f>SUMIFS('Surv2-3'!L:L,'Surv2-3'!$H:$H,$I$2,'Surv2-3'!$I:$I,$O14)</f>
        <v>7.5</v>
      </c>
      <c r="E14" s="1080">
        <f t="shared" si="0"/>
        <v>14.25</v>
      </c>
      <c r="F14" s="1080"/>
      <c r="G14" s="1086">
        <f>Consolidated!$F16</f>
        <v>1</v>
      </c>
      <c r="H14" s="1086">
        <f>Consolidated!$H$9</f>
        <v>1</v>
      </c>
      <c r="I14" s="534">
        <f t="shared" si="3"/>
        <v>14.25</v>
      </c>
      <c r="J14" s="535">
        <f>ROUND(ROUND(ROUND(I14*$E$6,4)*($I$6),2)*(MAX($I$7,1)),2)</f>
        <v>80181.69</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3.5</v>
      </c>
      <c r="D15" s="389">
        <f>SUMIFS('Surv2-3'!L:L,'Surv2-3'!$H:$H,$I$2,'Surv2-3'!$I:$I,$O15)</f>
        <v>3.97</v>
      </c>
      <c r="E15" s="1080">
        <f t="shared" si="0"/>
        <v>7.4700000000000006</v>
      </c>
      <c r="F15" s="1080"/>
      <c r="G15" s="1086">
        <f>Consolidated!$F17</f>
        <v>1</v>
      </c>
      <c r="H15" s="1086">
        <f>Consolidated!$H$9</f>
        <v>1</v>
      </c>
      <c r="I15" s="534">
        <f t="shared" si="3"/>
        <v>7.47</v>
      </c>
      <c r="J15" s="535">
        <f t="shared" si="1"/>
        <v>42032.09</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223.27999999999997</v>
      </c>
      <c r="D16" s="389">
        <f>SUMIFS('Surv2-3'!M:M,'Surv2-3'!$H:$H,$I$2,'Surv2-3'!$I:$I,$O16)</f>
        <v>229.33</v>
      </c>
      <c r="E16" s="1080">
        <f t="shared" si="0"/>
        <v>452.61</v>
      </c>
      <c r="F16" s="1080"/>
      <c r="G16" s="1086">
        <f>Consolidated!$F18</f>
        <v>0.96499999999999997</v>
      </c>
      <c r="H16" s="1086">
        <f>Consolidated!$H$9</f>
        <v>1</v>
      </c>
      <c r="I16" s="534">
        <f t="shared" si="3"/>
        <v>436.76870000000002</v>
      </c>
      <c r="J16" s="535">
        <f t="shared" si="1"/>
        <v>2457603.83</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57.72</v>
      </c>
      <c r="D17" s="389">
        <f>SUMIFS('Surv2-3'!M:M,'Surv2-3'!$H:$H,$I$2,'Surv2-3'!$I:$I,$O17)</f>
        <v>68.64</v>
      </c>
      <c r="E17" s="1080">
        <f t="shared" si="0"/>
        <v>126.36</v>
      </c>
      <c r="F17" s="1080"/>
      <c r="G17" s="1086">
        <f>Consolidated!$F19</f>
        <v>0.96499999999999997</v>
      </c>
      <c r="H17" s="1086">
        <f>Consolidated!$H$9</f>
        <v>1</v>
      </c>
      <c r="I17" s="534">
        <f t="shared" si="3"/>
        <v>121.9374</v>
      </c>
      <c r="J17" s="535">
        <f t="shared" si="1"/>
        <v>686115.61</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1.25</v>
      </c>
      <c r="D25" s="389">
        <f>SUMIFS('Surv2-3'!L:L,'Surv2-3'!$H:$H,$I$2,'Surv2-3'!$I:$I,$O25)</f>
        <v>0.84</v>
      </c>
      <c r="E25" s="1080">
        <f t="shared" si="0"/>
        <v>2.09</v>
      </c>
      <c r="F25" s="1080"/>
      <c r="G25" s="1086">
        <f>Consolidated!$F27</f>
        <v>1.161</v>
      </c>
      <c r="H25" s="1086">
        <f>Consolidated!$H$9</f>
        <v>1</v>
      </c>
      <c r="I25" s="534">
        <f t="shared" si="3"/>
        <v>2.4264999999999999</v>
      </c>
      <c r="J25" s="535">
        <f t="shared" si="1"/>
        <v>13653.4</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23.9</v>
      </c>
      <c r="D26" s="389">
        <f>SUMIFS('Surv2-3'!M:M,'Surv2-3'!$H:$H,$I$2,'Surv2-3'!$I:$I,$O26)</f>
        <v>24.659999999999997</v>
      </c>
      <c r="E26" s="1080">
        <f t="shared" si="0"/>
        <v>48.559999999999995</v>
      </c>
      <c r="F26" s="1080"/>
      <c r="G26" s="1086">
        <f>Consolidated!$F28</f>
        <v>1.161</v>
      </c>
      <c r="H26" s="1086">
        <f>Consolidated!$H$9</f>
        <v>1</v>
      </c>
      <c r="I26" s="534">
        <f t="shared" si="3"/>
        <v>56.3782</v>
      </c>
      <c r="J26" s="535">
        <f t="shared" si="1"/>
        <v>317228.03999999998</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316.39999999999998</v>
      </c>
      <c r="D28" s="773">
        <f>SUM(D12:D27)</f>
        <v>334.93999999999994</v>
      </c>
      <c r="E28" s="1085">
        <f>SUM(E12:E27)</f>
        <v>651.34</v>
      </c>
      <c r="F28" s="1085"/>
      <c r="G28" s="1080"/>
      <c r="H28" s="1080"/>
      <c r="I28" s="23">
        <f>SUM(I12:I27)</f>
        <v>639.23080000000004</v>
      </c>
      <c r="J28" s="116">
        <f>SUM(J12:J27)</f>
        <v>3596814.6599999997</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639.23080000000004</v>
      </c>
      <c r="H33" s="1080" t="s">
        <v>45</v>
      </c>
      <c r="I33" s="1080"/>
      <c r="J33" s="32">
        <f>SUM(J32,J28)</f>
        <v>3596814.6599999997</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f>3460947.48+135867.18</f>
        <v>3596814.66</v>
      </c>
      <c r="H36" s="37" t="s">
        <v>48</v>
      </c>
      <c r="I36" s="38">
        <f>Consolidated!H53</f>
        <v>7.1400000000000005E-2</v>
      </c>
      <c r="J36" s="120">
        <f>ROUND(G36*I36,2)</f>
        <v>256812.57</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f>3460947.48+135867.18</f>
        <v>3596814.66</v>
      </c>
      <c r="H37" s="37" t="s">
        <v>48</v>
      </c>
      <c r="I37" s="38">
        <f>Consolidated!H54</f>
        <v>1.06E-2</v>
      </c>
      <c r="J37" s="120">
        <f>ROUND(G37*I37,2)</f>
        <v>38126.239999999998</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294938.81</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ht="20.25" customHeight="1" x14ac:dyDescent="0.25">
      <c r="A44" s="1079"/>
      <c r="B44" s="1079"/>
      <c r="C44" s="122">
        <f>SUMIFS('ESE FTE'!F:F,'ESE FTE'!$A:$A,$I$2,'ESE FTE'!$E:$E,9)</f>
        <v>3</v>
      </c>
      <c r="D44" s="776">
        <f>SUMIFS('ESE FTE'!G:G,'ESE FTE'!$A:$A,$I$2,'ESE FTE'!$E:$E,9)</f>
        <v>3.4</v>
      </c>
      <c r="E44" s="1073">
        <f t="shared" si="8"/>
        <v>6.4</v>
      </c>
      <c r="F44" s="1073"/>
      <c r="G44" s="47" t="s">
        <v>58</v>
      </c>
      <c r="H44" s="37">
        <v>251</v>
      </c>
      <c r="I44" s="125">
        <f>Consolidated!$H62</f>
        <v>1173</v>
      </c>
      <c r="J44" s="532">
        <f t="shared" si="9"/>
        <v>7507.2</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0.5</v>
      </c>
      <c r="D45" s="122">
        <f>SUMIFS('ESE FTE'!G:G,'ESE FTE'!$A:$A,$I$2,'ESE FTE'!$E:$E,10)</f>
        <v>0.56999999999999995</v>
      </c>
      <c r="E45" s="1073">
        <f t="shared" si="8"/>
        <v>1.0699999999999998</v>
      </c>
      <c r="F45" s="1073"/>
      <c r="G45" s="47" t="s">
        <v>58</v>
      </c>
      <c r="H45" s="37">
        <v>252</v>
      </c>
      <c r="I45" s="125">
        <f>Consolidated!$H63</f>
        <v>3506</v>
      </c>
      <c r="J45" s="532">
        <f t="shared" si="9"/>
        <v>3751.42</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54.22</v>
      </c>
      <c r="D47" s="122">
        <f>SUMIFS('ESE FTE'!G:G,'ESE FTE'!$A:$A,$I$2,'ESE FTE'!$E:$E,12)</f>
        <v>64.48</v>
      </c>
      <c r="E47" s="1073">
        <f t="shared" si="8"/>
        <v>118.7</v>
      </c>
      <c r="F47" s="1073"/>
      <c r="G47" s="47" t="s">
        <v>59</v>
      </c>
      <c r="H47" s="37">
        <v>251</v>
      </c>
      <c r="I47" s="125">
        <f>Consolidated!$H65</f>
        <v>835</v>
      </c>
      <c r="J47" s="532">
        <f t="shared" si="9"/>
        <v>99114.5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3.5</v>
      </c>
      <c r="D48" s="122">
        <f>SUMIFS('ESE FTE'!G:G,'ESE FTE'!$A:$A,$I$2,'ESE FTE'!$E:$E,13)</f>
        <v>4.16</v>
      </c>
      <c r="E48" s="1073">
        <f t="shared" si="8"/>
        <v>7.66</v>
      </c>
      <c r="F48" s="1073"/>
      <c r="G48" s="47" t="s">
        <v>59</v>
      </c>
      <c r="H48" s="37">
        <v>252</v>
      </c>
      <c r="I48" s="125">
        <f>Consolidated!$H66</f>
        <v>3168</v>
      </c>
      <c r="J48" s="532">
        <f t="shared" si="9"/>
        <v>24266.880000000001</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61.22</v>
      </c>
      <c r="D50" s="774">
        <f>SUM(D41:D49)</f>
        <v>72.61</v>
      </c>
      <c r="E50" s="1075">
        <f>SUM(E41:E49)</f>
        <v>133.83000000000001</v>
      </c>
      <c r="F50" s="1075"/>
      <c r="G50" s="1030" t="s">
        <v>61</v>
      </c>
      <c r="H50" s="1030"/>
      <c r="I50" s="1030"/>
      <c r="J50" s="220">
        <f>SUM(J41:J49)</f>
        <v>134640</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651.34</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3.1189999999999998E-3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639.23080000000004</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2.885E-3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651.34</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3.7030000000000001E-3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651.34</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3.1229999999999999E-3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651.34</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3.7090000000000001E-3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3.1229999999999999E-3</v>
      </c>
      <c r="J68" s="127">
        <f>ROUND(G68*I68,2)</f>
        <v>143241.75</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3.1189999999999998E-3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3.7090000000000001E-3</v>
      </c>
      <c r="J71" s="127">
        <f>ROUND(G71*I71,2)</f>
        <v>69856.87</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3.7030000000000001E-3</v>
      </c>
      <c r="J72" s="127">
        <f>ROUND(G72*I72,2)</f>
        <v>41569.99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0.3</v>
      </c>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7</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7.3</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5.6599999999999999E-4</v>
      </c>
      <c r="J84" s="62">
        <f>ROUND(G84*I84,2)</f>
        <v>33112.58</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2.885E-3</v>
      </c>
      <c r="J85" s="127">
        <f>ROUND(G85*I85,2)</f>
        <v>819037.63</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2.885E-3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3.1189999999999998E-3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24.1465</v>
      </c>
      <c r="C91" s="80"/>
      <c r="D91" s="981">
        <f>I6</f>
        <v>1.0309999999999999</v>
      </c>
      <c r="E91" s="981"/>
      <c r="F91" s="981"/>
      <c r="G91" s="113">
        <f>Consolidated!F$119</f>
        <v>918.1</v>
      </c>
      <c r="H91" s="47" t="s">
        <v>66</v>
      </c>
      <c r="I91" s="532">
        <f>ROUND(B91*D91*G91,2)</f>
        <v>22856.14</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615.08429999999998</v>
      </c>
      <c r="C92" s="80"/>
      <c r="D92" s="981">
        <f>I6</f>
        <v>1.0309999999999999</v>
      </c>
      <c r="E92" s="981"/>
      <c r="F92" s="981"/>
      <c r="G92" s="113">
        <f>Consolidated!F$120</f>
        <v>920.31</v>
      </c>
      <c r="H92" s="47" t="s">
        <v>66</v>
      </c>
      <c r="I92" s="532">
        <f>ROUND(B92*D92*G92,2)</f>
        <v>583616.35</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639.23079999999993</v>
      </c>
      <c r="C93" s="80"/>
      <c r="D93" s="80"/>
      <c r="E93" s="1059" t="s">
        <v>110</v>
      </c>
      <c r="F93" s="1059"/>
      <c r="G93" s="1059"/>
      <c r="H93" s="1059"/>
      <c r="I93" s="1059"/>
      <c r="J93" s="116">
        <f>IF(A1=75,0,I92+I91+I90)</f>
        <v>606472.49</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f>119+4</f>
        <v>123</v>
      </c>
      <c r="D97" s="223">
        <f>129+9</f>
        <v>138</v>
      </c>
      <c r="E97" s="1103">
        <f>IF(D97&gt;0,(C97+D97)/2,C97)</f>
        <v>130.5</v>
      </c>
      <c r="F97" s="982"/>
      <c r="G97" s="982"/>
      <c r="H97" s="85" t="s">
        <v>115</v>
      </c>
      <c r="I97" s="119">
        <f>Consolidated!G$127</f>
        <v>583</v>
      </c>
      <c r="J97" s="127">
        <f>ROUND(I97*E97,2)</f>
        <v>76081.5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5520827.4700000007</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5225888.6600000011</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c r="I114" s="639">
        <f>IF(I111=1,J111,J109)</f>
        <v>5225888.6600000011</v>
      </c>
      <c r="J114" s="640">
        <f>ROUND(IF(E28=0,0,IF(E28&gt;250,-(((250/E28)*I114)*IF(H114="H",0.02,0.05)),IF(H114="H",-0.02*I114,-0.05*I114))),2)</f>
        <v>-100291.1</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5420536.370000001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Payments'!R103</f>
        <v>-952622.65999999992</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4467913.7100000009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446791.37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161003.32999999999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35" workbookViewId="0">
      <selection activeCell="G37" sqref="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505</v>
      </c>
      <c r="B2" s="101"/>
      <c r="C2" s="101"/>
      <c r="D2" s="101"/>
      <c r="E2" s="6"/>
      <c r="F2" s="6"/>
      <c r="G2" s="6"/>
      <c r="H2" s="6"/>
      <c r="I2" s="685" t="str">
        <f>RIGHT(A2,4)</f>
        <v>4001</v>
      </c>
      <c r="J2" s="6"/>
      <c r="K2" s="6"/>
      <c r="L2" s="6"/>
      <c r="M2" s="6"/>
      <c r="N2" s="6"/>
      <c r="O2" s="6"/>
      <c r="P2" s="6"/>
      <c r="Q2" s="6"/>
      <c r="R2" s="987" t="str">
        <f>Revenue_Estimate_Worksheet_for___________Charter_School</f>
        <v>Revenue Estimate Worksheet: Renaissance Charter School at Wellington - 4001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90.9</v>
      </c>
      <c r="D12" s="699">
        <f>SUMIFS('Surv2-3'!K:K,'Surv2-3'!$H:$H,$I$2,'Surv2-3'!$I:$I,$O12)</f>
        <v>88.039999999999992</v>
      </c>
      <c r="E12" s="1081">
        <f t="shared" ref="E12:E27" si="0">IF($D$28=0,C12*2,C12+D12)</f>
        <v>178.94</v>
      </c>
      <c r="F12" s="1081"/>
      <c r="G12" s="1096">
        <f>Consolidated!$F14</f>
        <v>1.107</v>
      </c>
      <c r="H12" s="1096">
        <f>Consolidated!$H$9</f>
        <v>1</v>
      </c>
      <c r="I12" s="534">
        <f>ROUND(E12*G12,4)</f>
        <v>198.0866</v>
      </c>
      <c r="J12" s="535">
        <f t="shared" ref="J12:J27" si="1">ROUND(ROUND(ROUND(I12*$E$6,4)*($I$6),2)*(MAX($I$7,1)),2)</f>
        <v>1114590.83</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13</v>
      </c>
      <c r="D13" s="389">
        <f>SUMIFS('Surv2-3'!K:K,'Surv2-3'!$H:$H,$I$2,'Surv2-3'!$I:$I,$O13)</f>
        <v>15.059999999999999</v>
      </c>
      <c r="E13" s="1080">
        <f t="shared" si="0"/>
        <v>28.06</v>
      </c>
      <c r="F13" s="1080"/>
      <c r="G13" s="1086">
        <f>Consolidated!$F15</f>
        <v>1.107</v>
      </c>
      <c r="H13" s="1086">
        <f>Consolidated!$H$9</f>
        <v>1</v>
      </c>
      <c r="I13" s="534">
        <f t="shared" ref="I13:I27" si="3">ROUND(E13*G13,4)</f>
        <v>31.0624</v>
      </c>
      <c r="J13" s="535">
        <f t="shared" si="1"/>
        <v>174781.46</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149.74</v>
      </c>
      <c r="D14" s="389">
        <f>SUMIFS('Surv2-3'!L:L,'Surv2-3'!$H:$H,$I$2,'Surv2-3'!$I:$I,$O14)</f>
        <v>148.94</v>
      </c>
      <c r="E14" s="1080">
        <f t="shared" si="0"/>
        <v>298.68</v>
      </c>
      <c r="F14" s="1080"/>
      <c r="G14" s="1086">
        <f>Consolidated!$F16</f>
        <v>1</v>
      </c>
      <c r="H14" s="1086">
        <f>Consolidated!$H$9</f>
        <v>1</v>
      </c>
      <c r="I14" s="534">
        <f t="shared" si="3"/>
        <v>298.68</v>
      </c>
      <c r="J14" s="535">
        <f>ROUND(ROUND(ROUND(I14*$E$6,4)*($I$6),2)*(MAX($I$7,1)),2)</f>
        <v>1680608.32</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24</v>
      </c>
      <c r="D15" s="389">
        <f>SUMIFS('Surv2-3'!L:L,'Surv2-3'!$H:$H,$I$2,'Surv2-3'!$I:$I,$O15)</f>
        <v>23.5</v>
      </c>
      <c r="E15" s="1080">
        <f t="shared" si="0"/>
        <v>47.5</v>
      </c>
      <c r="F15" s="1080"/>
      <c r="G15" s="1086">
        <f>Consolidated!$F17</f>
        <v>1</v>
      </c>
      <c r="H15" s="1086">
        <f>Consolidated!$H$9</f>
        <v>1</v>
      </c>
      <c r="I15" s="534">
        <f t="shared" si="3"/>
        <v>47.5</v>
      </c>
      <c r="J15" s="535">
        <f t="shared" si="1"/>
        <v>267272.32000000001</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28.6</v>
      </c>
      <c r="D24" s="389">
        <f>SUMIFS('Surv2-3'!K:K,'Surv2-3'!$H:$H,$I$2,'Surv2-3'!$I:$I,$O24)</f>
        <v>28.16</v>
      </c>
      <c r="E24" s="1080">
        <f t="shared" si="0"/>
        <v>56.760000000000005</v>
      </c>
      <c r="F24" s="1080"/>
      <c r="G24" s="1086">
        <f>Consolidated!$F26</f>
        <v>1.161</v>
      </c>
      <c r="H24" s="1086">
        <f>Consolidated!$H$9</f>
        <v>1</v>
      </c>
      <c r="I24" s="534">
        <f t="shared" si="3"/>
        <v>65.898399999999995</v>
      </c>
      <c r="J24" s="535">
        <f t="shared" si="1"/>
        <v>370796.17</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15.260000000000002</v>
      </c>
      <c r="D25" s="389">
        <f>SUMIFS('Surv2-3'!L:L,'Surv2-3'!$H:$H,$I$2,'Surv2-3'!$I:$I,$O25)</f>
        <v>13.580000000000002</v>
      </c>
      <c r="E25" s="1080">
        <f t="shared" si="0"/>
        <v>28.840000000000003</v>
      </c>
      <c r="F25" s="1080"/>
      <c r="G25" s="1086">
        <f>Consolidated!$F27</f>
        <v>1.161</v>
      </c>
      <c r="H25" s="1086">
        <f>Consolidated!$H$9</f>
        <v>1</v>
      </c>
      <c r="I25" s="534">
        <f t="shared" si="3"/>
        <v>33.483199999999997</v>
      </c>
      <c r="J25" s="535">
        <f t="shared" si="1"/>
        <v>188402.79</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321.5</v>
      </c>
      <c r="D28" s="773">
        <f>SUM(D12:D27)</f>
        <v>317.27999999999997</v>
      </c>
      <c r="E28" s="1085">
        <f>SUM(E12:E27)</f>
        <v>638.78000000000009</v>
      </c>
      <c r="F28" s="1085"/>
      <c r="G28" s="1080"/>
      <c r="H28" s="1080"/>
      <c r="I28" s="23">
        <f>SUM(I12:I27)</f>
        <v>674.7106</v>
      </c>
      <c r="J28" s="116">
        <f>SUM(J12:J27)</f>
        <v>3796451.89</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674.7106</v>
      </c>
      <c r="H33" s="1080" t="s">
        <v>45</v>
      </c>
      <c r="I33" s="1080"/>
      <c r="J33" s="32">
        <f>SUM(J32,J28)</f>
        <v>3796451.89</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3796451.89</v>
      </c>
      <c r="H36" s="37" t="s">
        <v>48</v>
      </c>
      <c r="I36" s="38">
        <f>Consolidated!H53</f>
        <v>7.1400000000000005E-2</v>
      </c>
      <c r="J36" s="120">
        <f>ROUND(G36*I36,2)</f>
        <v>271066.65999999997</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3796451.89</v>
      </c>
      <c r="H37" s="37" t="s">
        <v>48</v>
      </c>
      <c r="I37" s="38">
        <f>Consolidated!H54</f>
        <v>1.06E-2</v>
      </c>
      <c r="J37" s="120">
        <f>ROUND(G37*I37,2)</f>
        <v>40242.39</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311309.05</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11.65</v>
      </c>
      <c r="D41" s="776">
        <f>SUMIFS('ESE FTE'!G:G,'ESE FTE'!$A:$A,$I$2,'ESE FTE'!$E:$E,6)</f>
        <v>13.49</v>
      </c>
      <c r="E41" s="1073">
        <f t="shared" ref="E41:E49" si="8">IF($D$50=0,C41*2,C41+D41)</f>
        <v>25.14</v>
      </c>
      <c r="F41" s="1073"/>
      <c r="G41" s="37" t="s">
        <v>57</v>
      </c>
      <c r="H41" s="37">
        <v>251</v>
      </c>
      <c r="I41" s="125">
        <f>Consolidated!$H59</f>
        <v>1047</v>
      </c>
      <c r="J41" s="532">
        <f t="shared" ref="J41:J49" si="9">ROUND(E41*I41,2)</f>
        <v>26321.58</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1.08</v>
      </c>
      <c r="D42" s="122">
        <f>SUMIFS('ESE FTE'!G:G,'ESE FTE'!$A:$A,$I$2,'ESE FTE'!$E:$E,7)</f>
        <v>1.26</v>
      </c>
      <c r="E42" s="1073">
        <f t="shared" si="8"/>
        <v>2.34</v>
      </c>
      <c r="F42" s="1073"/>
      <c r="G42" s="37" t="s">
        <v>57</v>
      </c>
      <c r="H42" s="37">
        <v>252</v>
      </c>
      <c r="I42" s="125">
        <f>Consolidated!$H60</f>
        <v>3380</v>
      </c>
      <c r="J42" s="532">
        <f t="shared" si="9"/>
        <v>7909.2</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0.27</v>
      </c>
      <c r="D43" s="122">
        <f>SUMIFS('ESE FTE'!G:G,'ESE FTE'!$A:$A,$I$2,'ESE FTE'!$E:$E,8)</f>
        <v>0.31</v>
      </c>
      <c r="E43" s="1073">
        <f t="shared" si="8"/>
        <v>0.58000000000000007</v>
      </c>
      <c r="F43" s="1073"/>
      <c r="G43" s="37" t="s">
        <v>57</v>
      </c>
      <c r="H43" s="37">
        <v>253</v>
      </c>
      <c r="I43" s="125">
        <f>Consolidated!$H61</f>
        <v>6896</v>
      </c>
      <c r="J43" s="532">
        <f t="shared" si="9"/>
        <v>3999.68</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16.62</v>
      </c>
      <c r="D44" s="776">
        <f>SUMIFS('ESE FTE'!G:G,'ESE FTE'!$A:$A,$I$2,'ESE FTE'!$E:$E,9)</f>
        <v>16.27</v>
      </c>
      <c r="E44" s="1073">
        <f t="shared" si="8"/>
        <v>32.89</v>
      </c>
      <c r="F44" s="1073"/>
      <c r="G44" s="47" t="s">
        <v>58</v>
      </c>
      <c r="H44" s="37">
        <v>251</v>
      </c>
      <c r="I44" s="125">
        <f>Consolidated!$H62</f>
        <v>1173</v>
      </c>
      <c r="J44" s="532">
        <f t="shared" si="9"/>
        <v>38579.97</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7.38</v>
      </c>
      <c r="D45" s="122">
        <f>SUMIFS('ESE FTE'!G:G,'ESE FTE'!$A:$A,$I$2,'ESE FTE'!$E:$E,10)</f>
        <v>7.23</v>
      </c>
      <c r="E45" s="1073">
        <f t="shared" si="8"/>
        <v>14.61</v>
      </c>
      <c r="F45" s="1073"/>
      <c r="G45" s="47" t="s">
        <v>58</v>
      </c>
      <c r="H45" s="37">
        <v>252</v>
      </c>
      <c r="I45" s="125">
        <f>Consolidated!$H63</f>
        <v>3506</v>
      </c>
      <c r="J45" s="532">
        <f t="shared" si="9"/>
        <v>51222.66</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37</v>
      </c>
      <c r="D50" s="774">
        <f>SUM(D41:D49)</f>
        <v>38.56</v>
      </c>
      <c r="E50" s="1075">
        <f>SUM(E41:E49)</f>
        <v>75.56</v>
      </c>
      <c r="F50" s="1075"/>
      <c r="G50" s="1030" t="s">
        <v>61</v>
      </c>
      <c r="H50" s="1030"/>
      <c r="I50" s="1030"/>
      <c r="J50" s="220">
        <f>SUM(J41:J49)</f>
        <v>128033.09</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638.78000000000009</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3.058E-3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674.7106</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3.0460000000000001E-3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638.78000000000009</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3.6310000000000001E-3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638.78000000000009</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3.0630000000000002E-3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638.78000000000009</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3.6380000000000002E-3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3.0630000000000002E-3</v>
      </c>
      <c r="J68" s="127">
        <f>ROUND(G68*I68,2)</f>
        <v>140489.74</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3.058E-3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3.6380000000000002E-3</v>
      </c>
      <c r="J71" s="127">
        <f>ROUND(G71*I71,2)</f>
        <v>68519.63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3.6310000000000001E-3</v>
      </c>
      <c r="J72" s="127">
        <f>ROUND(G72*I72,2)</f>
        <v>40761.72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3.0460000000000001E-3</v>
      </c>
      <c r="J85" s="127">
        <f>ROUND(G85*I85,2)</f>
        <v>864744.75</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3.0460000000000001E-3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3.058E-3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295.04739999999998</v>
      </c>
      <c r="C90" s="80"/>
      <c r="D90" s="981">
        <f>I6</f>
        <v>1.0309999999999999</v>
      </c>
      <c r="E90" s="981"/>
      <c r="F90" s="981"/>
      <c r="G90" s="113">
        <f>Consolidated!F$118</f>
        <v>961.57</v>
      </c>
      <c r="H90" s="47" t="s">
        <v>66</v>
      </c>
      <c r="I90" s="532">
        <f>ROUND(B90*D90*G90,2)</f>
        <v>292503.7</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379.66320000000002</v>
      </c>
      <c r="C91" s="80"/>
      <c r="D91" s="981">
        <f>I6</f>
        <v>1.0309999999999999</v>
      </c>
      <c r="E91" s="981"/>
      <c r="F91" s="981"/>
      <c r="G91" s="113">
        <f>Consolidated!F$119</f>
        <v>918.1</v>
      </c>
      <c r="H91" s="47" t="s">
        <v>66</v>
      </c>
      <c r="I91" s="532">
        <f>ROUND(B91*D91*G91,2)</f>
        <v>359374.42</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674.7106</v>
      </c>
      <c r="C93" s="80"/>
      <c r="D93" s="80"/>
      <c r="E93" s="1059" t="s">
        <v>110</v>
      </c>
      <c r="F93" s="1059"/>
      <c r="G93" s="1059"/>
      <c r="H93" s="1059"/>
      <c r="I93" s="1059"/>
      <c r="J93" s="116">
        <f>IF(A1=75,0,I92+I91+I90)</f>
        <v>651878.12</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89</v>
      </c>
      <c r="D97" s="223">
        <v>93</v>
      </c>
      <c r="E97" s="1103">
        <f>IF(D97&gt;0,(C97+D97)/2,C97)</f>
        <v>91</v>
      </c>
      <c r="F97" s="982"/>
      <c r="G97" s="982"/>
      <c r="H97" s="85" t="s">
        <v>115</v>
      </c>
      <c r="I97" s="119">
        <f>Consolidated!G$127</f>
        <v>583</v>
      </c>
      <c r="J97" s="127">
        <f>ROUND(I97*E97,2)</f>
        <v>53053</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5743931.9399999995</v>
      </c>
      <c r="L107" s="533"/>
      <c r="R107" s="1015" t="s">
        <v>123</v>
      </c>
      <c r="S107" s="1015"/>
      <c r="T107" s="1015"/>
      <c r="U107" s="1015"/>
      <c r="V107" s="1015"/>
      <c r="W107" s="1015"/>
      <c r="X107" s="1015"/>
      <c r="Y107" s="208">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5432622.8899999997</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5432622.8899999997</v>
      </c>
      <c r="J114" s="234">
        <f>ROUND(IF(E28=0,0,IF(E28&gt;250,-(((250/E28)*I114)*IF(H114="H",0.02,0.05)),IF(H114="H",-0.02*I114,-0.05*I114))),2)</f>
        <v>-106308.57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5637623.3699999992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Payments'!R104</f>
        <v>-938397.71</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4699225.6599999992</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469922.57</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165322.57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35"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506</v>
      </c>
      <c r="B2" s="101"/>
      <c r="C2" s="101"/>
      <c r="D2" s="101"/>
      <c r="E2" s="6"/>
      <c r="F2" s="6"/>
      <c r="G2" s="6"/>
      <c r="H2" s="6"/>
      <c r="I2" s="685" t="str">
        <f>RIGHT(A2,4)</f>
        <v>4002</v>
      </c>
      <c r="J2" s="6"/>
      <c r="K2" s="6"/>
      <c r="L2" s="6"/>
      <c r="M2" s="6"/>
      <c r="N2" s="6"/>
      <c r="O2" s="6"/>
      <c r="P2" s="6"/>
      <c r="Q2" s="6"/>
      <c r="R2" s="987" t="str">
        <f>Revenue_Estimate_Worksheet_for___________Charter_School</f>
        <v>Revenue Estimate Worksheet: Renaissance Charter School at Summit - 4002</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97.49</v>
      </c>
      <c r="D12" s="699">
        <f>SUMIFS('Surv2-3'!K:K,'Surv2-3'!$H:$H,$I$2,'Surv2-3'!$I:$I,$O12)</f>
        <v>93.34</v>
      </c>
      <c r="E12" s="1081">
        <f t="shared" ref="E12:E27" si="0">IF($D$28=0,C12*2,C12+D12)</f>
        <v>190.82999999999998</v>
      </c>
      <c r="F12" s="1081"/>
      <c r="G12" s="1096">
        <f>Consolidated!$F14</f>
        <v>1.107</v>
      </c>
      <c r="H12" s="1096">
        <f>Consolidated!$H$9</f>
        <v>1</v>
      </c>
      <c r="I12" s="534">
        <f>ROUND(E12*G12,4)</f>
        <v>211.24879999999999</v>
      </c>
      <c r="J12" s="535">
        <f t="shared" ref="J12:J27" si="1">ROUND(ROUND(ROUND(I12*$E$6,4)*($I$6),2)*(MAX($I$7,1)),2)</f>
        <v>1188651.71</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14</v>
      </c>
      <c r="D13" s="389">
        <f>SUMIFS('Surv2-3'!K:K,'Surv2-3'!$H:$H,$I$2,'Surv2-3'!$I:$I,$O13)</f>
        <v>13</v>
      </c>
      <c r="E13" s="1080">
        <f t="shared" si="0"/>
        <v>27</v>
      </c>
      <c r="F13" s="1080"/>
      <c r="G13" s="1086">
        <f>Consolidated!$F15</f>
        <v>1.107</v>
      </c>
      <c r="H13" s="1086">
        <f>Consolidated!$H$9</f>
        <v>1</v>
      </c>
      <c r="I13" s="534">
        <f t="shared" ref="I13:I27" si="3">ROUND(E13*G13,4)</f>
        <v>29.888999999999999</v>
      </c>
      <c r="J13" s="535">
        <f t="shared" si="1"/>
        <v>168178.99</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177.15</v>
      </c>
      <c r="D14" s="389">
        <f>SUMIFS('Surv2-3'!L:L,'Surv2-3'!$H:$H,$I$2,'Surv2-3'!$I:$I,$O14)</f>
        <v>173.72</v>
      </c>
      <c r="E14" s="1080">
        <f t="shared" si="0"/>
        <v>350.87</v>
      </c>
      <c r="F14" s="1080"/>
      <c r="G14" s="1086">
        <f>Consolidated!$F16</f>
        <v>1</v>
      </c>
      <c r="H14" s="1086">
        <f>Consolidated!$H$9</f>
        <v>1</v>
      </c>
      <c r="I14" s="534">
        <f t="shared" si="3"/>
        <v>350.87</v>
      </c>
      <c r="J14" s="535">
        <f>ROUND(ROUND(ROUND(I14*$E$6,4)*($I$6),2)*(MAX($I$7,1)),2)</f>
        <v>1974270.26</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25.5</v>
      </c>
      <c r="D15" s="389">
        <f>SUMIFS('Surv2-3'!L:L,'Surv2-3'!$H:$H,$I$2,'Surv2-3'!$I:$I,$O15)</f>
        <v>23.939999999999998</v>
      </c>
      <c r="E15" s="1080">
        <f t="shared" si="0"/>
        <v>49.44</v>
      </c>
      <c r="F15" s="1080"/>
      <c r="G15" s="1086">
        <f>Consolidated!$F17</f>
        <v>1</v>
      </c>
      <c r="H15" s="1086">
        <f>Consolidated!$H$9</f>
        <v>1</v>
      </c>
      <c r="I15" s="534">
        <f t="shared" si="3"/>
        <v>49.44</v>
      </c>
      <c r="J15" s="535">
        <f t="shared" si="1"/>
        <v>278188.28000000003</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92.51</v>
      </c>
      <c r="D24" s="389">
        <f>SUMIFS('Surv2-3'!K:K,'Surv2-3'!$H:$H,$I$2,'Surv2-3'!$I:$I,$O24)</f>
        <v>87.22</v>
      </c>
      <c r="E24" s="1080">
        <f t="shared" si="0"/>
        <v>179.73000000000002</v>
      </c>
      <c r="F24" s="1080"/>
      <c r="G24" s="1086">
        <f>Consolidated!$F26</f>
        <v>1.161</v>
      </c>
      <c r="H24" s="1086">
        <f>Consolidated!$H$9</f>
        <v>1</v>
      </c>
      <c r="I24" s="534">
        <f t="shared" si="3"/>
        <v>208.66650000000001</v>
      </c>
      <c r="J24" s="535">
        <f t="shared" si="1"/>
        <v>1174121.6599999999</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38.35</v>
      </c>
      <c r="D25" s="389">
        <f>SUMIFS('Surv2-3'!L:L,'Surv2-3'!$H:$H,$I$2,'Surv2-3'!$I:$I,$O25)</f>
        <v>38.25</v>
      </c>
      <c r="E25" s="1080">
        <f t="shared" si="0"/>
        <v>76.599999999999994</v>
      </c>
      <c r="F25" s="1080"/>
      <c r="G25" s="1086">
        <f>Consolidated!$F27</f>
        <v>1.161</v>
      </c>
      <c r="H25" s="1086">
        <f>Consolidated!$H$9</f>
        <v>1</v>
      </c>
      <c r="I25" s="534">
        <f t="shared" si="3"/>
        <v>88.932599999999994</v>
      </c>
      <c r="J25" s="535">
        <f t="shared" si="1"/>
        <v>500404.67</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445</v>
      </c>
      <c r="D28" s="773">
        <f>SUM(D12:D27)</f>
        <v>429.47</v>
      </c>
      <c r="E28" s="1085">
        <f>SUM(E12:E27)</f>
        <v>874.47000000000014</v>
      </c>
      <c r="F28" s="1085"/>
      <c r="G28" s="1080"/>
      <c r="H28" s="1080"/>
      <c r="I28" s="23">
        <f>SUM(I12:I27)</f>
        <v>939.04689999999994</v>
      </c>
      <c r="J28" s="116">
        <f>SUM(J12:J27)</f>
        <v>5283815.57</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939.04689999999994</v>
      </c>
      <c r="H33" s="1080" t="s">
        <v>45</v>
      </c>
      <c r="I33" s="1080"/>
      <c r="J33" s="32">
        <f>SUM(J32,J28)</f>
        <v>5283815.57</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5283815.57</v>
      </c>
      <c r="H36" s="37" t="s">
        <v>48</v>
      </c>
      <c r="I36" s="38">
        <f>Consolidated!H53</f>
        <v>7.1400000000000005E-2</v>
      </c>
      <c r="J36" s="120">
        <f>ROUND(G36*I36,2)</f>
        <v>377264.43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5283815.57</v>
      </c>
      <c r="H37" s="37" t="s">
        <v>48</v>
      </c>
      <c r="I37" s="38">
        <f>Consolidated!H54</f>
        <v>1.06E-2</v>
      </c>
      <c r="J37" s="120">
        <f>ROUND(G37*I37,2)</f>
        <v>56008.45</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433272.88</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8.5</v>
      </c>
      <c r="D41" s="776">
        <f>SUMIFS('ESE FTE'!G:G,'ESE FTE'!$A:$A,$I$2,'ESE FTE'!$E:$E,6)</f>
        <v>7.89</v>
      </c>
      <c r="E41" s="1073">
        <f t="shared" ref="E41:E49" si="8">IF($D$50=0,C41*2,C41+D41)</f>
        <v>16.39</v>
      </c>
      <c r="F41" s="1073"/>
      <c r="G41" s="37" t="s">
        <v>57</v>
      </c>
      <c r="H41" s="37">
        <v>251</v>
      </c>
      <c r="I41" s="125">
        <f>Consolidated!$H59</f>
        <v>1047</v>
      </c>
      <c r="J41" s="532">
        <f t="shared" ref="J41:J49" si="9">ROUND(E41*I41,2)</f>
        <v>17160.330000000002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4.5</v>
      </c>
      <c r="D42" s="122">
        <f>SUMIFS('ESE FTE'!G:G,'ESE FTE'!$A:$A,$I$2,'ESE FTE'!$E:$E,7)</f>
        <v>4.18</v>
      </c>
      <c r="E42" s="1073">
        <f t="shared" si="8"/>
        <v>8.68</v>
      </c>
      <c r="F42" s="1073"/>
      <c r="G42" s="37" t="s">
        <v>57</v>
      </c>
      <c r="H42" s="37">
        <v>252</v>
      </c>
      <c r="I42" s="125">
        <f>Consolidated!$H60</f>
        <v>3380</v>
      </c>
      <c r="J42" s="532">
        <f t="shared" si="9"/>
        <v>29338.400000000001</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1</v>
      </c>
      <c r="D43" s="122">
        <f>SUMIFS('ESE FTE'!G:G,'ESE FTE'!$A:$A,$I$2,'ESE FTE'!$E:$E,8)</f>
        <v>0.93</v>
      </c>
      <c r="E43" s="1073">
        <f t="shared" si="8"/>
        <v>1.9300000000000002</v>
      </c>
      <c r="F43" s="1073"/>
      <c r="G43" s="37" t="s">
        <v>57</v>
      </c>
      <c r="H43" s="37">
        <v>253</v>
      </c>
      <c r="I43" s="125">
        <f>Consolidated!$H61</f>
        <v>6896</v>
      </c>
      <c r="J43" s="532">
        <f t="shared" si="9"/>
        <v>13309.28</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21.5</v>
      </c>
      <c r="D44" s="776">
        <f>SUMIFS('ESE FTE'!G:G,'ESE FTE'!$A:$A,$I$2,'ESE FTE'!$E:$E,9)</f>
        <v>20.18</v>
      </c>
      <c r="E44" s="1073">
        <f t="shared" si="8"/>
        <v>41.68</v>
      </c>
      <c r="F44" s="1073"/>
      <c r="G44" s="47" t="s">
        <v>58</v>
      </c>
      <c r="H44" s="37">
        <v>251</v>
      </c>
      <c r="I44" s="125">
        <f>Consolidated!$H62</f>
        <v>1173</v>
      </c>
      <c r="J44" s="532">
        <f t="shared" si="9"/>
        <v>48890.64</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4</v>
      </c>
      <c r="D45" s="122">
        <f>SUMIFS('ESE FTE'!G:G,'ESE FTE'!$A:$A,$I$2,'ESE FTE'!$E:$E,10)</f>
        <v>3.76</v>
      </c>
      <c r="E45" s="1073">
        <f t="shared" si="8"/>
        <v>7.76</v>
      </c>
      <c r="F45" s="1073"/>
      <c r="G45" s="47" t="s">
        <v>58</v>
      </c>
      <c r="H45" s="37">
        <v>252</v>
      </c>
      <c r="I45" s="125">
        <f>Consolidated!$H63</f>
        <v>3506</v>
      </c>
      <c r="J45" s="532">
        <f t="shared" si="9"/>
        <v>27206.560000000001</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39.5</v>
      </c>
      <c r="D50" s="774">
        <f>SUM(D41:D49)</f>
        <v>36.94</v>
      </c>
      <c r="E50" s="1075">
        <f>SUM(E41:E49)</f>
        <v>76.440000000000012</v>
      </c>
      <c r="F50" s="1075"/>
      <c r="G50" s="1030" t="s">
        <v>61</v>
      </c>
      <c r="H50" s="1030"/>
      <c r="I50" s="1030"/>
      <c r="J50" s="220">
        <f>SUM(J41:J49)</f>
        <v>135905.21</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874.47000000000014</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4.1869999999999997E-3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939.04689999999994</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4.2389999999999997E-3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874.47000000000014</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4.9709999999999997E-3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874.47000000000014</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4.1929999999999997E-3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874.47000000000014</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4.9800000000000001E-3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4.1929999999999997E-3</v>
      </c>
      <c r="J68" s="127">
        <f>ROUND(G68*I68,2)</f>
        <v>192319.13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4.1869999999999997E-3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4.9800000000000001E-3</v>
      </c>
      <c r="J71" s="127">
        <f>ROUND(G71*I71,2)</f>
        <v>93795.43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4.9709999999999997E-3</v>
      </c>
      <c r="J72" s="127">
        <f>ROUND(G72*I72,2)</f>
        <v>55804.6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4.2389999999999997E-3</v>
      </c>
      <c r="J85" s="127">
        <f>ROUND(G85*I85,2)</f>
        <v>1203431.72</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4.2389999999999997E-3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4.1869999999999997E-3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449.80430000000001</v>
      </c>
      <c r="C90" s="80"/>
      <c r="D90" s="981">
        <f>I6</f>
        <v>1.0309999999999999</v>
      </c>
      <c r="E90" s="981"/>
      <c r="F90" s="981"/>
      <c r="G90" s="113">
        <f>Consolidated!F$118</f>
        <v>961.57</v>
      </c>
      <c r="H90" s="47" t="s">
        <v>66</v>
      </c>
      <c r="I90" s="130">
        <f>ROUND(B90*D90*G90,2)</f>
        <v>445926.39</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489.24259999999998</v>
      </c>
      <c r="C91" s="80"/>
      <c r="D91" s="981">
        <f>I6</f>
        <v>1.0309999999999999</v>
      </c>
      <c r="E91" s="981"/>
      <c r="F91" s="981"/>
      <c r="G91" s="113">
        <f>Consolidated!F$119</f>
        <v>918.1</v>
      </c>
      <c r="H91" s="47" t="s">
        <v>66</v>
      </c>
      <c r="I91" s="129">
        <f>ROUND(B91*D91*G91,2)</f>
        <v>463098.01</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939.04690000000005</v>
      </c>
      <c r="C93" s="80"/>
      <c r="D93" s="80"/>
      <c r="E93" s="1059" t="s">
        <v>110</v>
      </c>
      <c r="F93" s="1059"/>
      <c r="G93" s="1059"/>
      <c r="H93" s="1059"/>
      <c r="I93" s="1059"/>
      <c r="J93" s="116">
        <f>IF(A1=75,0,I92+I91+I90)</f>
        <v>909024.4</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1</v>
      </c>
      <c r="E97" s="1103">
        <f>IF(D97&gt;0,(C97+D97)/2,C97)</f>
        <v>0.5</v>
      </c>
      <c r="F97" s="982"/>
      <c r="G97" s="982"/>
      <c r="H97" s="85" t="s">
        <v>115</v>
      </c>
      <c r="I97" s="119">
        <f>Consolidated!G$127</f>
        <v>583</v>
      </c>
      <c r="J97" s="127">
        <f>ROUND(I97*E97,2)</f>
        <v>291.5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7874387.5599999996</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7441114.6799999997</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c r="I114" s="639">
        <f>IF(I111=1,J111,J109)</f>
        <v>7441114.6799999997</v>
      </c>
      <c r="J114" s="640">
        <f>ROUND(IF(E28=0,0,IF(E28&gt;250,-(((250/E28)*I114)*IF(H114="H",0.02,0.05)),IF(H114="H",-0.02*I114,-0.05*I114))),2)</f>
        <v>-106366.07</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7768021.4899999993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Payments'!R105</f>
        <v>-1291191.8799999999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6476829.6099999994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647682.96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265689.65999999997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sheetPr>
    <tabColor theme="0" tint="-0.34998626667073579"/>
  </sheetPr>
  <dimension ref="A1:Z207"/>
  <sheetViews>
    <sheetView topLeftCell="A26" workbookViewId="0">
      <selection activeCell="C12" sqref="C12"/>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507</v>
      </c>
      <c r="B2" s="101"/>
      <c r="C2" s="101"/>
      <c r="D2" s="101"/>
      <c r="E2" s="6"/>
      <c r="F2" s="6"/>
      <c r="G2" s="6"/>
      <c r="H2" s="6"/>
      <c r="I2" s="685" t="str">
        <f>RIGHT(A2,4)</f>
        <v>4012</v>
      </c>
      <c r="J2" s="6"/>
      <c r="K2" s="6"/>
      <c r="L2" s="6"/>
      <c r="M2" s="6"/>
      <c r="N2" s="6"/>
      <c r="O2" s="6"/>
      <c r="P2" s="6"/>
      <c r="Q2" s="6"/>
      <c r="R2" s="987" t="str">
        <f>Revenue_Estimate_Worksheet_for___________Charter_School</f>
        <v>Revenue Estimate Worksheet: Somerset Academy Canyons Middle School - 4012</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0</v>
      </c>
      <c r="D28" s="772">
        <f>SUM(D12:D27)</f>
        <v>0</v>
      </c>
      <c r="E28" s="1085">
        <f>SUM(E12:E27)</f>
        <v>0</v>
      </c>
      <c r="F28" s="1085"/>
      <c r="G28" s="1080"/>
      <c r="H28" s="1080"/>
      <c r="I28" s="23">
        <f>SUM(I12:I27)</f>
        <v>0</v>
      </c>
      <c r="J28" s="116">
        <f>SUM(J12:J27)</f>
        <v>0</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0</v>
      </c>
      <c r="H33" s="1080" t="s">
        <v>45</v>
      </c>
      <c r="I33" s="1080"/>
      <c r="J33" s="32">
        <f>SUM(J32,J28)</f>
        <v>0</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f>J$28</f>
        <v>0</v>
      </c>
      <c r="H36" s="37" t="s">
        <v>48</v>
      </c>
      <c r="I36" s="38">
        <f>Consolidated!H53</f>
        <v>7.1400000000000005E-2</v>
      </c>
      <c r="J36" s="120">
        <f>ROUND(G36*I36,2)</f>
        <v>0</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f>J$28</f>
        <v>0</v>
      </c>
      <c r="H37" s="37" t="s">
        <v>48</v>
      </c>
      <c r="I37" s="38">
        <f>Consolidated!H54</f>
        <v>1.06E-2</v>
      </c>
      <c r="J37" s="120">
        <f>ROUND(G37*I37,2)</f>
        <v>0</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0</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532">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532">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0</v>
      </c>
      <c r="D50" s="774">
        <f>SUM(D41:D49)</f>
        <v>0</v>
      </c>
      <c r="E50" s="1075">
        <f>SUM(E41:E49)</f>
        <v>0</v>
      </c>
      <c r="F50" s="1075"/>
      <c r="G50" s="1030" t="s">
        <v>61</v>
      </c>
      <c r="H50" s="1030"/>
      <c r="I50" s="1030"/>
      <c r="J50" s="220">
        <f>SUM(J41:J49)</f>
        <v>0</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0</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0</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0</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0</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0</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0</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0</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0</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0</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0</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0</v>
      </c>
      <c r="J68" s="127">
        <f>ROUND(G68*I68,2)</f>
        <v>0</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0</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54">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0</v>
      </c>
      <c r="J85" s="654">
        <f>ROUND(G85*I85,2)</f>
        <v>0</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0</v>
      </c>
      <c r="J86" s="654">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0</v>
      </c>
      <c r="J87" s="654">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532">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0</v>
      </c>
      <c r="C93" s="80"/>
      <c r="D93" s="80"/>
      <c r="E93" s="1059" t="s">
        <v>110</v>
      </c>
      <c r="F93" s="1059"/>
      <c r="G93" s="1059"/>
      <c r="H93" s="1059"/>
      <c r="I93" s="1059"/>
      <c r="J93" s="116">
        <f>IF(A1=75,0,I92+I91+I90)</f>
        <v>0</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0</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0</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t="s">
        <v>478</v>
      </c>
      <c r="I114" s="639">
        <f>IF(I111=1,J111,J109)</f>
        <v>0</v>
      </c>
      <c r="J114" s="640">
        <f>ROUND(IF(E28=0,0,IF(E28&gt;250,-(((250/E28)*I114)*IF(H114="H",0.02,0.05)),IF(H114="H",-0.02*I114,-0.05*I114))),2)</f>
        <v>0</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Payments'!R106</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05" workbookViewId="0">
      <selection activeCell="J124" sqref="J12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508</v>
      </c>
      <c r="B2" s="101"/>
      <c r="C2" s="101"/>
      <c r="D2" s="101"/>
      <c r="E2" s="6"/>
      <c r="F2" s="6"/>
      <c r="G2" s="6"/>
      <c r="H2" s="6"/>
      <c r="I2" s="685" t="str">
        <f>RIGHT(A2,4)</f>
        <v>4013</v>
      </c>
      <c r="J2" s="6"/>
      <c r="K2" s="6"/>
      <c r="L2" s="6"/>
      <c r="M2" s="6"/>
      <c r="N2" s="6"/>
      <c r="O2" s="6"/>
      <c r="P2" s="6"/>
      <c r="Q2" s="6"/>
      <c r="R2" s="987" t="str">
        <f>Revenue_Estimate_Worksheet_for___________Charter_School</f>
        <v>Revenue Estimate Worksheet: Somerset Academy Canyons High School - 4013</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222.88</v>
      </c>
      <c r="D14" s="389">
        <f>SUMIFS('Surv2-3'!L:L,'Surv2-3'!$H:$H,$I$2,'Surv2-3'!$I:$I,$O14)</f>
        <v>216.48000000000002</v>
      </c>
      <c r="E14" s="1080">
        <f t="shared" si="0"/>
        <v>439.36</v>
      </c>
      <c r="F14" s="1080"/>
      <c r="G14" s="1086">
        <f>Consolidated!$F16</f>
        <v>1</v>
      </c>
      <c r="H14" s="1086">
        <f>Consolidated!$H$9</f>
        <v>1</v>
      </c>
      <c r="I14" s="534">
        <f t="shared" si="3"/>
        <v>439.36</v>
      </c>
      <c r="J14" s="535">
        <f>ROUND(ROUND(ROUND(I14*$E$6,4)*($I$6),2)*(MAX($I$7,1)),2)</f>
        <v>2472184.52</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41.94</v>
      </c>
      <c r="D15" s="389">
        <f>SUMIFS('Surv2-3'!L:L,'Surv2-3'!$H:$H,$I$2,'Surv2-3'!$I:$I,$O15)</f>
        <v>38.440000000000005</v>
      </c>
      <c r="E15" s="1080">
        <f t="shared" si="0"/>
        <v>80.38</v>
      </c>
      <c r="F15" s="1080"/>
      <c r="G15" s="1086">
        <f>Consolidated!$F17</f>
        <v>1</v>
      </c>
      <c r="H15" s="1086">
        <f>Consolidated!$H$9</f>
        <v>1</v>
      </c>
      <c r="I15" s="534">
        <f t="shared" si="3"/>
        <v>80.38</v>
      </c>
      <c r="J15" s="535">
        <f t="shared" si="1"/>
        <v>452281.03</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429.38</v>
      </c>
      <c r="D16" s="389">
        <f>SUMIFS('Surv2-3'!M:M,'Surv2-3'!$H:$H,$I$2,'Surv2-3'!$I:$I,$O16)</f>
        <v>417.08</v>
      </c>
      <c r="E16" s="1080">
        <f t="shared" si="0"/>
        <v>846.46</v>
      </c>
      <c r="F16" s="1080"/>
      <c r="G16" s="1086">
        <f>Consolidated!$F18</f>
        <v>0.96499999999999997</v>
      </c>
      <c r="H16" s="1086">
        <f>Consolidated!$H$9</f>
        <v>1</v>
      </c>
      <c r="I16" s="534">
        <f t="shared" si="3"/>
        <v>816.83389999999997</v>
      </c>
      <c r="J16" s="535">
        <f t="shared" si="1"/>
        <v>4596149.2300000004</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47</v>
      </c>
      <c r="D17" s="389">
        <f>SUMIFS('Surv2-3'!M:M,'Surv2-3'!$H:$H,$I$2,'Surv2-3'!$I:$I,$O17)</f>
        <v>42.15</v>
      </c>
      <c r="E17" s="1080">
        <f t="shared" si="0"/>
        <v>89.15</v>
      </c>
      <c r="F17" s="1080"/>
      <c r="G17" s="1086">
        <f>Consolidated!$F19</f>
        <v>0.96499999999999997</v>
      </c>
      <c r="H17" s="1086">
        <f>Consolidated!$H$9</f>
        <v>1</v>
      </c>
      <c r="I17" s="534">
        <f t="shared" si="3"/>
        <v>86.029799999999994</v>
      </c>
      <c r="J17" s="535">
        <f t="shared" si="1"/>
        <v>484071.24</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5.87</v>
      </c>
      <c r="D25" s="389">
        <f>SUMIFS('Surv2-3'!L:L,'Surv2-3'!$H:$H,$I$2,'Surv2-3'!$I:$I,$O25)</f>
        <v>4.99</v>
      </c>
      <c r="E25" s="1080">
        <f t="shared" si="0"/>
        <v>10.86</v>
      </c>
      <c r="F25" s="1080"/>
      <c r="G25" s="1086">
        <f>Consolidated!$F27</f>
        <v>1.161</v>
      </c>
      <c r="H25" s="1086">
        <f>Consolidated!$H$9</f>
        <v>1</v>
      </c>
      <c r="I25" s="534">
        <f t="shared" si="3"/>
        <v>12.608499999999999</v>
      </c>
      <c r="J25" s="535">
        <f t="shared" si="1"/>
        <v>70945.33</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6.09</v>
      </c>
      <c r="D26" s="389">
        <f>SUMIFS('Surv2-3'!M:M,'Surv2-3'!$H:$H,$I$2,'Surv2-3'!$I:$I,$O26)</f>
        <v>5.14</v>
      </c>
      <c r="E26" s="1080">
        <f t="shared" si="0"/>
        <v>11.23</v>
      </c>
      <c r="F26" s="1080"/>
      <c r="G26" s="1086">
        <f>Consolidated!$F28</f>
        <v>1.161</v>
      </c>
      <c r="H26" s="1086">
        <f>Consolidated!$H$9</f>
        <v>1</v>
      </c>
      <c r="I26" s="534">
        <f t="shared" si="3"/>
        <v>13.038</v>
      </c>
      <c r="J26" s="535">
        <f t="shared" si="1"/>
        <v>73362.03</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22.41</v>
      </c>
      <c r="D27" s="390">
        <f>SUMIFS('Surv2-3'!J:J,'Surv2-3'!$H:$H,$I$2,'Surv2-3'!$I:$I,$O27)</f>
        <v>22.080000000000002</v>
      </c>
      <c r="E27" s="1082">
        <f t="shared" si="0"/>
        <v>44.49</v>
      </c>
      <c r="F27" s="1082"/>
      <c r="G27" s="1083">
        <f>Consolidated!$F29</f>
        <v>1.0900000000000001</v>
      </c>
      <c r="H27" s="1083">
        <f>Consolidated!$H$9</f>
        <v>1</v>
      </c>
      <c r="I27" s="22">
        <f t="shared" si="3"/>
        <v>48.494100000000003</v>
      </c>
      <c r="J27" s="116">
        <f t="shared" si="1"/>
        <v>272865.90000000002</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775.57</v>
      </c>
      <c r="D28" s="773">
        <f>SUM(D12:D27)</f>
        <v>746.36</v>
      </c>
      <c r="E28" s="1108">
        <f>SUM(E12:E27)</f>
        <v>1521.93</v>
      </c>
      <c r="F28" s="1108"/>
      <c r="G28" s="1080"/>
      <c r="H28" s="1080"/>
      <c r="I28" s="23">
        <f>SUM(I12:I27)</f>
        <v>1496.7442999999998</v>
      </c>
      <c r="J28" s="116">
        <f>SUM(J12:J27)</f>
        <v>8421859.2800000012</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1496.7442999999998</v>
      </c>
      <c r="H33" s="1080" t="s">
        <v>45</v>
      </c>
      <c r="I33" s="1080"/>
      <c r="J33" s="32">
        <f>SUM(J32,J28)</f>
        <v>8421859.2800000012</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8421859.2800000012</v>
      </c>
      <c r="H36" s="37" t="s">
        <v>48</v>
      </c>
      <c r="I36" s="38">
        <f>Consolidated!H53</f>
        <v>7.1400000000000005E-2</v>
      </c>
      <c r="J36" s="120">
        <f>ROUND(G36*I36,2)</f>
        <v>601320.75</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8421859.2800000012</v>
      </c>
      <c r="H37" s="37" t="s">
        <v>48</v>
      </c>
      <c r="I37" s="38">
        <f>Consolidated!H54</f>
        <v>1.06E-2</v>
      </c>
      <c r="J37" s="120">
        <f>ROUND(G37*I37,2)</f>
        <v>89271.71</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690592.46</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38.94</v>
      </c>
      <c r="D44" s="776">
        <f>SUMIFS('ESE FTE'!G:G,'ESE FTE'!$A:$A,$I$2,'ESE FTE'!$E:$E,9)</f>
        <v>35.69</v>
      </c>
      <c r="E44" s="1073">
        <f t="shared" si="8"/>
        <v>74.63</v>
      </c>
      <c r="F44" s="1073"/>
      <c r="G44" s="47" t="s">
        <v>58</v>
      </c>
      <c r="H44" s="37">
        <v>251</v>
      </c>
      <c r="I44" s="125">
        <f>Consolidated!$H62</f>
        <v>1173</v>
      </c>
      <c r="J44" s="532">
        <f t="shared" si="9"/>
        <v>87540.99</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3</v>
      </c>
      <c r="D45" s="122">
        <f>SUMIFS('ESE FTE'!G:G,'ESE FTE'!$A:$A,$I$2,'ESE FTE'!$E:$E,10)</f>
        <v>2.75</v>
      </c>
      <c r="E45" s="1073">
        <f t="shared" si="8"/>
        <v>5.75</v>
      </c>
      <c r="F45" s="1073"/>
      <c r="G45" s="47" t="s">
        <v>58</v>
      </c>
      <c r="H45" s="37">
        <v>252</v>
      </c>
      <c r="I45" s="125">
        <f>Consolidated!$H63</f>
        <v>3506</v>
      </c>
      <c r="J45" s="532">
        <f t="shared" si="9"/>
        <v>20159.5</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43.34</v>
      </c>
      <c r="D47" s="122">
        <f>SUMIFS('ESE FTE'!G:G,'ESE FTE'!$A:$A,$I$2,'ESE FTE'!$E:$E,12)</f>
        <v>38.869999999999997</v>
      </c>
      <c r="E47" s="1073">
        <f t="shared" si="8"/>
        <v>82.210000000000008</v>
      </c>
      <c r="F47" s="1073"/>
      <c r="G47" s="47" t="s">
        <v>59</v>
      </c>
      <c r="H47" s="37">
        <v>251</v>
      </c>
      <c r="I47" s="125">
        <f>Consolidated!$H65</f>
        <v>835</v>
      </c>
      <c r="J47" s="532">
        <f t="shared" si="9"/>
        <v>68645.350000000006</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3.66</v>
      </c>
      <c r="D48" s="122">
        <f>SUMIFS('ESE FTE'!G:G,'ESE FTE'!$A:$A,$I$2,'ESE FTE'!$E:$E,13)</f>
        <v>3.28</v>
      </c>
      <c r="E48" s="1073">
        <f t="shared" si="8"/>
        <v>6.9399999999999995</v>
      </c>
      <c r="F48" s="1073"/>
      <c r="G48" s="47" t="s">
        <v>59</v>
      </c>
      <c r="H48" s="37">
        <v>252</v>
      </c>
      <c r="I48" s="125">
        <f>Consolidated!$H66</f>
        <v>3168</v>
      </c>
      <c r="J48" s="532">
        <f t="shared" si="9"/>
        <v>21985.919999999998</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88.94</v>
      </c>
      <c r="D50" s="774">
        <f>SUM(D41:D49)</f>
        <v>80.59</v>
      </c>
      <c r="E50" s="1075">
        <f>SUM(E41:E49)</f>
        <v>169.53</v>
      </c>
      <c r="F50" s="1075"/>
      <c r="G50" s="1030" t="s">
        <v>61</v>
      </c>
      <c r="H50" s="1030"/>
      <c r="I50" s="1030"/>
      <c r="J50" s="220">
        <f>SUM(J41:J49)</f>
        <v>198331.76</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1521.93</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7.2870000000000001E-3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1496.7442999999998</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6.7559999999999999E-3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1521.93</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8.652E-3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1521.93</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7.2979999999999998E-3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1521.93</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8.6669999999999994E-3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7.2979999999999998E-3</v>
      </c>
      <c r="J68" s="127">
        <f>ROUND(G68*I68,2)</f>
        <v>334735.28000000003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7.2870000000000001E-3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8.6669999999999994E-3</v>
      </c>
      <c r="J71" s="127">
        <f>ROUND(G71*I71,2)</f>
        <v>163237.94</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8.652E-3</v>
      </c>
      <c r="J72" s="127">
        <f>ROUND(G72*I72,2)</f>
        <v>97127.62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v>35.04</v>
      </c>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v>140.91999999999999</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f>11.6+29.3</f>
        <v>40.9</v>
      </c>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0.25</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v>17.920000000000002</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235.02999999999997</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1.8214999999999999E-2</v>
      </c>
      <c r="J84" s="62">
        <f>ROUND(G84*I84,2)</f>
        <v>1065628.32</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6.7559999999999999E-3</v>
      </c>
      <c r="J85" s="127">
        <f>ROUND(G85*I85,2)</f>
        <v>1917995.92</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6.7559999999999999E-3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7.2870000000000001E-3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532.34850000000006</v>
      </c>
      <c r="C91" s="80"/>
      <c r="D91" s="981">
        <f>I6</f>
        <v>1.0309999999999999</v>
      </c>
      <c r="E91" s="981"/>
      <c r="F91" s="981"/>
      <c r="G91" s="113">
        <f>Consolidated!F$119</f>
        <v>918.1</v>
      </c>
      <c r="H91" s="47" t="s">
        <v>66</v>
      </c>
      <c r="I91" s="532">
        <f>ROUND(B91*D91*G91,2)</f>
        <v>503900.38</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964.39580000000001</v>
      </c>
      <c r="C92" s="80"/>
      <c r="D92" s="981">
        <f>I6</f>
        <v>1.0309999999999999</v>
      </c>
      <c r="E92" s="981"/>
      <c r="F92" s="981"/>
      <c r="G92" s="113">
        <f>Consolidated!F$120</f>
        <v>920.31</v>
      </c>
      <c r="H92" s="47" t="s">
        <v>66</v>
      </c>
      <c r="I92" s="532">
        <f>ROUND(B92*D92*G92,2)</f>
        <v>915056.93</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1496.7443000000001</v>
      </c>
      <c r="C93" s="80"/>
      <c r="D93" s="80"/>
      <c r="E93" s="1059" t="s">
        <v>110</v>
      </c>
      <c r="F93" s="1059"/>
      <c r="G93" s="1059"/>
      <c r="H93" s="1059"/>
      <c r="I93" s="1059"/>
      <c r="J93" s="116">
        <f>IF(A1=75,0,I92+I91+I90)</f>
        <v>1418957.31</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f>25+3</f>
        <v>28</v>
      </c>
      <c r="D97" s="223">
        <f>25+4</f>
        <v>29</v>
      </c>
      <c r="E97" s="1103">
        <f>IF(D97&gt;0,(C97+D97)/2,C97)</f>
        <v>28.5</v>
      </c>
      <c r="F97" s="982"/>
      <c r="G97" s="982"/>
      <c r="H97" s="85" t="s">
        <v>115</v>
      </c>
      <c r="I97" s="119">
        <f>Consolidated!G$127</f>
        <v>583</v>
      </c>
      <c r="J97" s="127">
        <f>ROUND(I97*E97,2)</f>
        <v>16615.5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13634488.93</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12943896.469999999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t="s">
        <v>478</v>
      </c>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12943896.469999999</v>
      </c>
      <c r="J114" s="234">
        <f>ROUND(IF(E28=0,0,IF(E28&gt;250,-(((250/E28)*I114)*IF(H113="H",0.02,0.05)),IF(H113="H",-0.02*I114,-0.05*I114))),2)</f>
        <v>-42524.61</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13591964.32</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Payments'!R107</f>
        <v>-2305590.46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11286373.859999999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1128637.3899999999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216353.32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35"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509</v>
      </c>
      <c r="B2" s="101"/>
      <c r="C2" s="101"/>
      <c r="D2" s="101"/>
      <c r="E2" s="6"/>
      <c r="F2" s="6"/>
      <c r="G2" s="6"/>
      <c r="H2" s="6"/>
      <c r="I2" s="685" t="str">
        <f>RIGHT(A2,4)</f>
        <v>4020</v>
      </c>
      <c r="J2" s="6"/>
      <c r="K2" s="6"/>
      <c r="L2" s="6"/>
      <c r="M2" s="6"/>
      <c r="N2" s="6"/>
      <c r="O2" s="6"/>
      <c r="P2" s="6"/>
      <c r="Q2" s="6"/>
      <c r="R2" s="987" t="str">
        <f>Revenue_Estimate_Worksheet_for___________Charter_School</f>
        <v>Revenue Estimate Worksheet: Franklin Academy - Boynton Beach - 4020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234.29</v>
      </c>
      <c r="D12" s="699">
        <f>SUMIFS('Surv2-3'!K:K,'Surv2-3'!$H:$H,$I$2,'Surv2-3'!$I:$I,$O12)</f>
        <v>226.73000000000002</v>
      </c>
      <c r="E12" s="1081">
        <f t="shared" ref="E12:E27" si="0">IF($D$28=0,C12*2,C12+D12)</f>
        <v>461.02</v>
      </c>
      <c r="F12" s="1081"/>
      <c r="G12" s="1096">
        <f>Consolidated!$F14</f>
        <v>1.107</v>
      </c>
      <c r="H12" s="1096">
        <f>Consolidated!$H$9</f>
        <v>1</v>
      </c>
      <c r="I12" s="534">
        <f>ROUND(E12*G12,4)</f>
        <v>510.34910000000002</v>
      </c>
      <c r="J12" s="535">
        <f t="shared" ref="J12:J27" si="1">ROUND(ROUND(ROUND(I12*$E$6,4)*($I$6),2)*(MAX($I$7,1)),2)</f>
        <v>2871624.97</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30</v>
      </c>
      <c r="D13" s="389">
        <f>SUMIFS('Surv2-3'!K:K,'Surv2-3'!$H:$H,$I$2,'Surv2-3'!$I:$I,$O13)</f>
        <v>33</v>
      </c>
      <c r="E13" s="1080">
        <f t="shared" si="0"/>
        <v>63</v>
      </c>
      <c r="F13" s="1080"/>
      <c r="G13" s="1086">
        <f>Consolidated!$F15</f>
        <v>1.107</v>
      </c>
      <c r="H13" s="1086">
        <f>Consolidated!$H$9</f>
        <v>1</v>
      </c>
      <c r="I13" s="534">
        <f t="shared" ref="I13:I27" si="3">ROUND(E13*G13,4)</f>
        <v>69.741</v>
      </c>
      <c r="J13" s="535">
        <f t="shared" si="1"/>
        <v>392417.65</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272.62</v>
      </c>
      <c r="D14" s="389">
        <f>SUMIFS('Surv2-3'!L:L,'Surv2-3'!$H:$H,$I$2,'Surv2-3'!$I:$I,$O14)</f>
        <v>268.62</v>
      </c>
      <c r="E14" s="1080">
        <f t="shared" si="0"/>
        <v>541.24</v>
      </c>
      <c r="F14" s="1080"/>
      <c r="G14" s="1086">
        <f>Consolidated!$F16</f>
        <v>1</v>
      </c>
      <c r="H14" s="1086">
        <f>Consolidated!$H$9</f>
        <v>1</v>
      </c>
      <c r="I14" s="534">
        <f t="shared" si="3"/>
        <v>541.24</v>
      </c>
      <c r="J14" s="535">
        <f>ROUND(ROUND(ROUND(I14*$E$6,4)*($I$6),2)*(MAX($I$7,1)),2)</f>
        <v>3045441.44</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47.41</v>
      </c>
      <c r="D15" s="389">
        <f>SUMIFS('Surv2-3'!L:L,'Surv2-3'!$H:$H,$I$2,'Surv2-3'!$I:$I,$O15)</f>
        <v>47.72</v>
      </c>
      <c r="E15" s="1080">
        <f t="shared" si="0"/>
        <v>95.13</v>
      </c>
      <c r="F15" s="1080"/>
      <c r="G15" s="1086">
        <f>Consolidated!$F17</f>
        <v>1</v>
      </c>
      <c r="H15" s="1086">
        <f>Consolidated!$H$9</f>
        <v>1</v>
      </c>
      <c r="I15" s="534">
        <f t="shared" si="3"/>
        <v>95.13</v>
      </c>
      <c r="J15" s="535">
        <f t="shared" si="1"/>
        <v>535276.11</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25.21</v>
      </c>
      <c r="D24" s="389">
        <f>SUMIFS('Surv2-3'!K:K,'Surv2-3'!$H:$H,$I$2,'Surv2-3'!$I:$I,$O24)</f>
        <v>23.380000000000003</v>
      </c>
      <c r="E24" s="1080">
        <f t="shared" si="0"/>
        <v>48.59</v>
      </c>
      <c r="F24" s="1080"/>
      <c r="G24" s="1086">
        <f>Consolidated!$F26</f>
        <v>1.161</v>
      </c>
      <c r="H24" s="1086">
        <f>Consolidated!$H$9</f>
        <v>1</v>
      </c>
      <c r="I24" s="534">
        <f t="shared" si="3"/>
        <v>56.412999999999997</v>
      </c>
      <c r="J24" s="535">
        <f t="shared" si="1"/>
        <v>317423.86</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12.69</v>
      </c>
      <c r="D25" s="389">
        <f>SUMIFS('Surv2-3'!L:L,'Surv2-3'!$H:$H,$I$2,'Surv2-3'!$I:$I,$O25)</f>
        <v>13.139999999999999</v>
      </c>
      <c r="E25" s="1080">
        <f t="shared" si="0"/>
        <v>25.83</v>
      </c>
      <c r="F25" s="1080"/>
      <c r="G25" s="1086">
        <f>Consolidated!$F27</f>
        <v>1.161</v>
      </c>
      <c r="H25" s="1086">
        <f>Consolidated!$H$9</f>
        <v>1</v>
      </c>
      <c r="I25" s="534">
        <f t="shared" si="3"/>
        <v>29.988600000000002</v>
      </c>
      <c r="J25" s="535">
        <f t="shared" si="1"/>
        <v>168739.42</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622.22</v>
      </c>
      <c r="D28" s="773">
        <f>SUM(D12:D27)</f>
        <v>612.59</v>
      </c>
      <c r="E28" s="1108">
        <f>SUM(E12:E27)</f>
        <v>1234.8099999999997</v>
      </c>
      <c r="F28" s="1108"/>
      <c r="G28" s="1080"/>
      <c r="H28" s="1080"/>
      <c r="I28" s="23">
        <f>SUM(I12:I27)</f>
        <v>1302.8617000000002</v>
      </c>
      <c r="J28" s="116">
        <f>SUM(J12:J27)</f>
        <v>7330923.4500000011</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1302.8617000000002</v>
      </c>
      <c r="H33" s="1080" t="s">
        <v>45</v>
      </c>
      <c r="I33" s="1080"/>
      <c r="J33" s="32">
        <f>SUM(J32,J28)</f>
        <v>7330923.4500000011</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7330923.4500000011</v>
      </c>
      <c r="H36" s="37" t="s">
        <v>48</v>
      </c>
      <c r="I36" s="38">
        <f>Consolidated!H53</f>
        <v>7.1400000000000005E-2</v>
      </c>
      <c r="J36" s="120">
        <f>ROUND(G36*I36,2)</f>
        <v>523427.93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7330923.4500000011</v>
      </c>
      <c r="H37" s="37" t="s">
        <v>48</v>
      </c>
      <c r="I37" s="38">
        <f>Consolidated!H54</f>
        <v>1.06E-2</v>
      </c>
      <c r="J37" s="120">
        <f>ROUND(G37*I37,2)</f>
        <v>77707.789999999994</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601135.72</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532"/>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27.5</v>
      </c>
      <c r="D41" s="776">
        <f>SUMIFS('ESE FTE'!G:G,'ESE FTE'!$A:$A,$I$2,'ESE FTE'!$E:$E,6)</f>
        <v>30.25</v>
      </c>
      <c r="E41" s="1073">
        <f t="shared" ref="E41:E49" si="8">IF($D$50=0,C41*2,C41+D41)</f>
        <v>57.75</v>
      </c>
      <c r="F41" s="1073"/>
      <c r="G41" s="37" t="s">
        <v>57</v>
      </c>
      <c r="H41" s="37">
        <v>251</v>
      </c>
      <c r="I41" s="125">
        <f>Consolidated!$H59</f>
        <v>1047</v>
      </c>
      <c r="J41" s="532">
        <f t="shared" ref="J41:J49" si="9">ROUND(E41*I41,2)</f>
        <v>60464.25</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2</v>
      </c>
      <c r="D42" s="122">
        <f>SUMIFS('ESE FTE'!G:G,'ESE FTE'!$A:$A,$I$2,'ESE FTE'!$E:$E,7)</f>
        <v>2.2000000000000002</v>
      </c>
      <c r="E42" s="1073">
        <f t="shared" si="8"/>
        <v>4.2</v>
      </c>
      <c r="F42" s="1073"/>
      <c r="G42" s="37" t="s">
        <v>57</v>
      </c>
      <c r="H42" s="37">
        <v>252</v>
      </c>
      <c r="I42" s="125">
        <f>Consolidated!$H60</f>
        <v>3380</v>
      </c>
      <c r="J42" s="532">
        <f t="shared" si="9"/>
        <v>14196</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0.5</v>
      </c>
      <c r="D43" s="122">
        <f>SUMIFS('ESE FTE'!G:G,'ESE FTE'!$A:$A,$I$2,'ESE FTE'!$E:$E,8)</f>
        <v>0.55000000000000004</v>
      </c>
      <c r="E43" s="1073">
        <f t="shared" si="8"/>
        <v>1.05</v>
      </c>
      <c r="F43" s="1073"/>
      <c r="G43" s="37" t="s">
        <v>57</v>
      </c>
      <c r="H43" s="37">
        <v>253</v>
      </c>
      <c r="I43" s="125">
        <f>Consolidated!$H61</f>
        <v>6896</v>
      </c>
      <c r="J43" s="532">
        <f t="shared" si="9"/>
        <v>7240.8</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43.41</v>
      </c>
      <c r="D44" s="776">
        <f>SUMIFS('ESE FTE'!G:G,'ESE FTE'!$A:$A,$I$2,'ESE FTE'!$E:$E,9)</f>
        <v>43.69</v>
      </c>
      <c r="E44" s="1073">
        <f t="shared" si="8"/>
        <v>87.1</v>
      </c>
      <c r="F44" s="1073"/>
      <c r="G44" s="47" t="s">
        <v>58</v>
      </c>
      <c r="H44" s="37">
        <v>251</v>
      </c>
      <c r="I44" s="125">
        <f>Consolidated!$H62</f>
        <v>1173</v>
      </c>
      <c r="J44" s="532">
        <f t="shared" si="9"/>
        <v>102168.3</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4</v>
      </c>
      <c r="D45" s="122">
        <f>SUMIFS('ESE FTE'!G:G,'ESE FTE'!$A:$A,$I$2,'ESE FTE'!$E:$E,10)</f>
        <v>4.03</v>
      </c>
      <c r="E45" s="1073">
        <f t="shared" si="8"/>
        <v>8.0300000000000011</v>
      </c>
      <c r="F45" s="1073"/>
      <c r="G45" s="47" t="s">
        <v>58</v>
      </c>
      <c r="H45" s="37">
        <v>252</v>
      </c>
      <c r="I45" s="125">
        <f>Consolidated!$H63</f>
        <v>3506</v>
      </c>
      <c r="J45" s="532">
        <f t="shared" si="9"/>
        <v>28153.18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77.41</v>
      </c>
      <c r="D50" s="774">
        <f>SUM(D41:D49)</f>
        <v>80.72</v>
      </c>
      <c r="E50" s="1075">
        <f>SUM(E41:E49)</f>
        <v>158.13</v>
      </c>
      <c r="F50" s="1075"/>
      <c r="G50" s="1030" t="s">
        <v>61</v>
      </c>
      <c r="H50" s="1030"/>
      <c r="I50" s="1030"/>
      <c r="J50" s="220">
        <f>SUM(J41:J49)</f>
        <v>212222.53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1234.8099999999997</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5.9119999999999997E-3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1302.8617000000002</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5.8809999999999999E-3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1234.8099999999997</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7.0200000000000002E-3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1234.8099999999997</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5.921E-3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1234.8099999999997</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7.0320000000000001E-3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5.921E-3</v>
      </c>
      <c r="J68" s="127">
        <f>ROUND(G68*I68,2)</f>
        <v>271576.81</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5.9119999999999997E-3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7.0320000000000001E-3</v>
      </c>
      <c r="J71" s="127">
        <f>ROUND(G71*I71,2)</f>
        <v>132443.66</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7.0200000000000002E-3</v>
      </c>
      <c r="J72" s="127">
        <f>ROUND(G72*I72,2)</f>
        <v>78806.740000000005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5.8809999999999999E-3</v>
      </c>
      <c r="J85" s="127">
        <f>ROUND(G85*I85,2)</f>
        <v>1669587.62</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5.8809999999999999E-3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5.9119999999999997E-3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636.50310000000002</v>
      </c>
      <c r="C90" s="80"/>
      <c r="D90" s="981">
        <f>I6</f>
        <v>1.0309999999999999</v>
      </c>
      <c r="E90" s="981"/>
      <c r="F90" s="981"/>
      <c r="G90" s="113">
        <f>Consolidated!F$118</f>
        <v>961.57</v>
      </c>
      <c r="H90" s="47" t="s">
        <v>66</v>
      </c>
      <c r="I90" s="532">
        <f>ROUND(B90*D90*G90,2)</f>
        <v>631015.6</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666.35860000000002</v>
      </c>
      <c r="C91" s="80"/>
      <c r="D91" s="981">
        <f>I6</f>
        <v>1.0309999999999999</v>
      </c>
      <c r="E91" s="981"/>
      <c r="F91" s="981"/>
      <c r="G91" s="113">
        <f>Consolidated!F$119</f>
        <v>918.1</v>
      </c>
      <c r="H91" s="47" t="s">
        <v>66</v>
      </c>
      <c r="I91" s="532">
        <f>ROUND(B91*D91*G91,2)</f>
        <v>630749.13</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1302.8616999999999</v>
      </c>
      <c r="C93" s="80"/>
      <c r="D93" s="80"/>
      <c r="E93" s="1059" t="s">
        <v>110</v>
      </c>
      <c r="F93" s="1059"/>
      <c r="G93" s="1059"/>
      <c r="H93" s="1059"/>
      <c r="I93" s="1059"/>
      <c r="J93" s="116">
        <f>IF(A1=75,0,I92+I91+I90)</f>
        <v>1261764.73</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241</v>
      </c>
      <c r="D97" s="223">
        <v>261</v>
      </c>
      <c r="E97" s="1103">
        <f>IF(D97&gt;0,(C97+D97)/2,C97)</f>
        <v>251</v>
      </c>
      <c r="F97" s="982"/>
      <c r="G97" s="982"/>
      <c r="H97" s="85" t="s">
        <v>115</v>
      </c>
      <c r="I97" s="119">
        <f>Consolidated!G$127</f>
        <v>583</v>
      </c>
      <c r="J97" s="127">
        <f>ROUND(I97*E97,2)</f>
        <v>146333</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11103658.540000001</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10502522.82</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638"/>
      <c r="I114" s="639">
        <f>IF(I111=1,J111,J109)</f>
        <v>10502522.82</v>
      </c>
      <c r="J114" s="640">
        <f>ROUND(IF(E28=0,0,IF(E28&gt;250,-(((250/E28)*I114)*IF(H114="H",0.02,0.05)),IF(H114="H",-0.02*I114,-0.05*I114))),2)</f>
        <v>-106317.19</v>
      </c>
      <c r="M114" s="2"/>
      <c r="N114" s="3"/>
      <c r="R114" s="2"/>
      <c r="T114" s="4"/>
      <c r="W114" s="2"/>
      <c r="X114" s="5"/>
    </row>
    <row r="115" spans="1:26" ht="16.5" customHeight="1" x14ac:dyDescent="0.25">
      <c r="A115" s="231"/>
      <c r="B115" s="231"/>
      <c r="C115" s="231"/>
      <c r="D115" s="231"/>
      <c r="E115" s="231"/>
      <c r="F115" s="231"/>
      <c r="G115" s="231"/>
      <c r="H115" s="641"/>
      <c r="I115" s="642"/>
      <c r="J115" s="643"/>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644"/>
      <c r="I116" s="645"/>
      <c r="J116" s="646">
        <f>J107+J114</f>
        <v>10997341.350000001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641"/>
      <c r="I117" s="642"/>
      <c r="J117" s="643"/>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641"/>
      <c r="I118" s="642"/>
      <c r="J118" s="647">
        <f>-'Cumulative Payments'!R108</f>
        <v>-1834602.49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641"/>
      <c r="I119" s="642"/>
      <c r="J119" s="643"/>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641"/>
      <c r="I120" s="642"/>
      <c r="J120" s="643">
        <f>J116+J118</f>
        <v>9162738.8600000013</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641"/>
      <c r="I121" s="642"/>
      <c r="J121" s="643"/>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641"/>
      <c r="I122" s="642"/>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641"/>
      <c r="I123" s="642"/>
      <c r="J123" s="643"/>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641"/>
      <c r="I124" s="642"/>
      <c r="J124" s="649">
        <f>ROUND(J120/J122,2)</f>
        <v>916273.89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641"/>
      <c r="I125" s="642"/>
      <c r="J125" s="643"/>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641"/>
      <c r="I126" s="642"/>
      <c r="J126" s="650">
        <f>ROUND(IF(H114="H",(I114*0.02)+J114,(I114*0.05)+J114),2)</f>
        <v>418808.95</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sheetPr>
    <tabColor theme="0" tint="-0.34998626667073579"/>
  </sheetPr>
  <dimension ref="A1:Z207"/>
  <sheetViews>
    <sheetView topLeftCell="A26" workbookViewId="0">
      <selection activeCell="A8" sqref="A8"/>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510</v>
      </c>
      <c r="B2" s="101"/>
      <c r="C2" s="101"/>
      <c r="D2" s="101"/>
      <c r="E2" s="6"/>
      <c r="F2" s="6"/>
      <c r="G2" s="6"/>
      <c r="H2" s="6"/>
      <c r="I2" s="685" t="str">
        <f>RIGHT(A2,4)</f>
        <v>4030</v>
      </c>
      <c r="J2" s="6"/>
      <c r="K2" s="6"/>
      <c r="L2" s="6"/>
      <c r="M2" s="6"/>
      <c r="N2" s="6"/>
      <c r="O2" s="6"/>
      <c r="P2" s="6"/>
      <c r="Q2" s="6"/>
      <c r="R2" s="987" t="str">
        <f>Revenue_Estimate_Worksheet_for___________Charter_School</f>
        <v>Revenue Estimate Worksheet: Olympus International Academy - 4030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0</v>
      </c>
      <c r="D28" s="773">
        <f>SUM(D12:D27)</f>
        <v>0</v>
      </c>
      <c r="E28" s="1085">
        <f>SUM(E12:E27)</f>
        <v>0</v>
      </c>
      <c r="F28" s="1085"/>
      <c r="G28" s="1080"/>
      <c r="H28" s="1080"/>
      <c r="I28" s="23">
        <f>SUM(I12:I27)</f>
        <v>0</v>
      </c>
      <c r="J28" s="116">
        <f>SUM(J12:J27)</f>
        <v>0</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0</v>
      </c>
      <c r="H33" s="1080" t="s">
        <v>45</v>
      </c>
      <c r="I33" s="1080"/>
      <c r="J33" s="32">
        <f>SUM(J32,J28)</f>
        <v>0</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708">
        <f>J$28</f>
        <v>0</v>
      </c>
      <c r="H36" s="37" t="s">
        <v>48</v>
      </c>
      <c r="I36" s="38">
        <f>Consolidated!H53</f>
        <v>7.1400000000000005E-2</v>
      </c>
      <c r="J36" s="120">
        <f>ROUND(G36*I36,2)</f>
        <v>0</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708">
        <f>J$28</f>
        <v>0</v>
      </c>
      <c r="H37" s="37" t="s">
        <v>48</v>
      </c>
      <c r="I37" s="38">
        <f>Consolidated!H54</f>
        <v>1.06E-2</v>
      </c>
      <c r="J37" s="120">
        <f>ROUND(G37*I37,2)</f>
        <v>0</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0</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532"/>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532">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532">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0</v>
      </c>
      <c r="D50" s="774">
        <f>SUM(D41:D49)</f>
        <v>0</v>
      </c>
      <c r="E50" s="1075">
        <f>SUM(E41:E49)</f>
        <v>0</v>
      </c>
      <c r="F50" s="1075"/>
      <c r="G50" s="1030" t="s">
        <v>61</v>
      </c>
      <c r="H50" s="1030"/>
      <c r="I50" s="1030"/>
      <c r="J50" s="220">
        <f>SUM(J41:J49)</f>
        <v>0</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0</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0</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E56</f>
        <v>0</v>
      </c>
      <c r="U55" s="173" t="s">
        <v>64</v>
      </c>
      <c r="V55" s="174"/>
      <c r="W55" s="175" t="s">
        <v>69</v>
      </c>
      <c r="X55" s="1037">
        <f>I56</f>
        <v>221542.28000000003</v>
      </c>
      <c r="Y55" s="1037"/>
    </row>
    <row r="56" spans="1:25" ht="16.5" customHeight="1" x14ac:dyDescent="0.25">
      <c r="A56" s="1013" t="s">
        <v>68</v>
      </c>
      <c r="B56" s="1013"/>
      <c r="C56" s="51"/>
      <c r="D56" s="51"/>
      <c r="E56" s="48">
        <f>G33</f>
        <v>0</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0</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0</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0</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0</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0</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0</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0</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0</v>
      </c>
      <c r="J68" s="127">
        <f>ROUND(G68*I68,2)</f>
        <v>0</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0</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0</v>
      </c>
      <c r="J85" s="127">
        <f>ROUND(G85*I85,2)</f>
        <v>0</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0</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532">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0</v>
      </c>
      <c r="C93" s="80"/>
      <c r="D93" s="80"/>
      <c r="E93" s="1059" t="s">
        <v>110</v>
      </c>
      <c r="F93" s="1059"/>
      <c r="G93" s="1059"/>
      <c r="H93" s="1059"/>
      <c r="I93" s="1059"/>
      <c r="J93" s="116">
        <f>IF(A1=75,0,I92+I91+I90)</f>
        <v>0</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0</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0</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0</v>
      </c>
      <c r="J114" s="234">
        <f>ROUND(IF(E28=0,0,IF(E28&gt;250,-(((250/E28)*I114)*IF(H114="H",0.02,0.05)),IF(H114="H",-0.02*I114,-0.05*I114))),2)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Payments'!R109</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35"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511</v>
      </c>
      <c r="B2" s="101"/>
      <c r="C2" s="101"/>
      <c r="D2" s="101"/>
      <c r="E2" s="6"/>
      <c r="F2" s="6"/>
      <c r="G2" s="6"/>
      <c r="H2" s="6"/>
      <c r="I2" s="685" t="str">
        <f>RIGHT(A2,4)</f>
        <v>4031</v>
      </c>
      <c r="J2" s="6"/>
      <c r="K2" s="6"/>
      <c r="L2" s="6"/>
      <c r="M2" s="6"/>
      <c r="N2" s="6"/>
      <c r="O2" s="6"/>
      <c r="P2" s="6"/>
      <c r="Q2" s="6"/>
      <c r="R2" s="987" t="str">
        <f>Revenue_Estimate_Worksheet_for___________Charter_School</f>
        <v>Revenue Estimate Worksheet: Somerset Academy Wellington - 4031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51.690000000000005</v>
      </c>
      <c r="D12" s="699">
        <f>SUMIFS('Surv2-3'!K:K,'Surv2-3'!$H:$H,$I$2,'Surv2-3'!$I:$I,$O12)</f>
        <v>49.23</v>
      </c>
      <c r="E12" s="1081">
        <f t="shared" ref="E12:E27" si="0">IF($D$28=0,C12*2,C12+D12)</f>
        <v>100.92</v>
      </c>
      <c r="F12" s="1081"/>
      <c r="G12" s="1096">
        <f>Consolidated!$F14</f>
        <v>1.107</v>
      </c>
      <c r="H12" s="1096">
        <f>Consolidated!$H$9</f>
        <v>1</v>
      </c>
      <c r="I12" s="534">
        <f>ROUND(E12*G12,4)</f>
        <v>111.7184</v>
      </c>
      <c r="J12" s="535">
        <f t="shared" ref="J12:J27" si="1">ROUND(ROUND(ROUND(I12*$E$6,4)*($I$6),2)*(MAX($I$7,1)),2)</f>
        <v>628615.48</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6</v>
      </c>
      <c r="D13" s="389">
        <f>SUMIFS('Surv2-3'!K:K,'Surv2-3'!$H:$H,$I$2,'Surv2-3'!$I:$I,$O13)</f>
        <v>8.0399999999999991</v>
      </c>
      <c r="E13" s="1080">
        <f t="shared" si="0"/>
        <v>14.04</v>
      </c>
      <c r="F13" s="1080"/>
      <c r="G13" s="1086">
        <f>Consolidated!$F15</f>
        <v>1.107</v>
      </c>
      <c r="H13" s="1086">
        <f>Consolidated!$H$9</f>
        <v>1</v>
      </c>
      <c r="I13" s="534">
        <f t="shared" ref="I13:I27" si="3">ROUND(E13*G13,4)</f>
        <v>15.542299999999999</v>
      </c>
      <c r="J13" s="535">
        <f t="shared" si="1"/>
        <v>87453.19</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89.88</v>
      </c>
      <c r="D14" s="389">
        <f>SUMIFS('Surv2-3'!L:L,'Surv2-3'!$H:$H,$I$2,'Surv2-3'!$I:$I,$O14)</f>
        <v>90.48</v>
      </c>
      <c r="E14" s="1080">
        <f t="shared" si="0"/>
        <v>180.36</v>
      </c>
      <c r="F14" s="1080"/>
      <c r="G14" s="1086">
        <f>Consolidated!$F16</f>
        <v>1</v>
      </c>
      <c r="H14" s="1086">
        <f>Consolidated!$H$9</f>
        <v>1</v>
      </c>
      <c r="I14" s="534">
        <f t="shared" si="3"/>
        <v>180.36</v>
      </c>
      <c r="J14" s="535">
        <f>ROUND(ROUND(ROUND(I14*$E$6,4)*($I$6),2)*(MAX($I$7,1)),2)</f>
        <v>1014847.05</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18.5</v>
      </c>
      <c r="D15" s="389">
        <f>SUMIFS('Surv2-3'!L:L,'Surv2-3'!$H:$H,$I$2,'Surv2-3'!$I:$I,$O15)</f>
        <v>18.07</v>
      </c>
      <c r="E15" s="1080">
        <f t="shared" si="0"/>
        <v>36.57</v>
      </c>
      <c r="F15" s="1080"/>
      <c r="G15" s="1086">
        <f>Consolidated!$F17</f>
        <v>1</v>
      </c>
      <c r="H15" s="1086">
        <f>Consolidated!$H$9</f>
        <v>1</v>
      </c>
      <c r="I15" s="534">
        <f t="shared" si="3"/>
        <v>36.57</v>
      </c>
      <c r="J15" s="535">
        <f t="shared" si="1"/>
        <v>205771.55</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20.270000000000003</v>
      </c>
      <c r="D24" s="389">
        <f>SUMIFS('Surv2-3'!K:K,'Surv2-3'!$H:$H,$I$2,'Surv2-3'!$I:$I,$O24)</f>
        <v>19.130000000000003</v>
      </c>
      <c r="E24" s="1080">
        <f t="shared" si="0"/>
        <v>39.400000000000006</v>
      </c>
      <c r="F24" s="1080"/>
      <c r="G24" s="1086">
        <f>Consolidated!$F26</f>
        <v>1.161</v>
      </c>
      <c r="H24" s="1086">
        <f>Consolidated!$H$9</f>
        <v>1</v>
      </c>
      <c r="I24" s="534">
        <f t="shared" si="3"/>
        <v>45.743400000000001</v>
      </c>
      <c r="J24" s="535">
        <f t="shared" si="1"/>
        <v>257388.3</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13.86</v>
      </c>
      <c r="D25" s="389">
        <f>SUMIFS('Surv2-3'!L:L,'Surv2-3'!$H:$H,$I$2,'Surv2-3'!$I:$I,$O25)</f>
        <v>12.8</v>
      </c>
      <c r="E25" s="1080">
        <f t="shared" si="0"/>
        <v>26.66</v>
      </c>
      <c r="F25" s="1080"/>
      <c r="G25" s="1086">
        <f>Consolidated!$F27</f>
        <v>1.161</v>
      </c>
      <c r="H25" s="1086">
        <f>Consolidated!$H$9</f>
        <v>1</v>
      </c>
      <c r="I25" s="534">
        <f t="shared" si="3"/>
        <v>30.952300000000001</v>
      </c>
      <c r="J25" s="535">
        <f t="shared" si="1"/>
        <v>174161.96</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200.2</v>
      </c>
      <c r="D28" s="773">
        <f>SUM(D12:D27)</f>
        <v>197.75</v>
      </c>
      <c r="E28" s="1085">
        <f>SUM(E12:E27)</f>
        <v>397.9500000000001</v>
      </c>
      <c r="F28" s="1085"/>
      <c r="G28" s="1080"/>
      <c r="H28" s="1080"/>
      <c r="I28" s="23">
        <f>SUM(I12:I27)</f>
        <v>420.88639999999998</v>
      </c>
      <c r="J28" s="116">
        <f>SUM(J12:J27)</f>
        <v>2368237.5299999998</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420.88639999999998</v>
      </c>
      <c r="H33" s="1080" t="s">
        <v>45</v>
      </c>
      <c r="I33" s="1080"/>
      <c r="J33" s="32">
        <f>SUM(J32,J28)</f>
        <v>2368237.5299999998</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2368237.5299999998</v>
      </c>
      <c r="H36" s="37" t="s">
        <v>48</v>
      </c>
      <c r="I36" s="38">
        <f>Consolidated!H53</f>
        <v>7.1400000000000005E-2</v>
      </c>
      <c r="J36" s="120">
        <f>ROUND(G36*I36,2)</f>
        <v>169092.16</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2368237.5299999998</v>
      </c>
      <c r="H37" s="37" t="s">
        <v>48</v>
      </c>
      <c r="I37" s="38">
        <f>Consolidated!H54</f>
        <v>1.06E-2</v>
      </c>
      <c r="J37" s="120">
        <f>ROUND(G37*I37,2)</f>
        <v>25103.32</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194195.48</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4</v>
      </c>
      <c r="D41" s="776">
        <f>SUMIFS('ESE FTE'!G:G,'ESE FTE'!$A:$A,$I$2,'ESE FTE'!$E:$E,6)</f>
        <v>5.36</v>
      </c>
      <c r="E41" s="1073">
        <f t="shared" ref="E41:E49" si="8">IF($D$50=0,C41*2,C41+D41)</f>
        <v>9.36</v>
      </c>
      <c r="F41" s="1073"/>
      <c r="G41" s="37" t="s">
        <v>57</v>
      </c>
      <c r="H41" s="37">
        <v>251</v>
      </c>
      <c r="I41" s="125">
        <f>Consolidated!$H59</f>
        <v>1047</v>
      </c>
      <c r="J41" s="46">
        <f t="shared" ref="J41:J49" si="9">ROUND(E41*I41,2)</f>
        <v>9799.92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2</v>
      </c>
      <c r="D42" s="122">
        <f>SUMIFS('ESE FTE'!G:G,'ESE FTE'!$A:$A,$I$2,'ESE FTE'!$E:$E,7)</f>
        <v>2.68</v>
      </c>
      <c r="E42" s="1073">
        <f t="shared" si="8"/>
        <v>4.68</v>
      </c>
      <c r="F42" s="1073"/>
      <c r="G42" s="37" t="s">
        <v>57</v>
      </c>
      <c r="H42" s="37">
        <v>252</v>
      </c>
      <c r="I42" s="125">
        <f>Consolidated!$H60</f>
        <v>3380</v>
      </c>
      <c r="J42" s="46">
        <f t="shared" si="9"/>
        <v>15818.4</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15</v>
      </c>
      <c r="D44" s="776">
        <f>SUMIFS('ESE FTE'!G:G,'ESE FTE'!$A:$A,$I$2,'ESE FTE'!$E:$E,9)</f>
        <v>14.65</v>
      </c>
      <c r="E44" s="1073">
        <f t="shared" si="8"/>
        <v>29.65</v>
      </c>
      <c r="F44" s="1073"/>
      <c r="G44" s="47" t="s">
        <v>58</v>
      </c>
      <c r="H44" s="37">
        <v>251</v>
      </c>
      <c r="I44" s="125">
        <f>Consolidated!$H62</f>
        <v>1173</v>
      </c>
      <c r="J44" s="126">
        <f t="shared" si="9"/>
        <v>34779.449999999997</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3.5</v>
      </c>
      <c r="D45" s="122">
        <f>SUMIFS('ESE FTE'!G:G,'ESE FTE'!$A:$A,$I$2,'ESE FTE'!$E:$E,10)</f>
        <v>3.42</v>
      </c>
      <c r="E45" s="1073">
        <f t="shared" si="8"/>
        <v>6.92</v>
      </c>
      <c r="F45" s="1073"/>
      <c r="G45" s="47" t="s">
        <v>58</v>
      </c>
      <c r="H45" s="37">
        <v>252</v>
      </c>
      <c r="I45" s="125">
        <f>Consolidated!$H63</f>
        <v>3506</v>
      </c>
      <c r="J45" s="46">
        <f t="shared" si="9"/>
        <v>24261.52</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24.5</v>
      </c>
      <c r="D50" s="774">
        <f>SUM(D41:D49)</f>
        <v>26.11</v>
      </c>
      <c r="E50" s="1075">
        <f>SUM(E41:E49)</f>
        <v>50.61</v>
      </c>
      <c r="F50" s="1075"/>
      <c r="G50" s="1030" t="s">
        <v>61</v>
      </c>
      <c r="H50" s="1030"/>
      <c r="I50" s="1030"/>
      <c r="J50" s="220">
        <f>SUM(J41:J49)</f>
        <v>84659.29</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397.9500000000001</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1.905E-3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420.88639999999998</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397.9500000000001</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2.2620000000000001E-3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397.9500000000001</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1.908E-3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397.9500000000001</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2.2659999999999998E-3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1.908E-3</v>
      </c>
      <c r="J68" s="127">
        <f>ROUND(G68*I68,2)</f>
        <v>87513.69</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1.905E-3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2.2659999999999998E-3</v>
      </c>
      <c r="J71" s="127">
        <f>ROUND(G71*I71,2)</f>
        <v>42678.8</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2.2620000000000001E-3</v>
      </c>
      <c r="J72" s="127">
        <f>ROUND(G72*I72,2)</f>
        <v>25393.279999999999</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1.9E-3</v>
      </c>
      <c r="J85" s="127">
        <f>ROUND(G85*I85,2)</f>
        <v>539400.86</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1.905E-3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173.00409999999999</v>
      </c>
      <c r="C90" s="80"/>
      <c r="D90" s="981">
        <f>I6</f>
        <v>1.0309999999999999</v>
      </c>
      <c r="E90" s="981"/>
      <c r="F90" s="981"/>
      <c r="G90" s="113">
        <f>Consolidated!F$118</f>
        <v>961.57</v>
      </c>
      <c r="H90" s="47" t="s">
        <v>66</v>
      </c>
      <c r="I90" s="532">
        <f>ROUND(B90*D90*G90,2)</f>
        <v>171512.57</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247.88230000000001</v>
      </c>
      <c r="C91" s="80"/>
      <c r="D91" s="981">
        <f>I6</f>
        <v>1.0309999999999999</v>
      </c>
      <c r="E91" s="981"/>
      <c r="F91" s="981"/>
      <c r="G91" s="113">
        <f>Consolidated!F$119</f>
        <v>918.1</v>
      </c>
      <c r="H91" s="47" t="s">
        <v>66</v>
      </c>
      <c r="I91" s="532">
        <f>ROUND(B91*D91*G91,2)</f>
        <v>234635.74</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420.88639999999998</v>
      </c>
      <c r="C93" s="80"/>
      <c r="D93" s="80"/>
      <c r="E93" s="1059" t="s">
        <v>110</v>
      </c>
      <c r="F93" s="1059"/>
      <c r="G93" s="1059"/>
      <c r="H93" s="1059"/>
      <c r="I93" s="1059"/>
      <c r="J93" s="116">
        <f>IF(A1=75,0,I92+I91+I90)</f>
        <v>406148.31</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3554031.7599999993</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3359836.2799999993</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3359836.2799999993</v>
      </c>
      <c r="J114" s="234">
        <f>ROUND(IF(E28=0,0,IF(E28&gt;250,-(((250/E28)*I114)*IF(H114="H",0.02,0.05)),IF(H114="H",-0.02*I114,-0.05*I114))),2)</f>
        <v>-105535.75</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3448496.0099999993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Payments'!R110</f>
        <v>-575237.69999999995</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2873258.3099999996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287325.83</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62456.06</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35"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512</v>
      </c>
      <c r="B2" s="101"/>
      <c r="C2" s="101"/>
      <c r="D2" s="101"/>
      <c r="E2" s="6"/>
      <c r="F2" s="6"/>
      <c r="G2" s="6"/>
      <c r="H2" s="6"/>
      <c r="I2" s="685" t="str">
        <f>RIGHT(A2,4)</f>
        <v>4041</v>
      </c>
      <c r="J2" s="6"/>
      <c r="K2" s="6"/>
      <c r="L2" s="6"/>
      <c r="M2" s="6"/>
      <c r="N2" s="6"/>
      <c r="O2" s="6"/>
      <c r="P2" s="6"/>
      <c r="Q2" s="6"/>
      <c r="R2" s="987" t="str">
        <f>Revenue_Estimate_Worksheet_for___________Charter_School</f>
        <v>Revenue Estimate Worksheet: Somerset Academy Boca Middle School - 4041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35.450000000000003</v>
      </c>
      <c r="D14" s="389">
        <f>SUMIFS('Surv2-3'!L:L,'Surv2-3'!$H:$H,$I$2,'Surv2-3'!$I:$I,$O14)</f>
        <v>35.36</v>
      </c>
      <c r="E14" s="1080">
        <f t="shared" si="0"/>
        <v>70.81</v>
      </c>
      <c r="F14" s="1080"/>
      <c r="G14" s="1086">
        <f>Consolidated!$F16</f>
        <v>1</v>
      </c>
      <c r="H14" s="1086">
        <f>Consolidated!$H$9</f>
        <v>1</v>
      </c>
      <c r="I14" s="534">
        <f t="shared" si="3"/>
        <v>70.81</v>
      </c>
      <c r="J14" s="535">
        <f>ROUND(ROUND(ROUND(I14*$E$6,4)*($I$6),2)*(MAX($I$7,1)),2)</f>
        <v>398432.69</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9.34</v>
      </c>
      <c r="D15" s="389">
        <f>SUMIFS('Surv2-3'!L:L,'Surv2-3'!$H:$H,$I$2,'Surv2-3'!$I:$I,$O15)</f>
        <v>9.57</v>
      </c>
      <c r="E15" s="1080">
        <f t="shared" si="0"/>
        <v>18.91</v>
      </c>
      <c r="F15" s="1080"/>
      <c r="G15" s="1086">
        <f>Consolidated!$F17</f>
        <v>1</v>
      </c>
      <c r="H15" s="1086">
        <f>Consolidated!$H$9</f>
        <v>1</v>
      </c>
      <c r="I15" s="534">
        <f t="shared" si="3"/>
        <v>18.91</v>
      </c>
      <c r="J15" s="535">
        <f t="shared" si="1"/>
        <v>106402.52</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2.79</v>
      </c>
      <c r="D25" s="389">
        <f>SUMIFS('Surv2-3'!L:L,'Surv2-3'!$H:$H,$I$2,'Surv2-3'!$I:$I,$O25)</f>
        <v>2.29</v>
      </c>
      <c r="E25" s="1080">
        <f t="shared" si="0"/>
        <v>5.08</v>
      </c>
      <c r="F25" s="1080"/>
      <c r="G25" s="1086">
        <f>Consolidated!$F27</f>
        <v>1.161</v>
      </c>
      <c r="H25" s="1086">
        <f>Consolidated!$H$9</f>
        <v>1</v>
      </c>
      <c r="I25" s="534">
        <f t="shared" si="3"/>
        <v>5.8978999999999999</v>
      </c>
      <c r="J25" s="535">
        <f t="shared" si="1"/>
        <v>33186.22</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47.580000000000005</v>
      </c>
      <c r="D28" s="773">
        <f>SUM(D12:D27)</f>
        <v>47.22</v>
      </c>
      <c r="E28" s="1085">
        <f>SUM(E12:E27)</f>
        <v>94.8</v>
      </c>
      <c r="F28" s="1085"/>
      <c r="G28" s="1080"/>
      <c r="H28" s="1080"/>
      <c r="I28" s="23">
        <f>SUM(I12:I27)</f>
        <v>95.617899999999992</v>
      </c>
      <c r="J28" s="116">
        <f>SUM(J12:J27)</f>
        <v>538021.43000000005</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95.617899999999992</v>
      </c>
      <c r="H33" s="1080" t="s">
        <v>45</v>
      </c>
      <c r="I33" s="1080"/>
      <c r="J33" s="32">
        <f>SUM(J32,J28)</f>
        <v>538021.43000000005</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538021.43000000005</v>
      </c>
      <c r="H36" s="37" t="s">
        <v>48</v>
      </c>
      <c r="I36" s="38">
        <f>Consolidated!H53</f>
        <v>7.1400000000000005E-2</v>
      </c>
      <c r="J36" s="120">
        <f>ROUND(G36*I36,2)</f>
        <v>38414.730000000003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538021.43000000005</v>
      </c>
      <c r="H37" s="37" t="s">
        <v>48</v>
      </c>
      <c r="I37" s="38">
        <f>Consolidated!H54</f>
        <v>1.06E-2</v>
      </c>
      <c r="J37" s="120">
        <f>ROUND(G37*I37,2)</f>
        <v>5703.03</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44117.760000000002</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532"/>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8.84</v>
      </c>
      <c r="D44" s="776">
        <f>SUMIFS('ESE FTE'!G:G,'ESE FTE'!$A:$A,$I$2,'ESE FTE'!$E:$E,9)</f>
        <v>9.06</v>
      </c>
      <c r="E44" s="1073">
        <f t="shared" si="8"/>
        <v>17.899999999999999</v>
      </c>
      <c r="F44" s="1073"/>
      <c r="G44" s="47" t="s">
        <v>58</v>
      </c>
      <c r="H44" s="37">
        <v>251</v>
      </c>
      <c r="I44" s="125">
        <f>Consolidated!$H62</f>
        <v>1173</v>
      </c>
      <c r="J44" s="532">
        <f t="shared" si="9"/>
        <v>20996.7</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0.5</v>
      </c>
      <c r="D45" s="122">
        <f>SUMIFS('ESE FTE'!G:G,'ESE FTE'!$A:$A,$I$2,'ESE FTE'!$E:$E,10)</f>
        <v>0.51</v>
      </c>
      <c r="E45" s="1073">
        <f t="shared" si="8"/>
        <v>1.01</v>
      </c>
      <c r="F45" s="1073"/>
      <c r="G45" s="47" t="s">
        <v>58</v>
      </c>
      <c r="H45" s="37">
        <v>252</v>
      </c>
      <c r="I45" s="125">
        <f>Consolidated!$H63</f>
        <v>3506</v>
      </c>
      <c r="J45" s="532">
        <f t="shared" si="9"/>
        <v>3541.06</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9.34</v>
      </c>
      <c r="D50" s="774">
        <f>SUM(D41:D49)</f>
        <v>9.57</v>
      </c>
      <c r="E50" s="1075">
        <f>SUM(E41:E49)</f>
        <v>18.91</v>
      </c>
      <c r="F50" s="1075"/>
      <c r="G50" s="1030" t="s">
        <v>61</v>
      </c>
      <c r="H50" s="1030"/>
      <c r="I50" s="1030"/>
      <c r="J50" s="220">
        <f>SUM(J41:J49)</f>
        <v>24537.760000000002</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94.8</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4.5399999999999998E-4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95.617899999999992</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4.3199999999999998E-4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94.8</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5.3899999999999998E-4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94.8</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4.55E-4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94.8</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5.4000000000000001E-4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4.55E-4</v>
      </c>
      <c r="J68" s="127">
        <f>ROUND(G68*I68,2)</f>
        <v>20869.349999999999</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4.5399999999999998E-4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5.4000000000000001E-4</v>
      </c>
      <c r="J71" s="127">
        <f>ROUND(G71*I71,2)</f>
        <v>10170.59</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5.3899999999999998E-4</v>
      </c>
      <c r="J72" s="127">
        <f>ROUND(G72*I72,2)</f>
        <v>6050.83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4.3199999999999998E-4</v>
      </c>
      <c r="J85" s="127">
        <f>ROUND(G85*I85,2)</f>
        <v>122642.72</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4.3199999999999998E-4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4.5399999999999998E-4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95.617899999999992</v>
      </c>
      <c r="C91" s="80"/>
      <c r="D91" s="981">
        <f>I6</f>
        <v>1.0309999999999999</v>
      </c>
      <c r="E91" s="981"/>
      <c r="F91" s="981"/>
      <c r="G91" s="113">
        <f>Consolidated!F$119</f>
        <v>918.1</v>
      </c>
      <c r="H91" s="47" t="s">
        <v>66</v>
      </c>
      <c r="I91" s="129">
        <f>ROUND(B91*D91*G91,2)</f>
        <v>90508.18</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95.617899999999992</v>
      </c>
      <c r="C93" s="80"/>
      <c r="D93" s="80"/>
      <c r="E93" s="1059" t="s">
        <v>110</v>
      </c>
      <c r="F93" s="1059"/>
      <c r="G93" s="1059"/>
      <c r="H93" s="1059"/>
      <c r="I93" s="1059"/>
      <c r="J93" s="116">
        <f>IF(A1=75,0,I92+I91+I90)</f>
        <v>90508.18</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812800.86</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768683.1</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t="s">
        <v>478</v>
      </c>
      <c r="I114" s="233">
        <f>IF(I111=1,J111,J109)</f>
        <v>768683.1</v>
      </c>
      <c r="J114" s="234">
        <f>ROUND(IF(E28=0,0,IF(E28&gt;250,-(((250/E28)*I114)*IF(H114="H",0.02,0.05)),IF(H114="H",-0.02*I114,-0.05*I114))),2)</f>
        <v>-15373.66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797427.19999999995</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Payments'!R111</f>
        <v>-135067.24</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662359.96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66236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36"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513</v>
      </c>
      <c r="B2" s="101"/>
      <c r="C2" s="101"/>
      <c r="D2" s="101"/>
      <c r="E2" s="6"/>
      <c r="F2" s="6"/>
      <c r="G2" s="6"/>
      <c r="H2" s="6"/>
      <c r="I2" s="685" t="str">
        <f>RIGHT(A2,4)</f>
        <v>4050</v>
      </c>
      <c r="J2" s="6"/>
      <c r="K2" s="6"/>
      <c r="L2" s="6"/>
      <c r="M2" s="6"/>
      <c r="N2" s="6"/>
      <c r="O2" s="6"/>
      <c r="P2" s="6"/>
      <c r="Q2" s="6"/>
      <c r="R2" s="987" t="str">
        <f>Revenue_Estimate_Worksheet_for___________Charter_School</f>
        <v>Revenue Estimate Worksheet: Renaissance Charter School at Cypress - 4050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115</v>
      </c>
      <c r="D12" s="699">
        <f>SUMIFS('Surv2-3'!K:K,'Surv2-3'!$H:$H,$I$2,'Surv2-3'!$I:$I,$O12)</f>
        <v>111.91</v>
      </c>
      <c r="E12" s="1081">
        <f t="shared" ref="E12:E27" si="0">IF($D$28=0,C12*2,C12+D12)</f>
        <v>226.91</v>
      </c>
      <c r="F12" s="1081"/>
      <c r="G12" s="1096">
        <f>Consolidated!$F14</f>
        <v>1.107</v>
      </c>
      <c r="H12" s="1096">
        <f>Consolidated!$H$9</f>
        <v>1</v>
      </c>
      <c r="I12" s="534">
        <f>ROUND(E12*G12,4)</f>
        <v>251.18940000000001</v>
      </c>
      <c r="J12" s="535">
        <f t="shared" ref="J12:J27" si="1">ROUND(ROUND(ROUND(I12*$E$6,4)*($I$6),2)*(MAX($I$7,1)),2)</f>
        <v>1413388.9</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11.5</v>
      </c>
      <c r="D13" s="389">
        <f>SUMIFS('Surv2-3'!K:K,'Surv2-3'!$H:$H,$I$2,'Surv2-3'!$I:$I,$O13)</f>
        <v>11.5</v>
      </c>
      <c r="E13" s="1080">
        <f t="shared" si="0"/>
        <v>23</v>
      </c>
      <c r="F13" s="1080"/>
      <c r="G13" s="1086">
        <f>Consolidated!$F15</f>
        <v>1.107</v>
      </c>
      <c r="H13" s="1086">
        <f>Consolidated!$H$9</f>
        <v>1</v>
      </c>
      <c r="I13" s="534">
        <f t="shared" ref="I13:I27" si="3">ROUND(E13*G13,4)</f>
        <v>25.460999999999999</v>
      </c>
      <c r="J13" s="535">
        <f t="shared" si="1"/>
        <v>143263.59</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133.49</v>
      </c>
      <c r="D14" s="389">
        <f>SUMIFS('Surv2-3'!L:L,'Surv2-3'!$H:$H,$I$2,'Surv2-3'!$I:$I,$O14)</f>
        <v>133.57</v>
      </c>
      <c r="E14" s="1080">
        <f t="shared" si="0"/>
        <v>267.06</v>
      </c>
      <c r="F14" s="1080"/>
      <c r="G14" s="1086">
        <f>Consolidated!$F16</f>
        <v>1</v>
      </c>
      <c r="H14" s="1086">
        <f>Consolidated!$H$9</f>
        <v>1</v>
      </c>
      <c r="I14" s="534">
        <f t="shared" si="3"/>
        <v>267.06</v>
      </c>
      <c r="J14" s="535">
        <f>ROUND(ROUND(ROUND(I14*$E$6,4)*($I$6),2)*(MAX($I$7,1)),2)</f>
        <v>1502689.36</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21.5</v>
      </c>
      <c r="D15" s="389">
        <f>SUMIFS('Surv2-3'!L:L,'Surv2-3'!$H:$H,$I$2,'Surv2-3'!$I:$I,$O15)</f>
        <v>21</v>
      </c>
      <c r="E15" s="1080">
        <f t="shared" si="0"/>
        <v>42.5</v>
      </c>
      <c r="F15" s="1080"/>
      <c r="G15" s="1086">
        <f>Consolidated!$F17</f>
        <v>1</v>
      </c>
      <c r="H15" s="1086">
        <f>Consolidated!$H$9</f>
        <v>1</v>
      </c>
      <c r="I15" s="534">
        <f t="shared" si="3"/>
        <v>42.5</v>
      </c>
      <c r="J15" s="535">
        <f t="shared" si="1"/>
        <v>239138.39</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15.5</v>
      </c>
      <c r="D24" s="389">
        <f>SUMIFS('Surv2-3'!K:K,'Surv2-3'!$H:$H,$I$2,'Surv2-3'!$I:$I,$O24)</f>
        <v>17.579999999999998</v>
      </c>
      <c r="E24" s="1080">
        <f t="shared" si="0"/>
        <v>33.08</v>
      </c>
      <c r="F24" s="1080"/>
      <c r="G24" s="1086">
        <f>Consolidated!$F26</f>
        <v>1.161</v>
      </c>
      <c r="H24" s="1086">
        <f>Consolidated!$H$9</f>
        <v>1</v>
      </c>
      <c r="I24" s="534">
        <f t="shared" si="3"/>
        <v>38.405900000000003</v>
      </c>
      <c r="J24" s="535">
        <f t="shared" si="1"/>
        <v>216101.77</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21.91</v>
      </c>
      <c r="D25" s="389">
        <f>SUMIFS('Surv2-3'!L:L,'Surv2-3'!$H:$H,$I$2,'Surv2-3'!$I:$I,$O25)</f>
        <v>19.16</v>
      </c>
      <c r="E25" s="1080">
        <f t="shared" si="0"/>
        <v>41.07</v>
      </c>
      <c r="F25" s="1080"/>
      <c r="G25" s="1086">
        <f>Consolidated!$F27</f>
        <v>1.161</v>
      </c>
      <c r="H25" s="1086">
        <f>Consolidated!$H$9</f>
        <v>1</v>
      </c>
      <c r="I25" s="534">
        <f t="shared" si="3"/>
        <v>47.682299999999998</v>
      </c>
      <c r="J25" s="535">
        <f t="shared" si="1"/>
        <v>268298.08</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318.90000000000003</v>
      </c>
      <c r="D28" s="773">
        <f>SUM(D12:D27)</f>
        <v>314.72000000000003</v>
      </c>
      <c r="E28" s="1085">
        <f>SUM(E12:E27)</f>
        <v>633.62000000000012</v>
      </c>
      <c r="F28" s="1085"/>
      <c r="G28" s="1080"/>
      <c r="H28" s="1080"/>
      <c r="I28" s="23">
        <f>SUM(I12:I27)</f>
        <v>672.29859999999985</v>
      </c>
      <c r="J28" s="116">
        <f>SUM(J12:J27)</f>
        <v>3782880.0900000003</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672.29859999999985</v>
      </c>
      <c r="H33" s="1080" t="s">
        <v>45</v>
      </c>
      <c r="I33" s="1080"/>
      <c r="J33" s="32">
        <f>SUM(J32,J28)</f>
        <v>3782880.0900000003</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3782880.0900000003</v>
      </c>
      <c r="H36" s="37" t="s">
        <v>48</v>
      </c>
      <c r="I36" s="38">
        <f>Consolidated!H53</f>
        <v>7.1400000000000005E-2</v>
      </c>
      <c r="J36" s="120">
        <f>ROUND(G36*I36,2)</f>
        <v>270097.64</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3782880.0900000003</v>
      </c>
      <c r="H37" s="37" t="s">
        <v>48</v>
      </c>
      <c r="I37" s="38">
        <f>Consolidated!H54</f>
        <v>1.06E-2</v>
      </c>
      <c r="J37" s="120">
        <f>ROUND(G37*I37,2)</f>
        <v>40098.53</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310196.17000000004</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8</v>
      </c>
      <c r="D41" s="776">
        <f>SUMIFS('ESE FTE'!G:G,'ESE FTE'!$A:$A,$I$2,'ESE FTE'!$E:$E,6)</f>
        <v>8</v>
      </c>
      <c r="E41" s="1073">
        <f t="shared" ref="E41:E49" si="8">IF($D$50=0,C41*2,C41+D41)</f>
        <v>16</v>
      </c>
      <c r="F41" s="1073"/>
      <c r="G41" s="37" t="s">
        <v>57</v>
      </c>
      <c r="H41" s="37">
        <v>251</v>
      </c>
      <c r="I41" s="125">
        <f>Consolidated!$H59</f>
        <v>1047</v>
      </c>
      <c r="J41" s="46">
        <f t="shared" ref="J41:J49" si="9">ROUND(E41*I41,2)</f>
        <v>16752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3</v>
      </c>
      <c r="D42" s="122">
        <f>SUMIFS('ESE FTE'!G:G,'ESE FTE'!$A:$A,$I$2,'ESE FTE'!$E:$E,7)</f>
        <v>3</v>
      </c>
      <c r="E42" s="1073">
        <f t="shared" si="8"/>
        <v>6</v>
      </c>
      <c r="F42" s="1073"/>
      <c r="G42" s="37" t="s">
        <v>57</v>
      </c>
      <c r="H42" s="37">
        <v>252</v>
      </c>
      <c r="I42" s="125">
        <f>Consolidated!$H60</f>
        <v>3380</v>
      </c>
      <c r="J42" s="46">
        <f t="shared" si="9"/>
        <v>20280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0.5</v>
      </c>
      <c r="D43" s="122">
        <f>SUMIFS('ESE FTE'!G:G,'ESE FTE'!$A:$A,$I$2,'ESE FTE'!$E:$E,8)</f>
        <v>0.5</v>
      </c>
      <c r="E43" s="1073">
        <f t="shared" si="8"/>
        <v>1</v>
      </c>
      <c r="F43" s="1073"/>
      <c r="G43" s="37" t="s">
        <v>57</v>
      </c>
      <c r="H43" s="37">
        <v>253</v>
      </c>
      <c r="I43" s="125">
        <f>Consolidated!$H61</f>
        <v>6896</v>
      </c>
      <c r="J43" s="46">
        <f t="shared" si="9"/>
        <v>6896</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18.5</v>
      </c>
      <c r="D44" s="776">
        <f>SUMIFS('ESE FTE'!G:G,'ESE FTE'!$A:$A,$I$2,'ESE FTE'!$E:$E,9)</f>
        <v>18.07</v>
      </c>
      <c r="E44" s="1073">
        <f t="shared" si="8"/>
        <v>36.57</v>
      </c>
      <c r="F44" s="1073"/>
      <c r="G44" s="47" t="s">
        <v>58</v>
      </c>
      <c r="H44" s="37">
        <v>251</v>
      </c>
      <c r="I44" s="125">
        <f>Consolidated!$H62</f>
        <v>1173</v>
      </c>
      <c r="J44" s="126">
        <f t="shared" si="9"/>
        <v>42896.61</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3</v>
      </c>
      <c r="D45" s="122">
        <f>SUMIFS('ESE FTE'!G:G,'ESE FTE'!$A:$A,$I$2,'ESE FTE'!$E:$E,10)</f>
        <v>2.93</v>
      </c>
      <c r="E45" s="1073">
        <f t="shared" si="8"/>
        <v>5.93</v>
      </c>
      <c r="F45" s="1073"/>
      <c r="G45" s="47" t="s">
        <v>58</v>
      </c>
      <c r="H45" s="37">
        <v>252</v>
      </c>
      <c r="I45" s="125">
        <f>Consolidated!$H63</f>
        <v>3506</v>
      </c>
      <c r="J45" s="46">
        <f t="shared" si="9"/>
        <v>20790.580000000002</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33</v>
      </c>
      <c r="D50" s="774">
        <f>SUM(D41:D49)</f>
        <v>32.5</v>
      </c>
      <c r="E50" s="1075">
        <f>SUM(E41:E49)</f>
        <v>65.5</v>
      </c>
      <c r="F50" s="1075"/>
      <c r="G50" s="1030" t="s">
        <v>61</v>
      </c>
      <c r="H50" s="1030"/>
      <c r="I50" s="1030"/>
      <c r="J50" s="220">
        <f>SUM(J41:J49)</f>
        <v>107615.19</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633.62000000000012</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3.0339999999999998E-3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116">
        <f>X28</f>
        <v>0</v>
      </c>
      <c r="S55" s="1035"/>
      <c r="T55" s="172">
        <f>E56</f>
        <v>672.29859999999985</v>
      </c>
      <c r="U55" s="173" t="s">
        <v>64</v>
      </c>
      <c r="V55" s="174"/>
      <c r="W55" s="175" t="s">
        <v>69</v>
      </c>
      <c r="X55" s="1037">
        <f>I56</f>
        <v>221542.28000000003</v>
      </c>
      <c r="Y55" s="1037"/>
    </row>
    <row r="56" spans="1:25" ht="16.5" customHeight="1" x14ac:dyDescent="0.25">
      <c r="A56" s="1013" t="s">
        <v>68</v>
      </c>
      <c r="B56" s="1013"/>
      <c r="C56" s="51"/>
      <c r="D56" s="51"/>
      <c r="E56" s="48">
        <f>G33</f>
        <v>672.29859999999985</v>
      </c>
      <c r="F56" s="49" t="s">
        <v>64</v>
      </c>
      <c r="G56" s="3"/>
      <c r="H56" s="50" t="s">
        <v>69</v>
      </c>
      <c r="I56" s="1111">
        <f>Consolidated!H$74</f>
        <v>221542.28000000003</v>
      </c>
      <c r="J56" s="1111"/>
      <c r="M56" s="2"/>
      <c r="R56" s="176"/>
      <c r="S56" s="159"/>
      <c r="T56" s="159"/>
      <c r="U56" s="159"/>
      <c r="V56" s="159"/>
      <c r="W56" s="178" t="s">
        <v>66</v>
      </c>
      <c r="X56" s="1038">
        <f>ROUND(T55/X55,6)</f>
        <v>3.0349999999999999E-3</v>
      </c>
      <c r="Y56" s="1038"/>
    </row>
    <row r="57" spans="1:25" ht="18.75" customHeight="1" x14ac:dyDescent="0.25">
      <c r="A57" s="51"/>
      <c r="H57" s="53" t="s">
        <v>66</v>
      </c>
      <c r="I57" s="1064">
        <f>IFERROR(ROUND(E56/I56,6),0)</f>
        <v>3.0349999999999999E-3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633.62000000000012</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3.6020000000000002E-3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633.62000000000012</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3.0379999999999999E-3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633.62000000000012</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3.6089999999999998E-3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3.0379999999999999E-3</v>
      </c>
      <c r="J68" s="127">
        <f>ROUND(G68*I68,2)</f>
        <v>139343.07999999999</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3.0339999999999998E-3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3.6089999999999998E-3</v>
      </c>
      <c r="J71" s="127">
        <f>ROUND(G71*I71,2)</f>
        <v>67973.429999999993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3.6020000000000002E-3</v>
      </c>
      <c r="J72" s="127">
        <f>ROUND(G72*I72,2)</f>
        <v>40436.160000000003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3.0349999999999999E-3</v>
      </c>
      <c r="J85" s="127">
        <f>ROUND(G85*I85,2)</f>
        <v>861621.91</v>
      </c>
      <c r="K85" s="70"/>
      <c r="L85" s="70"/>
      <c r="M85" s="71"/>
      <c r="N85" s="70"/>
      <c r="O85" s="70"/>
      <c r="P85" s="70"/>
      <c r="Q85" s="70"/>
      <c r="R85" s="1015" t="s">
        <v>166</v>
      </c>
      <c r="S85" s="1015"/>
      <c r="T85" s="1015"/>
      <c r="U85" s="158"/>
      <c r="V85" s="160">
        <f>G85</f>
        <v>283895192</v>
      </c>
      <c r="W85" s="162" t="s">
        <v>79</v>
      </c>
      <c r="X85" s="165">
        <f>X56</f>
        <v>3.0349999999999999E-3</v>
      </c>
      <c r="Y85" s="212">
        <f t="shared" ref="Y85:Y87" si="12">ROUND(V85*X85,2)</f>
        <v>861621.91</v>
      </c>
    </row>
    <row r="86" spans="1:26" ht="14.25" customHeight="1" x14ac:dyDescent="0.25">
      <c r="A86" s="1012" t="s">
        <v>102</v>
      </c>
      <c r="B86" s="1012"/>
      <c r="C86" s="1012"/>
      <c r="D86" s="1012"/>
      <c r="E86" s="1012"/>
      <c r="F86" s="36" t="s">
        <v>101</v>
      </c>
      <c r="G86" s="128">
        <v>0</v>
      </c>
      <c r="H86" s="37" t="s">
        <v>79</v>
      </c>
      <c r="I86" s="41">
        <f>I57</f>
        <v>3.0349999999999999E-3</v>
      </c>
      <c r="J86" s="127">
        <f>ROUND(G86*I86,2)</f>
        <v>0</v>
      </c>
      <c r="K86" s="70"/>
      <c r="L86" s="71"/>
      <c r="M86" s="76"/>
      <c r="N86" s="76"/>
      <c r="O86" s="76"/>
      <c r="P86" s="76"/>
      <c r="Q86" s="70"/>
      <c r="R86" s="1015" t="s">
        <v>167</v>
      </c>
      <c r="S86" s="1015"/>
      <c r="T86" s="1015"/>
      <c r="U86" s="158"/>
      <c r="V86" s="192">
        <f>G86</f>
        <v>0</v>
      </c>
      <c r="W86" s="162" t="s">
        <v>79</v>
      </c>
      <c r="X86" s="165">
        <f>X56</f>
        <v>3.0349999999999999E-3</v>
      </c>
      <c r="Y86" s="212">
        <f t="shared" si="12"/>
        <v>0</v>
      </c>
    </row>
    <row r="87" spans="1:26" ht="18" customHeight="1" x14ac:dyDescent="0.25">
      <c r="A87" s="1012" t="s">
        <v>103</v>
      </c>
      <c r="B87" s="1012"/>
      <c r="C87" s="1012"/>
      <c r="D87" s="1012"/>
      <c r="E87" s="1012"/>
      <c r="F87" s="36" t="s">
        <v>82</v>
      </c>
      <c r="G87" s="128">
        <v>0</v>
      </c>
      <c r="H87" s="37" t="s">
        <v>79</v>
      </c>
      <c r="I87" s="41">
        <f>I54</f>
        <v>3.0339999999999998E-3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315.05629999999996</v>
      </c>
      <c r="C90" s="80"/>
      <c r="D90" s="981">
        <f>I6</f>
        <v>1.0309999999999999</v>
      </c>
      <c r="E90" s="981"/>
      <c r="F90" s="981"/>
      <c r="G90" s="113">
        <f>Consolidated!F$118</f>
        <v>961.57</v>
      </c>
      <c r="H90" s="47" t="s">
        <v>66</v>
      </c>
      <c r="I90" s="532">
        <f>ROUND(B90*D90*G90,2)</f>
        <v>312340.09999999998</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357.2423</v>
      </c>
      <c r="C91" s="80"/>
      <c r="D91" s="981">
        <f>I6</f>
        <v>1.0309999999999999</v>
      </c>
      <c r="E91" s="981"/>
      <c r="F91" s="981"/>
      <c r="G91" s="113">
        <f>Consolidated!F$119</f>
        <v>918.1</v>
      </c>
      <c r="H91" s="47" t="s">
        <v>66</v>
      </c>
      <c r="I91" s="532">
        <f>ROUND(B91*D91*G91,2)</f>
        <v>338151.66</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672.29859999999996</v>
      </c>
      <c r="C93" s="80"/>
      <c r="D93" s="80"/>
      <c r="E93" s="1059" t="s">
        <v>110</v>
      </c>
      <c r="F93" s="1059"/>
      <c r="G93" s="1059"/>
      <c r="H93" s="1059"/>
      <c r="I93" s="1059"/>
      <c r="J93" s="116">
        <f>IF(A1=75,0,I92+I91+I90)</f>
        <v>650491.76</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5650361.620000001</v>
      </c>
      <c r="L107" s="533"/>
      <c r="R107" s="1015" t="s">
        <v>123</v>
      </c>
      <c r="S107" s="1015"/>
      <c r="T107" s="1015"/>
      <c r="U107" s="1015"/>
      <c r="V107" s="1015"/>
      <c r="W107" s="1015"/>
      <c r="X107" s="1015"/>
      <c r="Y107" s="208">
        <f>SUM(Y106,Y105,Y97,Y96,Y93,Y86,Y85,Y84,Y70,Y69,Y67,Y33,Y71,Y50,Y87,Y83)</f>
        <v>861621.91</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5340165.4500000011</v>
      </c>
      <c r="R109" s="159" t="s">
        <v>174</v>
      </c>
      <c r="S109" s="159"/>
      <c r="T109" s="159"/>
      <c r="U109" s="159"/>
      <c r="V109" s="159"/>
      <c r="W109" s="159"/>
      <c r="X109" s="159"/>
      <c r="Y109" s="209">
        <f>Y107-Y38</f>
        <v>861621.91</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861621.91</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5340165.4500000011</v>
      </c>
      <c r="J114" s="234">
        <f>ROUND(IF(E28=0,0,IF(E28&gt;250,-(((250/E28)*I114)*IF(H114="H",0.02,0.05)),IF(H114="H",-0.02*I114,-0.05*I114))),2)</f>
        <v>-105350.32</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5545011.3000000007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Payments'!R112</f>
        <v>-922869.84000000008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4622141.4600000009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462214.15</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161657.95000000001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35"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584</v>
      </c>
      <c r="B2" s="101"/>
      <c r="C2" s="101"/>
      <c r="D2" s="101"/>
      <c r="E2" s="6"/>
      <c r="F2" s="6"/>
      <c r="G2" s="6"/>
      <c r="H2" s="6"/>
      <c r="I2" s="685" t="str">
        <f>RIGHT(A2,4)</f>
        <v>4051</v>
      </c>
      <c r="J2" s="6"/>
      <c r="K2" s="6"/>
      <c r="L2" s="6"/>
      <c r="M2" s="6"/>
      <c r="N2" s="6"/>
      <c r="O2" s="6"/>
      <c r="P2" s="6"/>
      <c r="Q2" s="6"/>
      <c r="R2" s="987" t="str">
        <f>Revenue_Estimate_Worksheet_for___________Charter_School</f>
        <v>Revenue Estimate Worksheet: Renaissance Charter School at Central Palm- 4051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110.48</v>
      </c>
      <c r="D12" s="699">
        <f>SUMIFS('Surv2-3'!K:K,'Surv2-3'!$H:$H,$I$2,'Surv2-3'!$I:$I,$O12)</f>
        <v>105.96000000000001</v>
      </c>
      <c r="E12" s="1081">
        <f t="shared" ref="E12:E27" si="0">IF($D$28=0,C12*2,C12+D12)</f>
        <v>216.44</v>
      </c>
      <c r="F12" s="1081"/>
      <c r="G12" s="1096">
        <f>Consolidated!$F14</f>
        <v>1.107</v>
      </c>
      <c r="H12" s="1096">
        <f>Consolidated!$H$9</f>
        <v>1</v>
      </c>
      <c r="I12" s="534">
        <f>ROUND(E12*G12,4)</f>
        <v>239.59909999999999</v>
      </c>
      <c r="J12" s="535">
        <f t="shared" ref="J12:J27" si="1">ROUND(ROUND(ROUND(I12*$E$6,4)*($I$6),2)*(MAX($I$7,1)),2)</f>
        <v>1348172.77</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13.5</v>
      </c>
      <c r="D13" s="389">
        <f>SUMIFS('Surv2-3'!K:K,'Surv2-3'!$H:$H,$I$2,'Surv2-3'!$I:$I,$O13)</f>
        <v>14.5</v>
      </c>
      <c r="E13" s="1080">
        <f t="shared" si="0"/>
        <v>28</v>
      </c>
      <c r="F13" s="1080"/>
      <c r="G13" s="1086">
        <f>Consolidated!$F15</f>
        <v>1.107</v>
      </c>
      <c r="H13" s="1086">
        <f>Consolidated!$H$9</f>
        <v>1</v>
      </c>
      <c r="I13" s="534">
        <f t="shared" ref="I13:I27" si="3">ROUND(E13*G13,4)</f>
        <v>30.995999999999999</v>
      </c>
      <c r="J13" s="535">
        <f t="shared" si="1"/>
        <v>174407.85</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122.06</v>
      </c>
      <c r="D14" s="389">
        <f>SUMIFS('Surv2-3'!L:L,'Surv2-3'!$H:$H,$I$2,'Surv2-3'!$I:$I,$O14)</f>
        <v>118</v>
      </c>
      <c r="E14" s="1080">
        <f t="shared" si="0"/>
        <v>240.06</v>
      </c>
      <c r="F14" s="1080"/>
      <c r="G14" s="1086">
        <f>Consolidated!$F16</f>
        <v>1</v>
      </c>
      <c r="H14" s="1086">
        <f>Consolidated!$H$9</f>
        <v>1</v>
      </c>
      <c r="I14" s="534">
        <f t="shared" si="3"/>
        <v>240.06</v>
      </c>
      <c r="J14" s="535">
        <f>ROUND(ROUND(ROUND(I14*$E$6,4)*($I$6),2)*(MAX($I$7,1)),2)</f>
        <v>1350766.15</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19.5</v>
      </c>
      <c r="D15" s="389">
        <f>SUMIFS('Surv2-3'!L:L,'Surv2-3'!$H:$H,$I$2,'Surv2-3'!$I:$I,$O15)</f>
        <v>17</v>
      </c>
      <c r="E15" s="1080">
        <f t="shared" si="0"/>
        <v>36.5</v>
      </c>
      <c r="F15" s="1080"/>
      <c r="G15" s="1086">
        <f>Consolidated!$F17</f>
        <v>1</v>
      </c>
      <c r="H15" s="1086">
        <f>Consolidated!$H$9</f>
        <v>1</v>
      </c>
      <c r="I15" s="534">
        <f t="shared" si="3"/>
        <v>36.5</v>
      </c>
      <c r="J15" s="535">
        <f t="shared" si="1"/>
        <v>205377.67</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28.02</v>
      </c>
      <c r="D24" s="389">
        <f>SUMIFS('Surv2-3'!K:K,'Surv2-3'!$H:$H,$I$2,'Surv2-3'!$I:$I,$O24)</f>
        <v>29.58</v>
      </c>
      <c r="E24" s="1080">
        <f t="shared" si="0"/>
        <v>57.599999999999994</v>
      </c>
      <c r="F24" s="1080"/>
      <c r="G24" s="1086">
        <f>Consolidated!$F26</f>
        <v>1.161</v>
      </c>
      <c r="H24" s="1086">
        <f>Consolidated!$H$9</f>
        <v>1</v>
      </c>
      <c r="I24" s="534">
        <f t="shared" si="3"/>
        <v>66.873599999999996</v>
      </c>
      <c r="J24" s="535">
        <f t="shared" si="1"/>
        <v>376283.41</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20.94</v>
      </c>
      <c r="D25" s="389">
        <f>SUMIFS('Surv2-3'!L:L,'Surv2-3'!$H:$H,$I$2,'Surv2-3'!$I:$I,$O25)</f>
        <v>22.45</v>
      </c>
      <c r="E25" s="1080">
        <f t="shared" si="0"/>
        <v>43.39</v>
      </c>
      <c r="F25" s="1080"/>
      <c r="G25" s="1086">
        <f>Consolidated!$F27</f>
        <v>1.161</v>
      </c>
      <c r="H25" s="1086">
        <f>Consolidated!$H$9</f>
        <v>1</v>
      </c>
      <c r="I25" s="534">
        <f t="shared" si="3"/>
        <v>50.375799999999998</v>
      </c>
      <c r="J25" s="535">
        <f t="shared" si="1"/>
        <v>283453.83</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314.5</v>
      </c>
      <c r="D28" s="773">
        <f>SUM(D12:D27)</f>
        <v>307.49</v>
      </c>
      <c r="E28" s="1085">
        <f>SUM(E12:E27)</f>
        <v>621.99</v>
      </c>
      <c r="F28" s="1085"/>
      <c r="G28" s="1080"/>
      <c r="H28" s="1080"/>
      <c r="I28" s="23">
        <f>SUM(I12:I27)</f>
        <v>664.40449999999998</v>
      </c>
      <c r="J28" s="116">
        <f>SUM(J12:J27)</f>
        <v>3738461.68</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664.40449999999998</v>
      </c>
      <c r="H33" s="1080" t="s">
        <v>45</v>
      </c>
      <c r="I33" s="1080"/>
      <c r="J33" s="32">
        <f>SUM(J32,J28)</f>
        <v>3738461.68</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3738461.68</v>
      </c>
      <c r="H36" s="37" t="s">
        <v>48</v>
      </c>
      <c r="I36" s="38">
        <f>Consolidated!H53</f>
        <v>7.1400000000000005E-2</v>
      </c>
      <c r="J36" s="120">
        <f>ROUND(G36*I36,2)</f>
        <v>266926.15999999997</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3738461.68</v>
      </c>
      <c r="H37" s="37" t="s">
        <v>48</v>
      </c>
      <c r="I37" s="38">
        <f>Consolidated!H54</f>
        <v>1.06E-2</v>
      </c>
      <c r="J37" s="120">
        <f>ROUND(G37*I37,2)</f>
        <v>39627.69</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306553.84999999998</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12</v>
      </c>
      <c r="D41" s="776">
        <f>SUMIFS('ESE FTE'!G:G,'ESE FTE'!$A:$A,$I$2,'ESE FTE'!$E:$E,6)</f>
        <v>12.89</v>
      </c>
      <c r="E41" s="1073">
        <f t="shared" ref="E41:E49" si="8">IF($D$50=0,C41*2,C41+D41)</f>
        <v>24.89</v>
      </c>
      <c r="F41" s="1073"/>
      <c r="G41" s="37" t="s">
        <v>57</v>
      </c>
      <c r="H41" s="37">
        <v>251</v>
      </c>
      <c r="I41" s="125">
        <f>Consolidated!$H59</f>
        <v>1047</v>
      </c>
      <c r="J41" s="532">
        <f t="shared" ref="J41:J49" si="9">ROUND(E41*I41,2)</f>
        <v>26059.83</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1.5</v>
      </c>
      <c r="D42" s="122">
        <f>SUMIFS('ESE FTE'!G:G,'ESE FTE'!$A:$A,$I$2,'ESE FTE'!$E:$E,7)</f>
        <v>1.61</v>
      </c>
      <c r="E42" s="1073">
        <f t="shared" si="8"/>
        <v>3.1100000000000003</v>
      </c>
      <c r="F42" s="1073"/>
      <c r="G42" s="37" t="s">
        <v>57</v>
      </c>
      <c r="H42" s="37">
        <v>252</v>
      </c>
      <c r="I42" s="125">
        <f>Consolidated!$H60</f>
        <v>3380</v>
      </c>
      <c r="J42" s="532">
        <f t="shared" si="9"/>
        <v>10511.8</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16.34</v>
      </c>
      <c r="D44" s="776">
        <f>SUMIFS('ESE FTE'!G:G,'ESE FTE'!$A:$A,$I$2,'ESE FTE'!$E:$E,9)</f>
        <v>14.24</v>
      </c>
      <c r="E44" s="1073">
        <f t="shared" si="8"/>
        <v>30.58</v>
      </c>
      <c r="F44" s="1073"/>
      <c r="G44" s="47" t="s">
        <v>58</v>
      </c>
      <c r="H44" s="37">
        <v>251</v>
      </c>
      <c r="I44" s="125">
        <f>Consolidated!$H62</f>
        <v>1173</v>
      </c>
      <c r="J44" s="532">
        <f t="shared" si="9"/>
        <v>35870.339999999997</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3.16</v>
      </c>
      <c r="D45" s="122">
        <f>SUMIFS('ESE FTE'!G:G,'ESE FTE'!$A:$A,$I$2,'ESE FTE'!$E:$E,10)</f>
        <v>2.76</v>
      </c>
      <c r="E45" s="1073">
        <f t="shared" si="8"/>
        <v>5.92</v>
      </c>
      <c r="F45" s="1073"/>
      <c r="G45" s="47" t="s">
        <v>58</v>
      </c>
      <c r="H45" s="37">
        <v>252</v>
      </c>
      <c r="I45" s="125">
        <f>Consolidated!$H63</f>
        <v>3506</v>
      </c>
      <c r="J45" s="532">
        <f t="shared" si="9"/>
        <v>20755.52</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33</v>
      </c>
      <c r="D50" s="774">
        <f>SUM(D41:D49)</f>
        <v>31.5</v>
      </c>
      <c r="E50" s="1075">
        <f>SUM(E41:E49)</f>
        <v>64.5</v>
      </c>
      <c r="F50" s="1075"/>
      <c r="G50" s="1030" t="s">
        <v>61</v>
      </c>
      <c r="H50" s="1030"/>
      <c r="I50" s="1030"/>
      <c r="J50" s="220">
        <f>SUM(J41:J49)</f>
        <v>93197.49</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621.99</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2.9780000000000002E-3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664.40449999999998</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2.9989999999999999E-3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621.99</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3.5360000000000001E-3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621.99</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2.983E-3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621.99</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3.542E-3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2.983E-3</v>
      </c>
      <c r="J68" s="127">
        <f>ROUND(G68*I68,2)</f>
        <v>136820.41</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2.9780000000000002E-3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3.542E-3</v>
      </c>
      <c r="J71" s="127">
        <f>ROUND(G71*I71,2)</f>
        <v>66711.53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3.5360000000000001E-3</v>
      </c>
      <c r="J72" s="127">
        <f>ROUND(G72*I72,2)</f>
        <v>39695.25</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2.9989999999999999E-3</v>
      </c>
      <c r="J85" s="127">
        <f>ROUND(G85*I85,2)</f>
        <v>851401.68</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2.9989999999999999E-3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2.9780000000000002E-3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337.46870000000001</v>
      </c>
      <c r="C90" s="80"/>
      <c r="D90" s="981">
        <f>I6</f>
        <v>1.0309999999999999</v>
      </c>
      <c r="E90" s="981"/>
      <c r="F90" s="981"/>
      <c r="G90" s="113">
        <f>Consolidated!F$118</f>
        <v>961.57</v>
      </c>
      <c r="H90" s="47" t="s">
        <v>66</v>
      </c>
      <c r="I90" s="130">
        <f>ROUND(B90*D90*G90,2)</f>
        <v>334559.27</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326.93579999999997</v>
      </c>
      <c r="C91" s="80"/>
      <c r="D91" s="981">
        <f>I6</f>
        <v>1.0309999999999999</v>
      </c>
      <c r="E91" s="981"/>
      <c r="F91" s="981"/>
      <c r="G91" s="113">
        <f>Consolidated!F$119</f>
        <v>918.1</v>
      </c>
      <c r="H91" s="47" t="s">
        <v>66</v>
      </c>
      <c r="I91" s="129">
        <f>ROUND(B91*D91*G91,2)</f>
        <v>309464.71000000002</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664.40449999999998</v>
      </c>
      <c r="C93" s="80"/>
      <c r="D93" s="80"/>
      <c r="E93" s="1059" t="s">
        <v>110</v>
      </c>
      <c r="F93" s="1059"/>
      <c r="G93" s="1059"/>
      <c r="H93" s="1059"/>
      <c r="I93" s="1059"/>
      <c r="J93" s="116">
        <f>IF(A1=75,0,I92+I91+I90)</f>
        <v>644023.98</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0</v>
      </c>
      <c r="D97" s="223">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5570312.0200000005</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5263758.1700000009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5263758.1700000009</v>
      </c>
      <c r="J114" s="234">
        <f>ROUND(IF(E28=0,0,IF(E28&gt;250,-(((250/E28)*I114)*IF(H114="H",0.02,0.05)),IF(H114="H",-0.02*I114,-0.05*I114))),2)</f>
        <v>-105784.62</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5464527.4000000004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Payments'!R113</f>
        <v>-909531.46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4554995.9400000004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455499.59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157403.29</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36"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514</v>
      </c>
      <c r="B2" s="101"/>
      <c r="C2" s="101"/>
      <c r="D2" s="101"/>
      <c r="E2" s="6"/>
      <c r="F2" s="6"/>
      <c r="G2" s="6"/>
      <c r="H2" s="6"/>
      <c r="I2" s="685" t="str">
        <f>RIGHT(A2,4)</f>
        <v>4061</v>
      </c>
      <c r="J2" s="6"/>
      <c r="K2" s="6"/>
      <c r="L2" s="6"/>
      <c r="M2" s="6"/>
      <c r="N2" s="6"/>
      <c r="O2" s="6"/>
      <c r="P2" s="6"/>
      <c r="Q2" s="6"/>
      <c r="R2" s="987" t="str">
        <f>Revenue_Estimate_Worksheet_for___________Charter_School</f>
        <v>Revenue Estimate Worksheet: Franklin Academy - Palm Beach Gardens - 4061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164.78</v>
      </c>
      <c r="D12" s="699">
        <f>SUMIFS('Surv2-3'!K:K,'Surv2-3'!$H:$H,$I$2,'Surv2-3'!$I:$I,$O12)</f>
        <v>159.96</v>
      </c>
      <c r="E12" s="1081">
        <f t="shared" ref="E12:E27" si="0">IF($D$28=0,C12*2,C12+D12)</f>
        <v>324.74</v>
      </c>
      <c r="F12" s="1081"/>
      <c r="G12" s="1096">
        <f>Consolidated!$F14</f>
        <v>1.107</v>
      </c>
      <c r="H12" s="1096">
        <f>Consolidated!$H$9</f>
        <v>1</v>
      </c>
      <c r="I12" s="534">
        <f>ROUND(E12*G12,4)</f>
        <v>359.48719999999997</v>
      </c>
      <c r="J12" s="535">
        <f t="shared" ref="J12:J27" si="1">ROUND(ROUND(ROUND(I12*$E$6,4)*($I$6),2)*(MAX($I$7,1)),2)</f>
        <v>2022757.4</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14.5</v>
      </c>
      <c r="D13" s="389">
        <f>SUMIFS('Surv2-3'!K:K,'Surv2-3'!$H:$H,$I$2,'Surv2-3'!$I:$I,$O13)</f>
        <v>15.5</v>
      </c>
      <c r="E13" s="1080">
        <f t="shared" si="0"/>
        <v>30</v>
      </c>
      <c r="F13" s="1080"/>
      <c r="G13" s="1086">
        <f>Consolidated!$F15</f>
        <v>1.107</v>
      </c>
      <c r="H13" s="1086">
        <f>Consolidated!$H$9</f>
        <v>1</v>
      </c>
      <c r="I13" s="534">
        <f t="shared" ref="I13:I27" si="3">ROUND(E13*G13,4)</f>
        <v>33.21</v>
      </c>
      <c r="J13" s="535">
        <f t="shared" si="1"/>
        <v>186865.55</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235.26999999999998</v>
      </c>
      <c r="D14" s="389">
        <f>SUMIFS('Surv2-3'!L:L,'Surv2-3'!$H:$H,$I$2,'Surv2-3'!$I:$I,$O14)</f>
        <v>232.17000000000002</v>
      </c>
      <c r="E14" s="1080">
        <f t="shared" si="0"/>
        <v>467.44</v>
      </c>
      <c r="F14" s="1080"/>
      <c r="G14" s="1086">
        <f>Consolidated!$F16</f>
        <v>1</v>
      </c>
      <c r="H14" s="1086">
        <f>Consolidated!$H$9</f>
        <v>1</v>
      </c>
      <c r="I14" s="534">
        <f t="shared" si="3"/>
        <v>467.44</v>
      </c>
      <c r="J14" s="535">
        <f>ROUND(ROUND(ROUND(I14*$E$6,4)*($I$6),2)*(MAX($I$7,1)),2)</f>
        <v>2630184.66</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25</v>
      </c>
      <c r="D15" s="389">
        <f>SUMIFS('Surv2-3'!L:L,'Surv2-3'!$H:$H,$I$2,'Surv2-3'!$I:$I,$O15)</f>
        <v>20.5</v>
      </c>
      <c r="E15" s="1080">
        <f t="shared" si="0"/>
        <v>45.5</v>
      </c>
      <c r="F15" s="1080"/>
      <c r="G15" s="1086">
        <f>Consolidated!$F17</f>
        <v>1</v>
      </c>
      <c r="H15" s="1086">
        <f>Consolidated!$H$9</f>
        <v>1</v>
      </c>
      <c r="I15" s="534">
        <f t="shared" si="3"/>
        <v>45.5</v>
      </c>
      <c r="J15" s="535">
        <f t="shared" si="1"/>
        <v>256018.74</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17.72</v>
      </c>
      <c r="D24" s="389">
        <f>SUMIFS('Surv2-3'!K:K,'Surv2-3'!$H:$H,$I$2,'Surv2-3'!$I:$I,$O24)</f>
        <v>16.52</v>
      </c>
      <c r="E24" s="1080">
        <f t="shared" si="0"/>
        <v>34.239999999999995</v>
      </c>
      <c r="F24" s="1080"/>
      <c r="G24" s="1086">
        <f>Consolidated!$F26</f>
        <v>1.161</v>
      </c>
      <c r="H24" s="1086">
        <f>Consolidated!$H$9</f>
        <v>1</v>
      </c>
      <c r="I24" s="534">
        <f t="shared" si="3"/>
        <v>39.752600000000001</v>
      </c>
      <c r="J24" s="535">
        <f t="shared" si="1"/>
        <v>223679.35999999999</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12.44</v>
      </c>
      <c r="D25" s="389">
        <f>SUMIFS('Surv2-3'!L:L,'Surv2-3'!$H:$H,$I$2,'Surv2-3'!$I:$I,$O25)</f>
        <v>11.169999999999998</v>
      </c>
      <c r="E25" s="1080">
        <f t="shared" si="0"/>
        <v>23.61</v>
      </c>
      <c r="F25" s="1080"/>
      <c r="G25" s="1086">
        <f>Consolidated!$F27</f>
        <v>1.161</v>
      </c>
      <c r="H25" s="1086">
        <f>Consolidated!$H$9</f>
        <v>1</v>
      </c>
      <c r="I25" s="534">
        <f t="shared" si="3"/>
        <v>27.411200000000001</v>
      </c>
      <c r="J25" s="535">
        <f t="shared" si="1"/>
        <v>154236.95000000001</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469.71</v>
      </c>
      <c r="D28" s="773">
        <f>SUM(D12:D27)</f>
        <v>455.82</v>
      </c>
      <c r="E28" s="1085">
        <f>SUM(E12:E27)</f>
        <v>925.53000000000009</v>
      </c>
      <c r="F28" s="1085"/>
      <c r="G28" s="1080"/>
      <c r="H28" s="1080"/>
      <c r="I28" s="23">
        <f>SUM(I12:I27)</f>
        <v>972.80099999999993</v>
      </c>
      <c r="J28" s="116">
        <f>SUM(J12:J27)</f>
        <v>5473742.6600000001</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972.80099999999993</v>
      </c>
      <c r="H33" s="1080" t="s">
        <v>45</v>
      </c>
      <c r="I33" s="1080"/>
      <c r="J33" s="32">
        <f>SUM(J32,J28)</f>
        <v>5473742.6600000001</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v>5473742.6600000001</v>
      </c>
      <c r="H36" s="37" t="s">
        <v>48</v>
      </c>
      <c r="I36" s="38">
        <f>Consolidated!H53</f>
        <v>7.1400000000000005E-2</v>
      </c>
      <c r="J36" s="120">
        <f>ROUND(G36*I36,2)</f>
        <v>390825.23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v>5473742.6600000001</v>
      </c>
      <c r="H37" s="37" t="s">
        <v>48</v>
      </c>
      <c r="I37" s="38">
        <f>Consolidated!H54</f>
        <v>1.06E-2</v>
      </c>
      <c r="J37" s="120">
        <f>ROUND(G37*I37,2)</f>
        <v>58021.67</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448846.89999999997</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11.5</v>
      </c>
      <c r="D41" s="776">
        <f>SUMIFS('ESE FTE'!G:G,'ESE FTE'!$A:$A,$I$2,'ESE FTE'!$E:$E,6)</f>
        <v>12.3</v>
      </c>
      <c r="E41" s="1073">
        <f t="shared" ref="E41:E49" si="8">IF($D$50=0,C41*2,C41+D41)</f>
        <v>23.8</v>
      </c>
      <c r="F41" s="1073"/>
      <c r="G41" s="37" t="s">
        <v>57</v>
      </c>
      <c r="H41" s="37">
        <v>251</v>
      </c>
      <c r="I41" s="125">
        <f>Consolidated!$H59</f>
        <v>1047</v>
      </c>
      <c r="J41" s="46">
        <f t="shared" ref="J41:J49" si="9">ROUND(E41*I41,2)</f>
        <v>24918.6</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2.5</v>
      </c>
      <c r="D42" s="122">
        <f>SUMIFS('ESE FTE'!G:G,'ESE FTE'!$A:$A,$I$2,'ESE FTE'!$E:$E,7)</f>
        <v>2.67</v>
      </c>
      <c r="E42" s="1073">
        <f t="shared" si="8"/>
        <v>5.17</v>
      </c>
      <c r="F42" s="1073"/>
      <c r="G42" s="37" t="s">
        <v>57</v>
      </c>
      <c r="H42" s="37">
        <v>252</v>
      </c>
      <c r="I42" s="125">
        <f>Consolidated!$H60</f>
        <v>3380</v>
      </c>
      <c r="J42" s="46">
        <f t="shared" si="9"/>
        <v>17474.599999999999</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0.5</v>
      </c>
      <c r="D43" s="122">
        <f>SUMIFS('ESE FTE'!G:G,'ESE FTE'!$A:$A,$I$2,'ESE FTE'!$E:$E,8)</f>
        <v>0.53</v>
      </c>
      <c r="E43" s="1073">
        <f t="shared" si="8"/>
        <v>1.03</v>
      </c>
      <c r="F43" s="1073"/>
      <c r="G43" s="37" t="s">
        <v>57</v>
      </c>
      <c r="H43" s="37">
        <v>253</v>
      </c>
      <c r="I43" s="125">
        <f>Consolidated!$H61</f>
        <v>6896</v>
      </c>
      <c r="J43" s="46">
        <f t="shared" si="9"/>
        <v>7102.88</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19.440000000000001</v>
      </c>
      <c r="D44" s="776">
        <f>SUMIFS('ESE FTE'!G:G,'ESE FTE'!$A:$A,$I$2,'ESE FTE'!$E:$E,9)</f>
        <v>15.94</v>
      </c>
      <c r="E44" s="1073">
        <f t="shared" si="8"/>
        <v>35.380000000000003</v>
      </c>
      <c r="F44" s="1073"/>
      <c r="G44" s="47" t="s">
        <v>58</v>
      </c>
      <c r="H44" s="37">
        <v>251</v>
      </c>
      <c r="I44" s="125">
        <f>Consolidated!$H62</f>
        <v>1173</v>
      </c>
      <c r="J44" s="126">
        <f t="shared" si="9"/>
        <v>41500.74</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5.56</v>
      </c>
      <c r="D45" s="122">
        <f>SUMIFS('ESE FTE'!G:G,'ESE FTE'!$A:$A,$I$2,'ESE FTE'!$E:$E,10)</f>
        <v>4.5599999999999996</v>
      </c>
      <c r="E45" s="1073">
        <f t="shared" si="8"/>
        <v>10.119999999999999</v>
      </c>
      <c r="F45" s="1073"/>
      <c r="G45" s="47" t="s">
        <v>58</v>
      </c>
      <c r="H45" s="37">
        <v>252</v>
      </c>
      <c r="I45" s="125">
        <f>Consolidated!$H63</f>
        <v>3506</v>
      </c>
      <c r="J45" s="46">
        <f t="shared" si="9"/>
        <v>35480.720000000001</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39.5</v>
      </c>
      <c r="D50" s="774">
        <f>SUM(D41:D49)</f>
        <v>36</v>
      </c>
      <c r="E50" s="1075">
        <f>SUM(E41:E49)</f>
        <v>75.5</v>
      </c>
      <c r="F50" s="1075"/>
      <c r="G50" s="1030" t="s">
        <v>61</v>
      </c>
      <c r="H50" s="1030"/>
      <c r="I50" s="1030"/>
      <c r="J50" s="220">
        <f>SUM(J41:J49)</f>
        <v>126477.54</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925.53000000000009</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4.431E-3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972.80099999999993</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4.3909999999999999E-3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925.53000000000009</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5.2620000000000002E-3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925.53000000000009</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4.4380000000000001E-3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925.53000000000009</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5.2709999999999996E-3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4.4380000000000001E-3</v>
      </c>
      <c r="J68" s="127">
        <f>ROUND(G68*I68,2)</f>
        <v>203556.48000000001</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4.431E-3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5.2709999999999996E-3</v>
      </c>
      <c r="J71" s="127">
        <f>ROUND(G71*I71,2)</f>
        <v>99276.24</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5.2620000000000002E-3</v>
      </c>
      <c r="J72" s="127">
        <f>ROUND(G72*I72,2)</f>
        <v>59071.38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4.3909999999999999E-3</v>
      </c>
      <c r="J85" s="127">
        <f>ROUND(G85*I85,2)</f>
        <v>1246583.79</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4.3909999999999999E-3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4.431E-3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432.44979999999998</v>
      </c>
      <c r="C90" s="80"/>
      <c r="D90" s="981">
        <f>I6</f>
        <v>1.0309999999999999</v>
      </c>
      <c r="E90" s="981"/>
      <c r="F90" s="981"/>
      <c r="G90" s="113">
        <f>Consolidated!F$118</f>
        <v>961.57</v>
      </c>
      <c r="H90" s="47" t="s">
        <v>66</v>
      </c>
      <c r="I90" s="532">
        <f>ROUND(B90*D90*G90,2)</f>
        <v>428721.51</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540.35120000000006</v>
      </c>
      <c r="C91" s="80"/>
      <c r="D91" s="981">
        <f>I6</f>
        <v>1.0309999999999999</v>
      </c>
      <c r="E91" s="981"/>
      <c r="F91" s="981"/>
      <c r="G91" s="113">
        <f>Consolidated!F$119</f>
        <v>918.1</v>
      </c>
      <c r="H91" s="47" t="s">
        <v>66</v>
      </c>
      <c r="I91" s="532">
        <f>ROUND(B91*D91*G91,2)</f>
        <v>511475.43</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972.80100000000004</v>
      </c>
      <c r="C93" s="80"/>
      <c r="D93" s="80"/>
      <c r="E93" s="1059" t="s">
        <v>110</v>
      </c>
      <c r="F93" s="1059"/>
      <c r="G93" s="1059"/>
      <c r="H93" s="1059"/>
      <c r="I93" s="1059"/>
      <c r="J93" s="116">
        <f>IF(A1=75,0,I92+I91+I90)</f>
        <v>940196.94</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v>99</v>
      </c>
      <c r="D97" s="223">
        <v>105</v>
      </c>
      <c r="E97" s="1103">
        <f>IF(D97&gt;0,(C97+D97)/2,C97)</f>
        <v>102</v>
      </c>
      <c r="F97" s="982"/>
      <c r="G97" s="982"/>
      <c r="H97" s="85" t="s">
        <v>115</v>
      </c>
      <c r="I97" s="119">
        <f>Consolidated!G$127</f>
        <v>583</v>
      </c>
      <c r="J97" s="127">
        <f>ROUND(I97*E97,2)</f>
        <v>59466</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8208371.0300000003</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7759524.1299999999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7759524.1299999999</v>
      </c>
      <c r="J114" s="234">
        <f>ROUND(IF(E28=0,0,IF(E28&gt;250,-(((250/E28)*I114)*IF(H114="H",0.02,0.05)),IF(H114="H",-0.02*I114,-0.05*I114))),2)</f>
        <v>-104798.39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8103572.6400000006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Payments'!R114</f>
        <v>-1346250.46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6757322.1800000006</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675732.22</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283177.82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sheetPr>
    <tabColor theme="0" tint="-0.34998626667073579"/>
  </sheetPr>
  <dimension ref="A1:Z207"/>
  <sheetViews>
    <sheetView topLeftCell="A44" workbookViewId="0">
      <selection activeCell="I65" sqref="I65:J65"/>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515</v>
      </c>
      <c r="B2" s="101"/>
      <c r="C2" s="101"/>
      <c r="D2" s="101"/>
      <c r="E2" s="6"/>
      <c r="F2" s="6"/>
      <c r="G2" s="6"/>
      <c r="H2" s="6"/>
      <c r="I2" s="685" t="str">
        <f>RIGHT(A2,4)</f>
        <v>4080</v>
      </c>
      <c r="J2" s="6"/>
      <c r="K2" s="6"/>
      <c r="L2" s="6"/>
      <c r="M2" s="6"/>
      <c r="N2" s="6"/>
      <c r="O2" s="6"/>
      <c r="P2" s="6"/>
      <c r="Q2" s="6"/>
      <c r="R2" s="987" t="str">
        <f>Revenue_Estimate_Worksheet_for___________Charter_School</f>
        <v>Revenue Estimate Worksheet: University Prep Palm Beach - 4080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0</v>
      </c>
      <c r="D28" s="773">
        <f>SUM(D12:D27)</f>
        <v>0</v>
      </c>
      <c r="E28" s="1085">
        <f>SUM(E12:E27)</f>
        <v>0</v>
      </c>
      <c r="F28" s="1085"/>
      <c r="G28" s="1080"/>
      <c r="H28" s="1080"/>
      <c r="I28" s="23">
        <f>SUM(I12:I27)</f>
        <v>0</v>
      </c>
      <c r="J28" s="116">
        <f>SUM(J12:J27)</f>
        <v>0</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0</v>
      </c>
      <c r="H33" s="1080" t="s">
        <v>45</v>
      </c>
      <c r="I33" s="1080"/>
      <c r="J33" s="32">
        <f>SUM(J32,J28)</f>
        <v>0</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121">
        <f>J$28</f>
        <v>0</v>
      </c>
      <c r="H36" s="37" t="s">
        <v>48</v>
      </c>
      <c r="I36" s="38">
        <f>Consolidated!H53</f>
        <v>7.1400000000000005E-2</v>
      </c>
      <c r="J36" s="120">
        <f>ROUND(G36*I36,2)</f>
        <v>0</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121">
        <f>J$28</f>
        <v>0</v>
      </c>
      <c r="H37" s="37" t="s">
        <v>48</v>
      </c>
      <c r="I37" s="38">
        <f>Consolidated!H54</f>
        <v>1.06E-2</v>
      </c>
      <c r="J37" s="120">
        <f>ROUND(G37*I37,2)</f>
        <v>0</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0</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0</v>
      </c>
      <c r="D50" s="774">
        <f>SUM(D41:D49)</f>
        <v>0</v>
      </c>
      <c r="E50" s="1075">
        <f>SUM(E41:E49)</f>
        <v>0</v>
      </c>
      <c r="F50" s="1075"/>
      <c r="G50" s="1030" t="s">
        <v>61</v>
      </c>
      <c r="H50" s="1030"/>
      <c r="I50" s="1030"/>
      <c r="J50" s="220">
        <f>SUM(J41:J49)</f>
        <v>0</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0</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0</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E56</f>
        <v>0</v>
      </c>
      <c r="U55" s="173" t="s">
        <v>64</v>
      </c>
      <c r="V55" s="174"/>
      <c r="W55" s="175" t="s">
        <v>69</v>
      </c>
      <c r="X55" s="1037">
        <f>I56</f>
        <v>221542.28000000003</v>
      </c>
      <c r="Y55" s="1037"/>
    </row>
    <row r="56" spans="1:25" ht="16.5" customHeight="1" x14ac:dyDescent="0.25">
      <c r="A56" s="1013" t="s">
        <v>68</v>
      </c>
      <c r="B56" s="1013"/>
      <c r="C56" s="51"/>
      <c r="D56" s="51"/>
      <c r="E56" s="48">
        <f>G33</f>
        <v>0</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0</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0</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0</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0</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0</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0</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0</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0</v>
      </c>
      <c r="J68" s="127">
        <f>ROUND(G68*I68,2)</f>
        <v>0</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0</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0</v>
      </c>
      <c r="J71" s="127">
        <f>ROUND(G71*I71,2)</f>
        <v>0</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0</v>
      </c>
      <c r="J72" s="127">
        <f>ROUND(G72*I72,2)</f>
        <v>0</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0</v>
      </c>
      <c r="J85" s="127">
        <f>ROUND(G85*I85,2)</f>
        <v>0</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0</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0</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129">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0</v>
      </c>
      <c r="C93" s="80"/>
      <c r="D93" s="80"/>
      <c r="E93" s="1059" t="s">
        <v>110</v>
      </c>
      <c r="F93" s="1059"/>
      <c r="G93" s="1059"/>
      <c r="H93" s="1059"/>
      <c r="I93" s="1059"/>
      <c r="J93" s="116">
        <f>IF(A1=75,0,I92+I91+I90)</f>
        <v>0</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223"/>
      <c r="D97" s="223"/>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0</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0</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Payments'!R115</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43" workbookViewId="0">
      <selection activeCell="G37" sqref="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516</v>
      </c>
      <c r="B2" s="101"/>
      <c r="C2" s="101"/>
      <c r="D2" s="101"/>
      <c r="E2" s="6"/>
      <c r="F2" s="6"/>
      <c r="G2" s="6"/>
      <c r="H2" s="6"/>
      <c r="I2" s="685" t="str">
        <f>RIGHT(A2,4)</f>
        <v>4081</v>
      </c>
      <c r="J2" s="6"/>
      <c r="K2" s="6"/>
      <c r="L2" s="6"/>
      <c r="M2" s="6"/>
      <c r="N2" s="6"/>
      <c r="O2" s="6"/>
      <c r="P2" s="6"/>
      <c r="Q2" s="6"/>
      <c r="R2" s="987" t="str">
        <f>Revenue_Estimate_Worksheet_for___________Charter_School</f>
        <v>Revenue Estimate Worksheet: Florida Futures Academy - North Campus - 4081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44.61</v>
      </c>
      <c r="D16" s="389">
        <f>SUMIFS('Surv2-3'!M:M,'Surv2-3'!$H:$H,$I$2,'Surv2-3'!$I:$I,$O16)</f>
        <v>46.680000000000007</v>
      </c>
      <c r="E16" s="1080">
        <f t="shared" si="0"/>
        <v>91.29</v>
      </c>
      <c r="F16" s="1080"/>
      <c r="G16" s="1086">
        <f>Consolidated!$F18</f>
        <v>0.96499999999999997</v>
      </c>
      <c r="H16" s="1086">
        <f>Consolidated!$H$9</f>
        <v>1</v>
      </c>
      <c r="I16" s="534">
        <f t="shared" si="3"/>
        <v>88.094899999999996</v>
      </c>
      <c r="J16" s="535">
        <f t="shared" si="1"/>
        <v>495691.11</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10.5</v>
      </c>
      <c r="D17" s="389">
        <f>SUMIFS('Surv2-3'!M:M,'Surv2-3'!$H:$H,$I$2,'Surv2-3'!$I:$I,$O17)</f>
        <v>10.96</v>
      </c>
      <c r="E17" s="1080">
        <f t="shared" si="0"/>
        <v>21.46</v>
      </c>
      <c r="F17" s="1080"/>
      <c r="G17" s="1086">
        <f>Consolidated!$F19</f>
        <v>0.96499999999999997</v>
      </c>
      <c r="H17" s="1086">
        <f>Consolidated!$H$9</f>
        <v>1</v>
      </c>
      <c r="I17" s="534">
        <f t="shared" si="3"/>
        <v>20.7089</v>
      </c>
      <c r="J17" s="535">
        <f t="shared" si="1"/>
        <v>116524.54</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4.72</v>
      </c>
      <c r="D26" s="389">
        <f>SUMIFS('Surv2-3'!M:M,'Surv2-3'!$H:$H,$I$2,'Surv2-3'!$I:$I,$O26)</f>
        <v>5.68</v>
      </c>
      <c r="E26" s="1080">
        <f t="shared" si="0"/>
        <v>10.399999999999999</v>
      </c>
      <c r="F26" s="1080"/>
      <c r="G26" s="1086">
        <f>Consolidated!$F28</f>
        <v>1.161</v>
      </c>
      <c r="H26" s="1086">
        <f>Consolidated!$H$9</f>
        <v>1</v>
      </c>
      <c r="I26" s="534">
        <f t="shared" si="3"/>
        <v>12.074400000000001</v>
      </c>
      <c r="J26" s="535">
        <f t="shared" si="1"/>
        <v>67940.06</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59.83</v>
      </c>
      <c r="D28" s="773">
        <f>SUM(D12:D27)</f>
        <v>63.320000000000007</v>
      </c>
      <c r="E28" s="1085">
        <f>SUM(E12:E27)</f>
        <v>123.15</v>
      </c>
      <c r="F28" s="1085"/>
      <c r="G28" s="1080"/>
      <c r="H28" s="1080"/>
      <c r="I28" s="23">
        <f>SUM(I12:I27)</f>
        <v>120.87819999999999</v>
      </c>
      <c r="J28" s="116">
        <f>SUM(J12:J27)</f>
        <v>680155.71</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120.87819999999999</v>
      </c>
      <c r="H33" s="1080" t="s">
        <v>45</v>
      </c>
      <c r="I33" s="1080"/>
      <c r="J33" s="32">
        <f>SUM(J32,J28)</f>
        <v>680155.71</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680155.71</v>
      </c>
      <c r="H36" s="37" t="s">
        <v>48</v>
      </c>
      <c r="I36" s="38">
        <f>Consolidated!H53</f>
        <v>7.1400000000000005E-2</v>
      </c>
      <c r="J36" s="120">
        <f>ROUND(G36*I36,2)</f>
        <v>48563.12</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427">
        <v>680155.71</v>
      </c>
      <c r="H37" s="37" t="s">
        <v>48</v>
      </c>
      <c r="I37" s="38">
        <f>Consolidated!H54</f>
        <v>1.06E-2</v>
      </c>
      <c r="J37" s="120">
        <f>ROUND(G37*I37,2)</f>
        <v>7209.65</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55772.770000000004</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532"/>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532">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532">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532">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532">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9</v>
      </c>
      <c r="D47" s="122">
        <f>SUMIFS('ESE FTE'!G:G,'ESE FTE'!$A:$A,$I$2,'ESE FTE'!$E:$E,12)</f>
        <v>9.39</v>
      </c>
      <c r="E47" s="1073">
        <f t="shared" si="8"/>
        <v>18.39</v>
      </c>
      <c r="F47" s="1073"/>
      <c r="G47" s="47" t="s">
        <v>59</v>
      </c>
      <c r="H47" s="37">
        <v>251</v>
      </c>
      <c r="I47" s="125">
        <f>Consolidated!$H65</f>
        <v>835</v>
      </c>
      <c r="J47" s="532">
        <f t="shared" si="9"/>
        <v>15355.65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1.5</v>
      </c>
      <c r="D48" s="122">
        <f>SUMIFS('ESE FTE'!G:G,'ESE FTE'!$A:$A,$I$2,'ESE FTE'!$E:$E,13)</f>
        <v>1.57</v>
      </c>
      <c r="E48" s="1073">
        <f t="shared" si="8"/>
        <v>3.0700000000000003</v>
      </c>
      <c r="F48" s="1073"/>
      <c r="G48" s="47" t="s">
        <v>59</v>
      </c>
      <c r="H48" s="37">
        <v>252</v>
      </c>
      <c r="I48" s="125">
        <f>Consolidated!$H66</f>
        <v>3168</v>
      </c>
      <c r="J48" s="532">
        <f t="shared" si="9"/>
        <v>9725.76</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10.5</v>
      </c>
      <c r="D50" s="774">
        <f>SUM(D41:D49)</f>
        <v>10.96</v>
      </c>
      <c r="E50" s="1075">
        <f>SUM(E41:E49)</f>
        <v>21.46</v>
      </c>
      <c r="F50" s="1075"/>
      <c r="G50" s="1030" t="s">
        <v>61</v>
      </c>
      <c r="H50" s="1030"/>
      <c r="I50" s="1030"/>
      <c r="J50" s="220">
        <f>SUM(J41:J49)</f>
        <v>25081.41</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123.15</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5.9000000000000003E-4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120.87819999999999</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5.4600000000000004E-4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123.15</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6.9999999999999999E-4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123.15</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5.9100000000000005E-4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123.15</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7.0100000000000002E-4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5.9100000000000005E-4</v>
      </c>
      <c r="J68" s="127">
        <f>ROUND(G68*I68,2)</f>
        <v>27107.23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5.9000000000000003E-4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7.0100000000000002E-4</v>
      </c>
      <c r="J71" s="127">
        <f>ROUND(G71*I71,2)</f>
        <v>13202.93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6.9999999999999999E-4</v>
      </c>
      <c r="J72" s="127">
        <f>ROUND(G72*I72,2)</f>
        <v>7858.22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5.4600000000000004E-4</v>
      </c>
      <c r="J85" s="127">
        <f>ROUND(G85*I85,2)</f>
        <v>155006.76999999999</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5.4600000000000004E-4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5.9000000000000003E-4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532">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532">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120.87819999999999</v>
      </c>
      <c r="C92" s="80"/>
      <c r="D92" s="981">
        <f>I6</f>
        <v>1.0309999999999999</v>
      </c>
      <c r="E92" s="981"/>
      <c r="F92" s="981"/>
      <c r="G92" s="113">
        <f>Consolidated!F$120</f>
        <v>920.31</v>
      </c>
      <c r="H92" s="47" t="s">
        <v>66</v>
      </c>
      <c r="I92" s="532">
        <f>ROUND(B92*D92*G92,2)</f>
        <v>114694.02</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120.87819999999999</v>
      </c>
      <c r="C93" s="80"/>
      <c r="D93" s="80"/>
      <c r="E93" s="1059" t="s">
        <v>110</v>
      </c>
      <c r="F93" s="1059"/>
      <c r="G93" s="1059"/>
      <c r="H93" s="1059"/>
      <c r="I93" s="1059"/>
      <c r="J93" s="116">
        <f>IF(A1=75,0,I92+I91+I90)</f>
        <v>114694.02</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755">
        <v>33</v>
      </c>
      <c r="D97" s="755">
        <v>32</v>
      </c>
      <c r="E97" s="1103">
        <f>IF(D97&gt;0,(C97+D97)/2,C97)</f>
        <v>32.5</v>
      </c>
      <c r="F97" s="982"/>
      <c r="G97" s="982"/>
      <c r="H97" s="85" t="s">
        <v>115</v>
      </c>
      <c r="I97" s="119">
        <f>Consolidated!G$127</f>
        <v>583</v>
      </c>
      <c r="J97" s="127">
        <f>ROUND(I97*E97,2)</f>
        <v>18947.5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1042053.7899999999</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986281.0199999999</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986281.0199999999</v>
      </c>
      <c r="J114" s="234">
        <f>ROUND(IF(E28=0,0,IF(E28&gt;250,-(((250/E28)*I114)*IF(H113="H",0.02,0.05)),IF(H113="H",-0.02*I114,-0.05*I114))),2)</f>
        <v>-49314.05</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992739.73999999987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Payments'!R116</f>
        <v>-173263.13</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819476.60999999987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81947.66</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43"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517</v>
      </c>
      <c r="B2" s="101"/>
      <c r="C2" s="101"/>
      <c r="D2" s="101"/>
      <c r="E2" s="6"/>
      <c r="F2" s="6"/>
      <c r="G2" s="6"/>
      <c r="H2" s="6"/>
      <c r="I2" s="685" t="str">
        <f>RIGHT(A2,4)</f>
        <v>4090</v>
      </c>
      <c r="J2" s="6"/>
      <c r="K2" s="6"/>
      <c r="L2" s="6"/>
      <c r="M2" s="6"/>
      <c r="N2" s="6"/>
      <c r="O2" s="6"/>
      <c r="P2" s="6"/>
      <c r="Q2" s="6"/>
      <c r="R2" s="987" t="str">
        <f>Revenue_Estimate_Worksheet_for___________Charter_School</f>
        <v>Revenue Estimate Worksheet: Sports Leadership &amp; Management Middle School (SLAM) - 4090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127.51999999999998</v>
      </c>
      <c r="D14" s="389">
        <f>SUMIFS('Surv2-3'!L:L,'Surv2-3'!$H:$H,$I$2,'Surv2-3'!$I:$I,$O14)</f>
        <v>126.45999999999998</v>
      </c>
      <c r="E14" s="1080">
        <f t="shared" si="0"/>
        <v>253.97999999999996</v>
      </c>
      <c r="F14" s="1080"/>
      <c r="G14" s="1086">
        <f>Consolidated!$F16</f>
        <v>1</v>
      </c>
      <c r="H14" s="1086">
        <f>Consolidated!$H$9</f>
        <v>1</v>
      </c>
      <c r="I14" s="534">
        <f t="shared" si="3"/>
        <v>253.98</v>
      </c>
      <c r="J14" s="535">
        <f>ROUND(ROUND(ROUND(I14*$E$6,4)*($I$6),2)*(MAX($I$7,1)),2)</f>
        <v>1429091.01</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20</v>
      </c>
      <c r="D15" s="389">
        <f>SUMIFS('Surv2-3'!L:L,'Surv2-3'!$H:$H,$I$2,'Surv2-3'!$I:$I,$O15)</f>
        <v>22.91</v>
      </c>
      <c r="E15" s="1080">
        <f t="shared" si="0"/>
        <v>42.91</v>
      </c>
      <c r="F15" s="1080"/>
      <c r="G15" s="1086">
        <f>Consolidated!$F17</f>
        <v>1</v>
      </c>
      <c r="H15" s="1086">
        <f>Consolidated!$H$9</f>
        <v>1</v>
      </c>
      <c r="I15" s="534">
        <f t="shared" si="3"/>
        <v>42.91</v>
      </c>
      <c r="J15" s="535">
        <f t="shared" si="1"/>
        <v>241445.37</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8.33</v>
      </c>
      <c r="D25" s="389">
        <f>SUMIFS('Surv2-3'!L:L,'Surv2-3'!$H:$H,$I$2,'Surv2-3'!$I:$I,$O25)</f>
        <v>18.350000000000001</v>
      </c>
      <c r="E25" s="1080">
        <f t="shared" si="0"/>
        <v>26.68</v>
      </c>
      <c r="F25" s="1080"/>
      <c r="G25" s="1086">
        <f>Consolidated!$F27</f>
        <v>1.161</v>
      </c>
      <c r="H25" s="1086">
        <f>Consolidated!$H$9</f>
        <v>1</v>
      </c>
      <c r="I25" s="534">
        <f t="shared" si="3"/>
        <v>30.9755</v>
      </c>
      <c r="J25" s="535">
        <f t="shared" si="1"/>
        <v>174292.5</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155.85</v>
      </c>
      <c r="D28" s="773">
        <f>SUM(D12:D27)</f>
        <v>167.71999999999997</v>
      </c>
      <c r="E28" s="1085">
        <f>SUM(E12:E27)</f>
        <v>323.57</v>
      </c>
      <c r="F28" s="1085"/>
      <c r="G28" s="1080"/>
      <c r="H28" s="1080"/>
      <c r="I28" s="23">
        <f>SUM(I12:I27)</f>
        <v>327.8655</v>
      </c>
      <c r="J28" s="116">
        <f>SUM(J12:J27)</f>
        <v>1844828.88</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327.8655</v>
      </c>
      <c r="H33" s="1080" t="s">
        <v>45</v>
      </c>
      <c r="I33" s="1080"/>
      <c r="J33" s="32">
        <f>SUM(J32,J28)</f>
        <v>1844828.88</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1844828.88</v>
      </c>
      <c r="H36" s="37" t="s">
        <v>48</v>
      </c>
      <c r="I36" s="38">
        <f>Consolidated!H53</f>
        <v>7.1400000000000005E-2</v>
      </c>
      <c r="J36" s="120">
        <f>ROUND(G36*I36,2)</f>
        <v>131720.78</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427">
        <v>1844828.88</v>
      </c>
      <c r="H37" s="37" t="s">
        <v>48</v>
      </c>
      <c r="I37" s="38">
        <f>Consolidated!H54</f>
        <v>1.06E-2</v>
      </c>
      <c r="J37" s="120">
        <f>ROUND(G37*I37,2)</f>
        <v>19555.189999999999</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151275.97</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18.46</v>
      </c>
      <c r="D44" s="776">
        <f>SUMIFS('ESE FTE'!G:G,'ESE FTE'!$A:$A,$I$2,'ESE FTE'!$E:$E,9)</f>
        <v>21.15</v>
      </c>
      <c r="E44" s="1073">
        <f t="shared" si="8"/>
        <v>39.61</v>
      </c>
      <c r="F44" s="1073"/>
      <c r="G44" s="47" t="s">
        <v>58</v>
      </c>
      <c r="H44" s="37">
        <v>251</v>
      </c>
      <c r="I44" s="125">
        <f>Consolidated!$H62</f>
        <v>1173</v>
      </c>
      <c r="J44" s="126">
        <f t="shared" si="9"/>
        <v>46462.53</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1.54</v>
      </c>
      <c r="D45" s="122">
        <f>SUMIFS('ESE FTE'!G:G,'ESE FTE'!$A:$A,$I$2,'ESE FTE'!$E:$E,10)</f>
        <v>1.76</v>
      </c>
      <c r="E45" s="1073">
        <f t="shared" si="8"/>
        <v>3.3</v>
      </c>
      <c r="F45" s="1073"/>
      <c r="G45" s="47" t="s">
        <v>58</v>
      </c>
      <c r="H45" s="37">
        <v>252</v>
      </c>
      <c r="I45" s="125">
        <f>Consolidated!$H63</f>
        <v>3506</v>
      </c>
      <c r="J45" s="46">
        <f t="shared" si="9"/>
        <v>11569.8</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20</v>
      </c>
      <c r="D50" s="774">
        <f>SUM(D41:D49)</f>
        <v>22.91</v>
      </c>
      <c r="E50" s="1075">
        <f>SUM(E41:E49)</f>
        <v>42.91</v>
      </c>
      <c r="F50" s="1075"/>
      <c r="G50" s="1030" t="s">
        <v>61</v>
      </c>
      <c r="H50" s="1030"/>
      <c r="I50" s="1030"/>
      <c r="J50" s="220">
        <f>SUM(J41:J49)</f>
        <v>58032.33</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323.57</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1.549E-3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327.8655</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1.48E-3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323.57</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1.8389999999999999E-3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323.57</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1.552E-3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323.57</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1.843E-3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1.552E-3</v>
      </c>
      <c r="J68" s="127">
        <f>ROUND(G68*I68,2)</f>
        <v>71185.14</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1.549E-3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1.843E-3</v>
      </c>
      <c r="J71" s="127">
        <f>ROUND(G71*I71,2)</f>
        <v>34711.839999999997</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1.8389999999999999E-3</v>
      </c>
      <c r="J72" s="127">
        <f>ROUND(G72*I72,2)</f>
        <v>20644.669999999998</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1.48E-3</v>
      </c>
      <c r="J85" s="127">
        <f>ROUND(G85*I85,2)</f>
        <v>420164.88</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1.48E-3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1.549E-3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327.8655</v>
      </c>
      <c r="C91" s="80"/>
      <c r="D91" s="981">
        <f>I6</f>
        <v>1.0309999999999999</v>
      </c>
      <c r="E91" s="981"/>
      <c r="F91" s="981"/>
      <c r="G91" s="113">
        <f>Consolidated!F$119</f>
        <v>918.1</v>
      </c>
      <c r="H91" s="47" t="s">
        <v>66</v>
      </c>
      <c r="I91" s="129">
        <f>ROUND(B91*D91*G91,2)</f>
        <v>310344.73</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327.8655</v>
      </c>
      <c r="C93" s="80"/>
      <c r="D93" s="80"/>
      <c r="E93" s="1059" t="s">
        <v>110</v>
      </c>
      <c r="F93" s="1059"/>
      <c r="G93" s="1059"/>
      <c r="H93" s="1059"/>
      <c r="I93" s="1059"/>
      <c r="J93" s="116">
        <f>IF(A1=75,0,I92+I91+I90)</f>
        <v>310344.73</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755">
        <v>0</v>
      </c>
      <c r="D97" s="755">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2759912.4699999997</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2608636.4999999995</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2608636.4999999995</v>
      </c>
      <c r="J114" s="234">
        <f>ROUND(IF(E28=0,0,IF(E28&gt;250,-(((250/E28)*I114)*IF(H114="H",0.02,0.05)),IF(H114="H",-0.02*I114,-0.05*I114))),2)</f>
        <v>-100775.59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2659136.88</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Payments'!R117</f>
        <v>-446763.98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2212372.9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221237.29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29656.240000000002</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40"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518</v>
      </c>
      <c r="B2" s="101"/>
      <c r="C2" s="101"/>
      <c r="D2" s="101"/>
      <c r="E2" s="6"/>
      <c r="F2" s="6"/>
      <c r="G2" s="6"/>
      <c r="H2" s="6"/>
      <c r="I2" s="685" t="str">
        <f>RIGHT(A2,4)</f>
        <v>4091</v>
      </c>
      <c r="J2" s="6"/>
      <c r="K2" s="6"/>
      <c r="L2" s="6"/>
      <c r="M2" s="6"/>
      <c r="N2" s="6"/>
      <c r="O2" s="6"/>
      <c r="P2" s="6"/>
      <c r="Q2" s="6"/>
      <c r="R2" s="987" t="str">
        <f>Revenue_Estimate_Worksheet_for___________Charter_School</f>
        <v>Revenue Estimate Worksheet: Somerset Academy Lakes - 4091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80.649999999999991</v>
      </c>
      <c r="D12" s="699">
        <f>SUMIFS('Surv2-3'!K:K,'Surv2-3'!$H:$H,$I$2,'Surv2-3'!$I:$I,$O12)</f>
        <v>76.97</v>
      </c>
      <c r="E12" s="1081">
        <f t="shared" ref="E12:E27" si="0">IF($D$28=0,C12*2,C12+D12)</f>
        <v>157.62</v>
      </c>
      <c r="F12" s="1081"/>
      <c r="G12" s="1096">
        <f>Consolidated!$F14</f>
        <v>1.107</v>
      </c>
      <c r="H12" s="1096">
        <f>Consolidated!$H$9</f>
        <v>1</v>
      </c>
      <c r="I12" s="534">
        <f>ROUND(E12*G12,4)</f>
        <v>174.4853</v>
      </c>
      <c r="J12" s="535">
        <f t="shared" ref="J12:J27" si="1">ROUND(ROUND(ROUND(I12*$E$6,4)*($I$6),2)*(MAX($I$7,1)),2)</f>
        <v>981791.37</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13</v>
      </c>
      <c r="D13" s="389">
        <f>SUMIFS('Surv2-3'!K:K,'Surv2-3'!$H:$H,$I$2,'Surv2-3'!$I:$I,$O13)</f>
        <v>14</v>
      </c>
      <c r="E13" s="1080">
        <f t="shared" si="0"/>
        <v>27</v>
      </c>
      <c r="F13" s="1080"/>
      <c r="G13" s="1086">
        <f>Consolidated!$F15</f>
        <v>1.107</v>
      </c>
      <c r="H13" s="1086">
        <f>Consolidated!$H$9</f>
        <v>1</v>
      </c>
      <c r="I13" s="534">
        <f t="shared" ref="I13:I27" si="3">ROUND(E13*G13,4)</f>
        <v>29.888999999999999</v>
      </c>
      <c r="J13" s="535">
        <f t="shared" si="1"/>
        <v>168178.99</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41.06</v>
      </c>
      <c r="D14" s="389">
        <f>SUMIFS('Surv2-3'!L:L,'Surv2-3'!$H:$H,$I$2,'Surv2-3'!$I:$I,$O14)</f>
        <v>41.86</v>
      </c>
      <c r="E14" s="1080">
        <f t="shared" si="0"/>
        <v>82.92</v>
      </c>
      <c r="F14" s="1080"/>
      <c r="G14" s="1086">
        <f>Consolidated!$F16</f>
        <v>1</v>
      </c>
      <c r="H14" s="1086">
        <f>Consolidated!$H$9</f>
        <v>1</v>
      </c>
      <c r="I14" s="534">
        <f t="shared" si="3"/>
        <v>82.92</v>
      </c>
      <c r="J14" s="535">
        <f>ROUND(ROUND(ROUND(I14*$E$6,4)*($I$6),2)*(MAX($I$7,1)),2)</f>
        <v>466573.06</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7</v>
      </c>
      <c r="D15" s="389">
        <f>SUMIFS('Surv2-3'!L:L,'Surv2-3'!$H:$H,$I$2,'Surv2-3'!$I:$I,$O15)</f>
        <v>9</v>
      </c>
      <c r="E15" s="1080">
        <f t="shared" si="0"/>
        <v>16</v>
      </c>
      <c r="F15" s="1080"/>
      <c r="G15" s="1086">
        <f>Consolidated!$F17</f>
        <v>1</v>
      </c>
      <c r="H15" s="1086">
        <f>Consolidated!$H$9</f>
        <v>1</v>
      </c>
      <c r="I15" s="534">
        <f t="shared" si="3"/>
        <v>16</v>
      </c>
      <c r="J15" s="535">
        <f t="shared" si="1"/>
        <v>90028.57</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41.350000000000009</v>
      </c>
      <c r="D24" s="389">
        <f>SUMIFS('Surv2-3'!K:K,'Surv2-3'!$H:$H,$I$2,'Surv2-3'!$I:$I,$O24)</f>
        <v>42.94</v>
      </c>
      <c r="E24" s="1080">
        <f t="shared" si="0"/>
        <v>84.29</v>
      </c>
      <c r="F24" s="1080"/>
      <c r="G24" s="1086">
        <f>Consolidated!$F26</f>
        <v>1.161</v>
      </c>
      <c r="H24" s="1086">
        <f>Consolidated!$H$9</f>
        <v>1</v>
      </c>
      <c r="I24" s="534">
        <f t="shared" si="3"/>
        <v>97.860699999999994</v>
      </c>
      <c r="J24" s="535">
        <f t="shared" si="1"/>
        <v>550641.18000000005</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12.44</v>
      </c>
      <c r="D25" s="389">
        <f>SUMIFS('Surv2-3'!L:L,'Surv2-3'!$H:$H,$I$2,'Surv2-3'!$I:$I,$O25)</f>
        <v>13.94</v>
      </c>
      <c r="E25" s="1080">
        <f t="shared" si="0"/>
        <v>26.38</v>
      </c>
      <c r="F25" s="1080"/>
      <c r="G25" s="1086">
        <f>Consolidated!$F27</f>
        <v>1.161</v>
      </c>
      <c r="H25" s="1086">
        <f>Consolidated!$H$9</f>
        <v>1</v>
      </c>
      <c r="I25" s="534">
        <f t="shared" si="3"/>
        <v>30.627199999999998</v>
      </c>
      <c r="J25" s="535">
        <f t="shared" si="1"/>
        <v>172332.69</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195.5</v>
      </c>
      <c r="D28" s="773">
        <f>SUM(D12:D27)</f>
        <v>198.70999999999998</v>
      </c>
      <c r="E28" s="1085">
        <f>SUM(E12:E27)</f>
        <v>394.21000000000004</v>
      </c>
      <c r="F28" s="1085"/>
      <c r="G28" s="1080"/>
      <c r="H28" s="1080"/>
      <c r="I28" s="23">
        <f>SUM(I12:I27)</f>
        <v>431.78220000000005</v>
      </c>
      <c r="J28" s="116">
        <f>SUM(J12:J27)</f>
        <v>2429545.86</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431.78220000000005</v>
      </c>
      <c r="H33" s="1080" t="s">
        <v>45</v>
      </c>
      <c r="I33" s="1080"/>
      <c r="J33" s="32">
        <f>SUM(J32,J28)</f>
        <v>2429545.86</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2429545.86</v>
      </c>
      <c r="H36" s="37" t="s">
        <v>48</v>
      </c>
      <c r="I36" s="38">
        <f>Consolidated!H53</f>
        <v>7.1400000000000005E-2</v>
      </c>
      <c r="J36" s="120">
        <f>ROUND(G36*I36,2)</f>
        <v>173469.57</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427">
        <v>2429545.86</v>
      </c>
      <c r="H37" s="37" t="s">
        <v>48</v>
      </c>
      <c r="I37" s="38">
        <f>Consolidated!H54</f>
        <v>1.06E-2</v>
      </c>
      <c r="J37" s="120">
        <f>ROUND(G37*I37,2)</f>
        <v>25753.19</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199222.76</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8.5</v>
      </c>
      <c r="D41" s="776">
        <f>SUMIFS('ESE FTE'!G:G,'ESE FTE'!$A:$A,$I$2,'ESE FTE'!$E:$E,6)</f>
        <v>9.15</v>
      </c>
      <c r="E41" s="1073">
        <f t="shared" ref="E41:E49" si="8">IF($D$50=0,C41*2,C41+D41)</f>
        <v>17.649999999999999</v>
      </c>
      <c r="F41" s="1073"/>
      <c r="G41" s="37" t="s">
        <v>57</v>
      </c>
      <c r="H41" s="37">
        <v>251</v>
      </c>
      <c r="I41" s="125">
        <f>Consolidated!$H59</f>
        <v>1047</v>
      </c>
      <c r="J41" s="46">
        <f t="shared" ref="J41:J49" si="9">ROUND(E41*I41,2)</f>
        <v>18479.55</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4.5</v>
      </c>
      <c r="D42" s="122">
        <f>SUMIFS('ESE FTE'!G:G,'ESE FTE'!$A:$A,$I$2,'ESE FTE'!$E:$E,7)</f>
        <v>4.8499999999999996</v>
      </c>
      <c r="E42" s="1073">
        <f t="shared" si="8"/>
        <v>9.35</v>
      </c>
      <c r="F42" s="1073"/>
      <c r="G42" s="37" t="s">
        <v>57</v>
      </c>
      <c r="H42" s="37">
        <v>252</v>
      </c>
      <c r="I42" s="125">
        <f>Consolidated!$H60</f>
        <v>3380</v>
      </c>
      <c r="J42" s="46">
        <f t="shared" si="9"/>
        <v>31603</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6.5</v>
      </c>
      <c r="D44" s="776">
        <f>SUMIFS('ESE FTE'!G:G,'ESE FTE'!$A:$A,$I$2,'ESE FTE'!$E:$E,9)</f>
        <v>8.36</v>
      </c>
      <c r="E44" s="1073">
        <f t="shared" si="8"/>
        <v>14.86</v>
      </c>
      <c r="F44" s="1073"/>
      <c r="G44" s="47" t="s">
        <v>58</v>
      </c>
      <c r="H44" s="37">
        <v>251</v>
      </c>
      <c r="I44" s="125">
        <f>Consolidated!$H62</f>
        <v>1173</v>
      </c>
      <c r="J44" s="126">
        <f t="shared" si="9"/>
        <v>17430.78</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0.5</v>
      </c>
      <c r="D45" s="122">
        <f>SUMIFS('ESE FTE'!G:G,'ESE FTE'!$A:$A,$I$2,'ESE FTE'!$E:$E,10)</f>
        <v>0.64</v>
      </c>
      <c r="E45" s="1073">
        <f t="shared" si="8"/>
        <v>1.1400000000000001</v>
      </c>
      <c r="F45" s="1073"/>
      <c r="G45" s="47" t="s">
        <v>58</v>
      </c>
      <c r="H45" s="37">
        <v>252</v>
      </c>
      <c r="I45" s="125">
        <f>Consolidated!$H63</f>
        <v>3506</v>
      </c>
      <c r="J45" s="46">
        <f t="shared" si="9"/>
        <v>3996.84</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20</v>
      </c>
      <c r="D50" s="774">
        <f>SUM(D41:D49)</f>
        <v>23</v>
      </c>
      <c r="E50" s="1075">
        <f>SUM(E41:E49)</f>
        <v>43</v>
      </c>
      <c r="F50" s="1075"/>
      <c r="G50" s="1030" t="s">
        <v>61</v>
      </c>
      <c r="H50" s="1030"/>
      <c r="I50" s="1030"/>
      <c r="J50" s="220">
        <f>SUM(J41:J49)</f>
        <v>71510.17</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394.21000000000004</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1.887E-3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E54</f>
        <v>0</v>
      </c>
      <c r="U55" s="173" t="s">
        <v>64</v>
      </c>
      <c r="V55" s="174"/>
      <c r="W55" s="175" t="s">
        <v>69</v>
      </c>
      <c r="X55" s="1037">
        <f>I56</f>
        <v>221542.28000000003</v>
      </c>
      <c r="Y55" s="1037"/>
    </row>
    <row r="56" spans="1:25" ht="16.5" customHeight="1" x14ac:dyDescent="0.25">
      <c r="A56" s="1013" t="s">
        <v>68</v>
      </c>
      <c r="B56" s="1013"/>
      <c r="C56" s="51"/>
      <c r="D56" s="51"/>
      <c r="E56" s="48">
        <f>G33</f>
        <v>431.78220000000005</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1.949E-3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394.21000000000004</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2.2409999999999999E-3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394.21000000000004</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1.89E-3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394.21000000000004</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2.245E-3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1.89E-3</v>
      </c>
      <c r="J68" s="127">
        <f>ROUND(G68*I68,2)</f>
        <v>86688.09</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1.887E-3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2.245E-3</v>
      </c>
      <c r="J71" s="127">
        <f>ROUND(G71*I71,2)</f>
        <v>42283.28</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2.2409999999999999E-3</v>
      </c>
      <c r="J72" s="127">
        <f>ROUND(G72*I72,2)</f>
        <v>25157.54</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1.949E-3</v>
      </c>
      <c r="J85" s="127">
        <f>ROUND(G85*I85,2)</f>
        <v>553311.73</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1.949E-3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1.887E-3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302.23500000000001</v>
      </c>
      <c r="C90" s="80"/>
      <c r="D90" s="981">
        <f>I6</f>
        <v>1.0309999999999999</v>
      </c>
      <c r="E90" s="981"/>
      <c r="F90" s="981"/>
      <c r="G90" s="113">
        <f>Consolidated!F$118</f>
        <v>961.57</v>
      </c>
      <c r="H90" s="47" t="s">
        <v>66</v>
      </c>
      <c r="I90" s="130">
        <f>ROUND(B90*D90*G90,2)</f>
        <v>299629.33</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129.5472</v>
      </c>
      <c r="C91" s="80"/>
      <c r="D91" s="981">
        <f>I6</f>
        <v>1.0309999999999999</v>
      </c>
      <c r="E91" s="981"/>
      <c r="F91" s="981"/>
      <c r="G91" s="113">
        <f>Consolidated!F$119</f>
        <v>918.1</v>
      </c>
      <c r="H91" s="47" t="s">
        <v>66</v>
      </c>
      <c r="I91" s="129">
        <f>ROUND(B91*D91*G91,2)</f>
        <v>122624.34</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431.78219999999999</v>
      </c>
      <c r="C93" s="80"/>
      <c r="D93" s="80"/>
      <c r="E93" s="1059" t="s">
        <v>110</v>
      </c>
      <c r="F93" s="1059"/>
      <c r="G93" s="1059"/>
      <c r="H93" s="1059"/>
      <c r="I93" s="1059"/>
      <c r="J93" s="116">
        <f>IF(A1=75,0,I92+I91+I90)</f>
        <v>422253.67000000004</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755">
        <v>0</v>
      </c>
      <c r="D97" s="755">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3630750.34</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3431527.58</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3431527.58</v>
      </c>
      <c r="J114" s="234">
        <f>ROUND(IF(E28=0,0,IF(E28&gt;250,-(((250/E28)*I114)*IF(H114="H",0.02,0.05)),IF(H114="H",-0.02*I114,-0.05*I114))),2)</f>
        <v>-108810.27</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3521940.07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Payments'!R118</f>
        <v>-584121.28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2937818.79</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293781.88</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62766.11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34" workbookViewId="0">
      <selection activeCell="G36" sqref="G36: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3.710937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519</v>
      </c>
      <c r="B2" s="101"/>
      <c r="C2" s="101"/>
      <c r="D2" s="101"/>
      <c r="E2" s="6"/>
      <c r="F2" s="6"/>
      <c r="G2" s="6"/>
      <c r="H2" s="6"/>
      <c r="I2" s="685" t="str">
        <f>RIGHT(A2,4)</f>
        <v>4100</v>
      </c>
      <c r="J2" s="6"/>
      <c r="K2" s="6"/>
      <c r="L2" s="6"/>
      <c r="M2" s="6"/>
      <c r="N2" s="6"/>
      <c r="O2" s="6"/>
      <c r="P2" s="6"/>
      <c r="Q2" s="6"/>
      <c r="R2" s="987" t="str">
        <f>Revenue_Estimate_Worksheet_for___________Charter_School</f>
        <v>Revenue Estimate Worksheet: Connections Education Center of the Palm Beaches - 4100</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1</v>
      </c>
      <c r="D13" s="389">
        <f>SUMIFS('Surv2-3'!K:K,'Surv2-3'!$H:$H,$I$2,'Surv2-3'!$I:$I,$O13)</f>
        <v>1</v>
      </c>
      <c r="E13" s="1080">
        <f t="shared" si="0"/>
        <v>2</v>
      </c>
      <c r="F13" s="1080"/>
      <c r="G13" s="1086">
        <f>Consolidated!$F15</f>
        <v>1.107</v>
      </c>
      <c r="H13" s="1086">
        <f>Consolidated!$H$9</f>
        <v>1</v>
      </c>
      <c r="I13" s="534">
        <f t="shared" ref="I13:I27" si="3">ROUND(E13*G13,4)</f>
        <v>2.214</v>
      </c>
      <c r="J13" s="535">
        <f t="shared" si="1"/>
        <v>12457.7</v>
      </c>
      <c r="L13" s="21"/>
      <c r="M13" s="2"/>
      <c r="O13" s="2" t="str">
        <f t="shared" si="2"/>
        <v>111</v>
      </c>
      <c r="R13" s="1006" t="s">
        <v>21</v>
      </c>
      <c r="S13" s="1006"/>
      <c r="T13" s="1004">
        <f t="shared" ref="T13:T27" si="4">IF($I$111=1,E13,0)</f>
        <v>2</v>
      </c>
      <c r="U13" s="1004"/>
      <c r="V13" s="1010">
        <v>1</v>
      </c>
      <c r="W13" s="1010"/>
      <c r="X13" s="145">
        <f t="shared" ref="X13:X27" si="5">ROUND(T13*V13,4)</f>
        <v>2</v>
      </c>
      <c r="Y13" s="212">
        <f t="shared" ref="Y13" si="6">ROUND(ROUND(ROUND(X13*$E$6,4)*($I$6),2)*(MAX($I$7,1)),2)</f>
        <v>11253.57</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1</v>
      </c>
      <c r="D15" s="389">
        <f>SUMIFS('Surv2-3'!L:L,'Surv2-3'!$H:$H,$I$2,'Surv2-3'!$I:$I,$O15)</f>
        <v>1</v>
      </c>
      <c r="E15" s="1080">
        <f t="shared" si="0"/>
        <v>2</v>
      </c>
      <c r="F15" s="1080"/>
      <c r="G15" s="1086">
        <f>Consolidated!$F17</f>
        <v>1</v>
      </c>
      <c r="H15" s="1086">
        <f>Consolidated!$H$9</f>
        <v>1</v>
      </c>
      <c r="I15" s="534">
        <f t="shared" si="3"/>
        <v>2</v>
      </c>
      <c r="J15" s="535">
        <f t="shared" si="1"/>
        <v>11253.57</v>
      </c>
      <c r="M15" s="2"/>
      <c r="O15" s="2" t="str">
        <f t="shared" si="2"/>
        <v>112</v>
      </c>
      <c r="R15" s="1006" t="s">
        <v>23</v>
      </c>
      <c r="S15" s="1006"/>
      <c r="T15" s="1004">
        <f t="shared" si="4"/>
        <v>2</v>
      </c>
      <c r="U15" s="1004"/>
      <c r="V15" s="1010">
        <v>1</v>
      </c>
      <c r="W15" s="1010"/>
      <c r="X15" s="145">
        <f t="shared" si="5"/>
        <v>2</v>
      </c>
      <c r="Y15" s="212">
        <f t="shared" ref="Y15:Y27" si="7">ROUND(ROUND(ROUND(X15*$E$6,4)*($I$6),2)*(MAX($I$7,1)),2)</f>
        <v>11253.57</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11.5</v>
      </c>
      <c r="D18" s="389">
        <f>SUMIFS('Surv2-3'!K:K,'Surv2-3'!$H:$H,$I$2,'Surv2-3'!$I:$I,$O18)</f>
        <v>11.5</v>
      </c>
      <c r="E18" s="1080">
        <f t="shared" si="0"/>
        <v>23</v>
      </c>
      <c r="F18" s="1080"/>
      <c r="G18" s="1086">
        <f>Consolidated!$F20</f>
        <v>3.5150000000000001</v>
      </c>
      <c r="H18" s="1086">
        <f>Consolidated!$H$9</f>
        <v>1</v>
      </c>
      <c r="I18" s="534">
        <f t="shared" si="3"/>
        <v>80.844999999999999</v>
      </c>
      <c r="J18" s="535">
        <f t="shared" si="1"/>
        <v>454897.48</v>
      </c>
      <c r="M18" s="2"/>
      <c r="O18" s="2" t="str">
        <f t="shared" si="2"/>
        <v>254</v>
      </c>
      <c r="R18" s="1006" t="s">
        <v>26</v>
      </c>
      <c r="S18" s="1006"/>
      <c r="T18" s="1004">
        <f t="shared" si="4"/>
        <v>23</v>
      </c>
      <c r="U18" s="1004"/>
      <c r="V18" s="1010">
        <v>1</v>
      </c>
      <c r="W18" s="1010"/>
      <c r="X18" s="145">
        <f t="shared" si="5"/>
        <v>23</v>
      </c>
      <c r="Y18" s="212">
        <f t="shared" si="7"/>
        <v>129416.07</v>
      </c>
    </row>
    <row r="19" spans="1:25" x14ac:dyDescent="0.25">
      <c r="A19" s="975" t="s">
        <v>27</v>
      </c>
      <c r="B19" s="975"/>
      <c r="C19" s="389">
        <f>SUMIFS('Surv2-3'!E:E,'Surv2-3'!$A:$A,$I$2,'Surv2-3'!$B:$B,$O19)</f>
        <v>8</v>
      </c>
      <c r="D19" s="389">
        <f>SUMIFS('Surv2-3'!L:L,'Surv2-3'!$H:$H,$I$2,'Surv2-3'!$I:$I,$O19)</f>
        <v>8</v>
      </c>
      <c r="E19" s="1080">
        <f t="shared" si="0"/>
        <v>16</v>
      </c>
      <c r="F19" s="1080"/>
      <c r="G19" s="1086">
        <f>Consolidated!$F21</f>
        <v>3.5150000000000001</v>
      </c>
      <c r="H19" s="1086">
        <f>Consolidated!$H$9</f>
        <v>1</v>
      </c>
      <c r="I19" s="534">
        <f t="shared" si="3"/>
        <v>56.24</v>
      </c>
      <c r="J19" s="535">
        <f t="shared" si="1"/>
        <v>316450.42</v>
      </c>
      <c r="M19" s="2"/>
      <c r="O19" s="2" t="str">
        <f t="shared" si="2"/>
        <v>254</v>
      </c>
      <c r="R19" s="1006" t="s">
        <v>27</v>
      </c>
      <c r="S19" s="1006"/>
      <c r="T19" s="1004">
        <f t="shared" si="4"/>
        <v>16</v>
      </c>
      <c r="U19" s="1004"/>
      <c r="V19" s="1010">
        <v>1</v>
      </c>
      <c r="W19" s="1010"/>
      <c r="X19" s="145">
        <f t="shared" si="5"/>
        <v>16</v>
      </c>
      <c r="Y19" s="212">
        <f t="shared" si="7"/>
        <v>90028.57</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12</v>
      </c>
      <c r="D21" s="389">
        <f>SUMIFS('Surv2-3'!K:K,'Surv2-3'!$H:$H,$I$2,'Surv2-3'!$I:$I,$O21)</f>
        <v>12</v>
      </c>
      <c r="E21" s="1080">
        <f t="shared" si="0"/>
        <v>24</v>
      </c>
      <c r="F21" s="1080"/>
      <c r="G21" s="1086">
        <f>Consolidated!$F23</f>
        <v>5.9059999999999997</v>
      </c>
      <c r="H21" s="1086">
        <f>Consolidated!$H$9</f>
        <v>1</v>
      </c>
      <c r="I21" s="534">
        <f t="shared" si="3"/>
        <v>141.744</v>
      </c>
      <c r="J21" s="535">
        <f t="shared" si="1"/>
        <v>797563.1</v>
      </c>
      <c r="M21" s="2"/>
      <c r="O21" s="2" t="str">
        <f t="shared" si="2"/>
        <v>255</v>
      </c>
      <c r="R21" s="1006" t="s">
        <v>29</v>
      </c>
      <c r="S21" s="1006"/>
      <c r="T21" s="1004">
        <f t="shared" si="4"/>
        <v>24</v>
      </c>
      <c r="U21" s="1004"/>
      <c r="V21" s="1010">
        <v>1</v>
      </c>
      <c r="W21" s="1010"/>
      <c r="X21" s="145">
        <f t="shared" si="5"/>
        <v>24</v>
      </c>
      <c r="Y21" s="212">
        <f t="shared" si="7"/>
        <v>135042.85</v>
      </c>
    </row>
    <row r="22" spans="1:25" ht="15" customHeight="1" x14ac:dyDescent="0.25">
      <c r="A22" s="975" t="s">
        <v>30</v>
      </c>
      <c r="B22" s="975"/>
      <c r="C22" s="389">
        <f>SUMIFS('Surv2-3'!E:E,'Surv2-3'!$A:$A,$I$2,'Surv2-3'!$B:$B,$O22)</f>
        <v>22</v>
      </c>
      <c r="D22" s="389">
        <f>SUMIFS('Surv2-3'!L:L,'Surv2-3'!$H:$H,$I$2,'Surv2-3'!$I:$I,$O22)</f>
        <v>22</v>
      </c>
      <c r="E22" s="1080">
        <f t="shared" si="0"/>
        <v>44</v>
      </c>
      <c r="F22" s="1080"/>
      <c r="G22" s="1086">
        <f>Consolidated!$F24</f>
        <v>5.9059999999999997</v>
      </c>
      <c r="H22" s="1086">
        <f>Consolidated!$H$9</f>
        <v>1</v>
      </c>
      <c r="I22" s="534">
        <f t="shared" si="3"/>
        <v>259.86399999999998</v>
      </c>
      <c r="J22" s="535">
        <f t="shared" si="1"/>
        <v>1462199.01</v>
      </c>
      <c r="M22" s="2"/>
      <c r="O22" s="2" t="str">
        <f t="shared" si="2"/>
        <v>255</v>
      </c>
      <c r="R22" s="1006" t="s">
        <v>30</v>
      </c>
      <c r="S22" s="1006"/>
      <c r="T22" s="1004">
        <f t="shared" si="4"/>
        <v>44</v>
      </c>
      <c r="U22" s="1004"/>
      <c r="V22" s="1010">
        <v>1</v>
      </c>
      <c r="W22" s="1010"/>
      <c r="X22" s="145">
        <f t="shared" si="5"/>
        <v>44</v>
      </c>
      <c r="Y22" s="212">
        <f t="shared" si="7"/>
        <v>247578.57</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55.5</v>
      </c>
      <c r="D28" s="773">
        <f>SUM(D12:D27)</f>
        <v>55.5</v>
      </c>
      <c r="E28" s="1085">
        <f>SUM(E12:E27)</f>
        <v>111</v>
      </c>
      <c r="F28" s="1085"/>
      <c r="G28" s="1080"/>
      <c r="H28" s="1080"/>
      <c r="I28" s="23">
        <f>SUM(I12:I27)</f>
        <v>542.90699999999993</v>
      </c>
      <c r="J28" s="116">
        <f>SUM(J12:J27)</f>
        <v>3054821.2800000003</v>
      </c>
      <c r="M28" s="2"/>
      <c r="R28" s="1023" t="s">
        <v>36</v>
      </c>
      <c r="S28" s="1023"/>
      <c r="T28" s="1024">
        <f>SUM(T12:T27)</f>
        <v>111</v>
      </c>
      <c r="U28" s="1024"/>
      <c r="V28" s="1025"/>
      <c r="W28" s="1025"/>
      <c r="X28" s="147">
        <f>SUM(X12:X27)</f>
        <v>111</v>
      </c>
      <c r="Y28" s="212">
        <f>SUM(Y12:Y27)</f>
        <v>624573.19999999995</v>
      </c>
    </row>
    <row r="29" spans="1:25" ht="36"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542.90699999999993</v>
      </c>
      <c r="H33" s="1080" t="s">
        <v>45</v>
      </c>
      <c r="I33" s="1080"/>
      <c r="J33" s="32">
        <f>SUM(J32,J28)</f>
        <v>3054821.2800000003</v>
      </c>
      <c r="M33" s="2"/>
      <c r="R33" s="1029" t="s">
        <v>44</v>
      </c>
      <c r="S33" s="1029"/>
      <c r="T33" s="1029"/>
      <c r="U33" s="1029"/>
      <c r="V33" s="153">
        <f>X28</f>
        <v>111</v>
      </c>
      <c r="W33" s="1025" t="s">
        <v>45</v>
      </c>
      <c r="X33" s="1025"/>
      <c r="Y33" s="154">
        <f>SUM(Y32,Y28)</f>
        <v>624573.19999999995</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3054821.2800000003</v>
      </c>
      <c r="H36" s="37" t="s">
        <v>48</v>
      </c>
      <c r="I36" s="38">
        <f>Consolidated!H53</f>
        <v>7.1400000000000005E-2</v>
      </c>
      <c r="J36" s="120">
        <f>ROUND(G36*I36,2)</f>
        <v>218114.24</v>
      </c>
      <c r="K36" s="39"/>
      <c r="L36" s="33"/>
      <c r="M36" s="33"/>
      <c r="N36" s="33"/>
      <c r="O36" s="31"/>
      <c r="P36" s="34"/>
      <c r="Q36" s="34"/>
      <c r="R36" s="1006" t="str">
        <f>A36</f>
        <v>Maintenance Portion (7.14% of Conference Funding)</v>
      </c>
      <c r="S36" s="1006"/>
      <c r="T36" s="1006"/>
      <c r="U36" s="158"/>
      <c r="V36" s="161">
        <f>Y28</f>
        <v>624573.19999999995</v>
      </c>
      <c r="W36" s="162" t="s">
        <v>48</v>
      </c>
      <c r="X36" s="163">
        <f>I36</f>
        <v>7.1400000000000005E-2</v>
      </c>
      <c r="Y36" s="212">
        <f>J36</f>
        <v>218114.24</v>
      </c>
    </row>
    <row r="37" spans="1:25" ht="20.25" customHeight="1" x14ac:dyDescent="0.25">
      <c r="A37" s="975" t="str">
        <f>Consolidated!B54</f>
        <v>Growth Portion (1.06% of Conference Funding)</v>
      </c>
      <c r="B37" s="975"/>
      <c r="C37" s="975"/>
      <c r="D37" s="975"/>
      <c r="E37" s="975"/>
      <c r="F37" s="36" t="s">
        <v>47</v>
      </c>
      <c r="G37" s="427">
        <v>3054821.2800000003</v>
      </c>
      <c r="H37" s="37" t="s">
        <v>48</v>
      </c>
      <c r="I37" s="38">
        <f>Consolidated!H54</f>
        <v>1.06E-2</v>
      </c>
      <c r="J37" s="120">
        <f>ROUND(G37*I37,2)</f>
        <v>32381.11</v>
      </c>
      <c r="K37" s="39"/>
      <c r="L37" s="33"/>
      <c r="M37" s="33"/>
      <c r="N37" s="33"/>
      <c r="O37" s="31"/>
      <c r="P37" s="34"/>
      <c r="Q37" s="34"/>
      <c r="R37" s="1006" t="str">
        <f>A37</f>
        <v>Growth Portion (1.06% of Conference Funding)</v>
      </c>
      <c r="S37" s="1006"/>
      <c r="T37" s="1006"/>
      <c r="U37" s="158"/>
      <c r="V37" s="161">
        <f>Y28</f>
        <v>624573.19999999995</v>
      </c>
      <c r="W37" s="162" t="s">
        <v>48</v>
      </c>
      <c r="X37" s="163">
        <f>I37</f>
        <v>1.06E-2</v>
      </c>
      <c r="Y37" s="212">
        <f>J37</f>
        <v>32381.11</v>
      </c>
    </row>
    <row r="38" spans="1:25" ht="20.25" customHeight="1" x14ac:dyDescent="0.25">
      <c r="A38" s="1012" t="s">
        <v>49</v>
      </c>
      <c r="B38" s="1012"/>
      <c r="C38" s="1012"/>
      <c r="D38" s="1012"/>
      <c r="E38" s="1012"/>
      <c r="F38" s="36" t="s">
        <v>50</v>
      </c>
      <c r="G38" s="40"/>
      <c r="H38" s="37"/>
      <c r="I38" s="41"/>
      <c r="J38" s="120">
        <f>SUM(J36:J37)</f>
        <v>250495.34999999998</v>
      </c>
      <c r="K38" s="39"/>
      <c r="L38" s="33"/>
      <c r="M38" s="33"/>
      <c r="N38" s="33"/>
      <c r="O38" s="31"/>
      <c r="P38" s="34"/>
      <c r="Q38" s="34"/>
      <c r="R38" s="1015" t="s">
        <v>49</v>
      </c>
      <c r="S38" s="1015"/>
      <c r="T38" s="1015"/>
      <c r="U38" s="158" t="s">
        <v>50</v>
      </c>
      <c r="V38" s="164"/>
      <c r="W38" s="162"/>
      <c r="X38" s="165"/>
      <c r="Y38" s="146">
        <f>Y36+Y37</f>
        <v>250495.34999999998</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532">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532">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1</v>
      </c>
      <c r="D43" s="122">
        <f>SUMIFS('ESE FTE'!G:G,'ESE FTE'!$A:$A,$I$2,'ESE FTE'!$E:$E,8)</f>
        <v>1</v>
      </c>
      <c r="E43" s="1073">
        <f t="shared" si="8"/>
        <v>2</v>
      </c>
      <c r="F43" s="1073"/>
      <c r="G43" s="37" t="s">
        <v>57</v>
      </c>
      <c r="H43" s="37">
        <v>253</v>
      </c>
      <c r="I43" s="125">
        <f>Consolidated!$H61</f>
        <v>6896</v>
      </c>
      <c r="J43" s="532">
        <f t="shared" si="9"/>
        <v>13792</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532">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532">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1</v>
      </c>
      <c r="D46" s="122">
        <f>SUMIFS('ESE FTE'!G:G,'ESE FTE'!$A:$A,$I$2,'ESE FTE'!$E:$E,11)</f>
        <v>1</v>
      </c>
      <c r="E46" s="1073">
        <f t="shared" si="8"/>
        <v>2</v>
      </c>
      <c r="F46" s="1073"/>
      <c r="G46" s="47" t="s">
        <v>58</v>
      </c>
      <c r="H46" s="37">
        <v>253</v>
      </c>
      <c r="I46" s="125">
        <f>Consolidated!$H64</f>
        <v>7023</v>
      </c>
      <c r="J46" s="532">
        <f t="shared" si="9"/>
        <v>14046</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532">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532">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532">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2</v>
      </c>
      <c r="D50" s="774">
        <f>SUM(D41:D49)</f>
        <v>2</v>
      </c>
      <c r="E50" s="1075">
        <f>SUM(E41:E49)</f>
        <v>4</v>
      </c>
      <c r="F50" s="1075"/>
      <c r="G50" s="1030" t="s">
        <v>61</v>
      </c>
      <c r="H50" s="1030"/>
      <c r="I50" s="1030"/>
      <c r="J50" s="220">
        <f>SUM(J41:J49)</f>
        <v>27838</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111</v>
      </c>
      <c r="U52" s="173" t="s">
        <v>64</v>
      </c>
      <c r="V52" s="174"/>
      <c r="W52" s="175" t="s">
        <v>65</v>
      </c>
      <c r="X52" s="1037">
        <f>I53</f>
        <v>208856.94000000003</v>
      </c>
      <c r="Y52" s="1037"/>
    </row>
    <row r="53" spans="1:25" ht="16.5" customHeight="1" x14ac:dyDescent="0.25">
      <c r="A53" s="1013" t="s">
        <v>63</v>
      </c>
      <c r="B53" s="1013"/>
      <c r="C53" s="51"/>
      <c r="D53" s="51"/>
      <c r="E53" s="48">
        <f>E28</f>
        <v>111</v>
      </c>
      <c r="F53" s="49" t="s">
        <v>64</v>
      </c>
      <c r="G53" s="3"/>
      <c r="H53" s="50" t="s">
        <v>65</v>
      </c>
      <c r="I53" s="1111">
        <f>Consolidated!H$71</f>
        <v>208856.94000000003</v>
      </c>
      <c r="J53" s="1111"/>
      <c r="M53" s="2"/>
      <c r="R53" s="176"/>
      <c r="S53" s="177"/>
      <c r="T53" s="159"/>
      <c r="U53" s="159"/>
      <c r="V53" s="159"/>
      <c r="W53" s="178" t="s">
        <v>66</v>
      </c>
      <c r="X53" s="1038">
        <f>ROUND(T52/X52,6)</f>
        <v>5.31E-4</v>
      </c>
      <c r="Y53" s="1038"/>
    </row>
    <row r="54" spans="1:25" ht="22.5" customHeight="1" x14ac:dyDescent="0.25">
      <c r="A54" s="51"/>
      <c r="B54" s="52"/>
      <c r="C54" s="52"/>
      <c r="D54" s="52"/>
      <c r="H54" s="53" t="s">
        <v>66</v>
      </c>
      <c r="I54" s="1064">
        <f>IFERROR(ROUND(E53/I53,6),0)</f>
        <v>5.31E-4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T28</f>
        <v>111</v>
      </c>
      <c r="U55" s="173" t="s">
        <v>64</v>
      </c>
      <c r="V55" s="174"/>
      <c r="W55" s="175" t="s">
        <v>69</v>
      </c>
      <c r="X55" s="1037">
        <f>I56</f>
        <v>221542.28000000003</v>
      </c>
      <c r="Y55" s="1037"/>
    </row>
    <row r="56" spans="1:25" ht="16.5" customHeight="1" x14ac:dyDescent="0.25">
      <c r="A56" s="1013" t="s">
        <v>68</v>
      </c>
      <c r="B56" s="1013"/>
      <c r="C56" s="51"/>
      <c r="D56" s="51"/>
      <c r="E56" s="48">
        <f>G33</f>
        <v>542.90699999999993</v>
      </c>
      <c r="F56" s="49" t="s">
        <v>64</v>
      </c>
      <c r="G56" s="3"/>
      <c r="H56" s="50" t="s">
        <v>69</v>
      </c>
      <c r="I56" s="1111">
        <f>Consolidated!H$74</f>
        <v>221542.28000000003</v>
      </c>
      <c r="J56" s="1111"/>
      <c r="M56" s="2"/>
      <c r="R56" s="176"/>
      <c r="S56" s="159"/>
      <c r="T56" s="159"/>
      <c r="U56" s="159"/>
      <c r="V56" s="159"/>
      <c r="W56" s="178" t="s">
        <v>66</v>
      </c>
      <c r="X56" s="1038">
        <f>ROUND(T55/X55,6)</f>
        <v>5.0100000000000003E-4</v>
      </c>
      <c r="Y56" s="1038"/>
    </row>
    <row r="57" spans="1:25" ht="18.75" customHeight="1" x14ac:dyDescent="0.25">
      <c r="A57" s="51"/>
      <c r="H57" s="53" t="s">
        <v>66</v>
      </c>
      <c r="I57" s="1064">
        <f>IFERROR(ROUND(E56/I56,6),0)</f>
        <v>2.4510000000000001E-3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111</v>
      </c>
      <c r="U58" s="173" t="s">
        <v>64</v>
      </c>
      <c r="V58" s="1036" t="s">
        <v>72</v>
      </c>
      <c r="W58" s="1036"/>
      <c r="X58" s="1037">
        <f>I59</f>
        <v>175905.69000000003</v>
      </c>
      <c r="Y58" s="1037"/>
    </row>
    <row r="59" spans="1:25" ht="18.75" customHeight="1" x14ac:dyDescent="0.25">
      <c r="A59" s="1013" t="s">
        <v>71</v>
      </c>
      <c r="B59" s="1013"/>
      <c r="C59" s="51"/>
      <c r="D59" s="51"/>
      <c r="E59" s="48">
        <f>E28</f>
        <v>111</v>
      </c>
      <c r="F59" s="49" t="s">
        <v>64</v>
      </c>
      <c r="G59" s="1107" t="s">
        <v>72</v>
      </c>
      <c r="H59" s="1107"/>
      <c r="I59" s="1111">
        <f>Consolidated!H$77</f>
        <v>175905.69000000003</v>
      </c>
      <c r="J59" s="1111"/>
      <c r="M59" s="2"/>
      <c r="R59" s="176"/>
      <c r="S59" s="159"/>
      <c r="T59" s="159"/>
      <c r="U59" s="159"/>
      <c r="V59" s="159"/>
      <c r="W59" s="178" t="s">
        <v>66</v>
      </c>
      <c r="X59" s="1038">
        <f>ROUND(T58/X58,6)</f>
        <v>6.3100000000000005E-4</v>
      </c>
      <c r="Y59" s="1038"/>
    </row>
    <row r="60" spans="1:25" ht="18" customHeight="1" x14ac:dyDescent="0.25">
      <c r="A60" s="51"/>
      <c r="H60" s="53" t="s">
        <v>66</v>
      </c>
      <c r="I60" s="1064">
        <f>IFERROR(ROUND(E59/I59,6),0)</f>
        <v>6.3100000000000005E-4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111</v>
      </c>
      <c r="U61" s="173" t="s">
        <v>64</v>
      </c>
      <c r="V61" s="1036" t="s">
        <v>74</v>
      </c>
      <c r="W61" s="1036"/>
      <c r="X61" s="1037">
        <f>I62</f>
        <v>208541.94000000003</v>
      </c>
      <c r="Y61" s="1037"/>
    </row>
    <row r="62" spans="1:25" ht="30.75" customHeight="1" x14ac:dyDescent="0.25">
      <c r="A62" s="1013" t="s">
        <v>71</v>
      </c>
      <c r="B62" s="1013"/>
      <c r="C62" s="51"/>
      <c r="D62" s="51"/>
      <c r="E62" s="48">
        <f>E28</f>
        <v>111</v>
      </c>
      <c r="F62" s="49" t="s">
        <v>64</v>
      </c>
      <c r="G62" s="1107" t="s">
        <v>74</v>
      </c>
      <c r="H62" s="1107"/>
      <c r="I62" s="1111">
        <f>Consolidated!H$80</f>
        <v>208541.94000000003</v>
      </c>
      <c r="J62" s="1111"/>
      <c r="M62" s="2"/>
      <c r="R62" s="176"/>
      <c r="S62" s="159"/>
      <c r="T62" s="159"/>
      <c r="U62" s="159"/>
      <c r="V62" s="159"/>
      <c r="W62" s="178" t="s">
        <v>66</v>
      </c>
      <c r="X62" s="1038">
        <f>ROUND(T61/X61,6)</f>
        <v>5.3200000000000003E-4</v>
      </c>
      <c r="Y62" s="1038"/>
    </row>
    <row r="63" spans="1:25" ht="19.5" customHeight="1" x14ac:dyDescent="0.25">
      <c r="A63" s="51"/>
      <c r="H63" s="53" t="s">
        <v>66</v>
      </c>
      <c r="I63" s="1064">
        <f>IFERROR(ROUND(E62/I62,6),0)</f>
        <v>5.3200000000000003E-4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111</v>
      </c>
      <c r="U64" s="173" t="s">
        <v>64</v>
      </c>
      <c r="V64" s="1036" t="s">
        <v>159</v>
      </c>
      <c r="W64" s="1036"/>
      <c r="X64" s="1037">
        <f>I65</f>
        <v>175590.69000000003</v>
      </c>
      <c r="Y64" s="1037"/>
    </row>
    <row r="65" spans="1:26" ht="49.5" customHeight="1" x14ac:dyDescent="0.25">
      <c r="A65" s="1013" t="s">
        <v>71</v>
      </c>
      <c r="B65" s="1013"/>
      <c r="C65" s="51"/>
      <c r="D65" s="51"/>
      <c r="E65" s="48">
        <f>E28</f>
        <v>111</v>
      </c>
      <c r="F65" s="49" t="s">
        <v>64</v>
      </c>
      <c r="G65" s="1107" t="s">
        <v>76</v>
      </c>
      <c r="H65" s="1107"/>
      <c r="I65" s="1111">
        <f>Consolidated!H$83</f>
        <v>175590.69000000003</v>
      </c>
      <c r="J65" s="1111"/>
      <c r="M65" s="2"/>
      <c r="R65" s="179"/>
      <c r="S65" s="159"/>
      <c r="T65" s="159"/>
      <c r="U65" s="159"/>
      <c r="V65" s="159"/>
      <c r="W65" s="178" t="s">
        <v>66</v>
      </c>
      <c r="X65" s="1038">
        <f>ROUND(T64/X64,6)</f>
        <v>6.3199999999999997E-4</v>
      </c>
      <c r="Y65" s="1038"/>
    </row>
    <row r="66" spans="1:26" ht="19.5" customHeight="1" x14ac:dyDescent="0.25">
      <c r="A66" s="51"/>
      <c r="H66" s="53" t="s">
        <v>66</v>
      </c>
      <c r="I66" s="1064">
        <f>IFERROR(ROUND(E65/I65,6),0)</f>
        <v>6.3199999999999997E-4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5.3200000000000003E-4</v>
      </c>
      <c r="Y67" s="215">
        <f>ROUND(V67*X67,2)</f>
        <v>24401.09</v>
      </c>
    </row>
    <row r="68" spans="1:26" ht="30.75" customHeight="1" x14ac:dyDescent="0.25">
      <c r="A68" s="1065" t="s">
        <v>77</v>
      </c>
      <c r="B68" s="1065"/>
      <c r="C68" s="1065"/>
      <c r="D68" s="1065"/>
      <c r="E68" s="1065"/>
      <c r="F68" s="36" t="s">
        <v>78</v>
      </c>
      <c r="G68" s="221">
        <f>Consolidated!F$86</f>
        <v>45866714</v>
      </c>
      <c r="H68" s="37" t="s">
        <v>79</v>
      </c>
      <c r="I68" s="41">
        <f>I63</f>
        <v>5.3200000000000003E-4</v>
      </c>
      <c r="J68" s="127">
        <f>ROUND(G68*I68,2)</f>
        <v>24401.09</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5.31E-4</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5.31E-4</v>
      </c>
      <c r="J70" s="127">
        <f>ROUND(G70*I70,2)</f>
        <v>0</v>
      </c>
      <c r="M70" s="2"/>
      <c r="R70" s="1015" t="s">
        <v>161</v>
      </c>
      <c r="S70" s="1015"/>
      <c r="T70" s="1015"/>
      <c r="U70" s="158"/>
      <c r="V70" s="182">
        <f>G71</f>
        <v>18834423</v>
      </c>
      <c r="W70" s="162" t="s">
        <v>79</v>
      </c>
      <c r="X70" s="165">
        <f>X65</f>
        <v>6.3199999999999997E-4</v>
      </c>
      <c r="Y70" s="212">
        <f t="shared" si="11"/>
        <v>11903.36</v>
      </c>
    </row>
    <row r="71" spans="1:26" ht="19.5" customHeight="1" x14ac:dyDescent="0.25">
      <c r="A71" s="1012" t="s">
        <v>83</v>
      </c>
      <c r="B71" s="1012"/>
      <c r="C71" s="1012"/>
      <c r="D71" s="1012"/>
      <c r="E71" s="1012"/>
      <c r="F71" s="36" t="s">
        <v>84</v>
      </c>
      <c r="G71" s="221">
        <f>Consolidated!F$91</f>
        <v>18834423</v>
      </c>
      <c r="H71" s="37" t="s">
        <v>79</v>
      </c>
      <c r="I71" s="41">
        <f>I66</f>
        <v>6.3199999999999997E-4</v>
      </c>
      <c r="J71" s="127">
        <f>ROUND(G71*I71,2)</f>
        <v>11903.36</v>
      </c>
      <c r="M71" s="2"/>
      <c r="R71" s="166" t="s">
        <v>162</v>
      </c>
      <c r="S71" s="166"/>
      <c r="T71" s="166"/>
      <c r="U71" s="158"/>
      <c r="V71" s="160">
        <f>G72</f>
        <v>11226031</v>
      </c>
      <c r="W71" s="162" t="s">
        <v>79</v>
      </c>
      <c r="X71" s="165">
        <f>X59</f>
        <v>6.3100000000000005E-4</v>
      </c>
      <c r="Y71" s="212">
        <f t="shared" si="11"/>
        <v>7083.63</v>
      </c>
    </row>
    <row r="72" spans="1:26" ht="19.5" customHeight="1" x14ac:dyDescent="0.25">
      <c r="A72" s="42" t="s">
        <v>85</v>
      </c>
      <c r="B72" s="42"/>
      <c r="C72" s="42"/>
      <c r="D72" s="42"/>
      <c r="E72" s="42"/>
      <c r="F72" s="36" t="s">
        <v>86</v>
      </c>
      <c r="G72" s="221">
        <f>Consolidated!F$93</f>
        <v>11226031</v>
      </c>
      <c r="H72" s="37" t="s">
        <v>79</v>
      </c>
      <c r="I72" s="41">
        <f>I60</f>
        <v>6.3100000000000005E-4</v>
      </c>
      <c r="J72" s="127">
        <f>ROUND(G72*I72,2)</f>
        <v>7083.63</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2.4510000000000001E-3</v>
      </c>
      <c r="J85" s="127">
        <f>ROUND(G85*I85,2)</f>
        <v>695827.12</v>
      </c>
      <c r="K85" s="70"/>
      <c r="L85" s="70"/>
      <c r="M85" s="71"/>
      <c r="N85" s="70"/>
      <c r="O85" s="70"/>
      <c r="P85" s="70"/>
      <c r="Q85" s="70"/>
      <c r="R85" s="1015" t="s">
        <v>166</v>
      </c>
      <c r="S85" s="1015"/>
      <c r="T85" s="1015"/>
      <c r="U85" s="158"/>
      <c r="V85" s="160">
        <f>G85</f>
        <v>283895192</v>
      </c>
      <c r="W85" s="162" t="s">
        <v>79</v>
      </c>
      <c r="X85" s="165">
        <f>X56</f>
        <v>5.0100000000000003E-4</v>
      </c>
      <c r="Y85" s="212">
        <f t="shared" ref="Y85:Y87" si="12">ROUND(V85*X85,2)</f>
        <v>142231.49</v>
      </c>
    </row>
    <row r="86" spans="1:26" ht="14.25" customHeight="1" x14ac:dyDescent="0.25">
      <c r="A86" s="1012" t="s">
        <v>102</v>
      </c>
      <c r="B86" s="1012"/>
      <c r="C86" s="1012"/>
      <c r="D86" s="1012"/>
      <c r="E86" s="1012"/>
      <c r="F86" s="36" t="s">
        <v>101</v>
      </c>
      <c r="G86" s="128">
        <v>0</v>
      </c>
      <c r="H86" s="37" t="s">
        <v>79</v>
      </c>
      <c r="I86" s="41">
        <f>I57</f>
        <v>2.4510000000000001E-3</v>
      </c>
      <c r="J86" s="127">
        <f>ROUND(G86*I86,2)</f>
        <v>0</v>
      </c>
      <c r="K86" s="70"/>
      <c r="L86" s="71"/>
      <c r="M86" s="76"/>
      <c r="N86" s="76"/>
      <c r="O86" s="76"/>
      <c r="P86" s="76"/>
      <c r="Q86" s="70"/>
      <c r="R86" s="1015" t="s">
        <v>167</v>
      </c>
      <c r="S86" s="1015"/>
      <c r="T86" s="1015"/>
      <c r="U86" s="158"/>
      <c r="V86" s="192">
        <f>G86</f>
        <v>0</v>
      </c>
      <c r="W86" s="162" t="s">
        <v>79</v>
      </c>
      <c r="X86" s="165">
        <f>X56</f>
        <v>5.0100000000000003E-4</v>
      </c>
      <c r="Y86" s="212">
        <f t="shared" si="12"/>
        <v>0</v>
      </c>
    </row>
    <row r="87" spans="1:26" ht="18" customHeight="1" x14ac:dyDescent="0.25">
      <c r="A87" s="1012" t="s">
        <v>103</v>
      </c>
      <c r="B87" s="1012"/>
      <c r="C87" s="1012"/>
      <c r="D87" s="1012"/>
      <c r="E87" s="1012"/>
      <c r="F87" s="36" t="s">
        <v>82</v>
      </c>
      <c r="G87" s="128">
        <v>0</v>
      </c>
      <c r="H87" s="37" t="s">
        <v>79</v>
      </c>
      <c r="I87" s="41">
        <f>I54</f>
        <v>5.31E-4</v>
      </c>
      <c r="J87" s="62">
        <f>ROUND(G87*I87,2)</f>
        <v>0</v>
      </c>
      <c r="K87" s="77"/>
      <c r="L87" s="70"/>
      <c r="M87" s="71"/>
      <c r="N87" s="70"/>
      <c r="O87" s="70"/>
      <c r="P87" s="70"/>
      <c r="Q87" s="70"/>
      <c r="R87" s="166" t="s">
        <v>168</v>
      </c>
      <c r="S87" s="166"/>
      <c r="T87" s="166"/>
      <c r="U87" s="158"/>
      <c r="V87" s="192">
        <f>G87</f>
        <v>0</v>
      </c>
      <c r="W87" s="162" t="s">
        <v>79</v>
      </c>
      <c r="X87" s="165">
        <f>X53</f>
        <v>5.31E-4</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224.803</v>
      </c>
      <c r="C90" s="80"/>
      <c r="D90" s="981">
        <f>I6</f>
        <v>1.0309999999999999</v>
      </c>
      <c r="E90" s="981"/>
      <c r="F90" s="981"/>
      <c r="G90" s="113">
        <f>Consolidated!F$118</f>
        <v>961.57</v>
      </c>
      <c r="H90" s="47" t="s">
        <v>66</v>
      </c>
      <c r="I90" s="130">
        <f>ROUND(B90*D90*G90,2)</f>
        <v>222864.9</v>
      </c>
      <c r="J90" s="81"/>
      <c r="K90" s="70"/>
      <c r="L90" s="70"/>
      <c r="M90" s="71"/>
      <c r="N90" s="70"/>
      <c r="O90" s="70"/>
      <c r="P90" s="70"/>
      <c r="Q90" s="70"/>
      <c r="R90" s="155" t="s">
        <v>108</v>
      </c>
      <c r="S90" s="193">
        <f>X12+X13+X18+X21+X24</f>
        <v>49</v>
      </c>
      <c r="T90" s="1044">
        <f>X6</f>
        <v>1.0309999999999999</v>
      </c>
      <c r="U90" s="1044"/>
      <c r="V90" s="113">
        <f>G90</f>
        <v>961.57</v>
      </c>
      <c r="W90" s="171" t="s">
        <v>66</v>
      </c>
      <c r="X90" s="216">
        <f>ROUND(S90*T90*V90,2)</f>
        <v>48577.55</v>
      </c>
      <c r="Y90" s="194"/>
    </row>
    <row r="91" spans="1:26" ht="21" customHeight="1" x14ac:dyDescent="0.25">
      <c r="A91" s="82" t="s">
        <v>58</v>
      </c>
      <c r="B91" s="80">
        <f>I14+I15+I19+I22+I25</f>
        <v>318.10399999999998</v>
      </c>
      <c r="C91" s="80"/>
      <c r="D91" s="981">
        <f>I6</f>
        <v>1.0309999999999999</v>
      </c>
      <c r="E91" s="981"/>
      <c r="F91" s="981"/>
      <c r="G91" s="113">
        <f>Consolidated!F$119</f>
        <v>918.1</v>
      </c>
      <c r="H91" s="47" t="s">
        <v>66</v>
      </c>
      <c r="I91" s="129">
        <f>ROUND(B91*D91*G91,2)</f>
        <v>301104.87</v>
      </c>
      <c r="K91" s="70"/>
      <c r="L91" s="70"/>
      <c r="M91" s="71"/>
      <c r="N91" s="70"/>
      <c r="O91" s="70"/>
      <c r="P91" s="70"/>
      <c r="Q91" s="70"/>
      <c r="R91" s="195" t="s">
        <v>58</v>
      </c>
      <c r="S91" s="193">
        <f>X14+X15+X19+X22+X25</f>
        <v>62</v>
      </c>
      <c r="T91" s="1044">
        <f>X6</f>
        <v>1.0309999999999999</v>
      </c>
      <c r="U91" s="1044"/>
      <c r="V91" s="113">
        <f>G91</f>
        <v>918.1</v>
      </c>
      <c r="W91" s="171" t="s">
        <v>66</v>
      </c>
      <c r="X91" s="216">
        <f>ROUND(S91*T91*V91,2)</f>
        <v>58686.79</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542.90699999999993</v>
      </c>
      <c r="C93" s="80"/>
      <c r="D93" s="80"/>
      <c r="E93" s="1059" t="s">
        <v>110</v>
      </c>
      <c r="F93" s="1059"/>
      <c r="G93" s="1059"/>
      <c r="H93" s="1059"/>
      <c r="I93" s="1059"/>
      <c r="J93" s="116">
        <f>IF(A1=75,0,I92+I91+I90)</f>
        <v>523969.77</v>
      </c>
      <c r="K93" s="70"/>
      <c r="L93" s="70"/>
      <c r="M93" s="71"/>
      <c r="N93" s="70"/>
      <c r="O93" s="70"/>
      <c r="P93" s="70"/>
      <c r="Q93" s="70"/>
      <c r="R93" s="198" t="s">
        <v>109</v>
      </c>
      <c r="S93" s="199">
        <f>SUM(S90:S92)</f>
        <v>111</v>
      </c>
      <c r="T93" s="1045" t="s">
        <v>110</v>
      </c>
      <c r="U93" s="1046"/>
      <c r="V93" s="1046"/>
      <c r="W93" s="1046"/>
      <c r="X93" s="1046"/>
      <c r="Y93" s="212">
        <f>IF(R1=75,0,X92+X91+X90)</f>
        <v>107264.34</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6</v>
      </c>
      <c r="U96" s="1050"/>
      <c r="V96" s="1050"/>
      <c r="W96" s="200" t="s">
        <v>115</v>
      </c>
      <c r="X96" s="201">
        <f>I97</f>
        <v>583</v>
      </c>
      <c r="Y96" s="212">
        <f>ROUND(X96*T96,2)</f>
        <v>3498</v>
      </c>
    </row>
    <row r="97" spans="1:25" ht="17.25" customHeight="1" x14ac:dyDescent="0.25">
      <c r="A97" s="1030" t="s">
        <v>114</v>
      </c>
      <c r="B97" s="1030"/>
      <c r="C97" s="755">
        <v>5</v>
      </c>
      <c r="D97" s="755">
        <v>7</v>
      </c>
      <c r="E97" s="1103">
        <f>IF(D97&gt;0,(C97+D97)/2,C97)</f>
        <v>6</v>
      </c>
      <c r="F97" s="982"/>
      <c r="G97" s="982"/>
      <c r="H97" s="85" t="s">
        <v>115</v>
      </c>
      <c r="I97" s="119">
        <f>Consolidated!G$127</f>
        <v>583</v>
      </c>
      <c r="J97" s="127">
        <f>ROUND(I97*E97,2)</f>
        <v>3498</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4349342.2500000009</v>
      </c>
      <c r="L107" s="533"/>
      <c r="R107" s="1015" t="s">
        <v>123</v>
      </c>
      <c r="S107" s="1015"/>
      <c r="T107" s="1015"/>
      <c r="U107" s="1015"/>
      <c r="V107" s="1015"/>
      <c r="W107" s="1015"/>
      <c r="X107" s="1015"/>
      <c r="Y107" s="652">
        <f>SUM(Y106,Y105,Y97,Y96,Y93,Y86,Y85,Y84,Y70,Y69,Y67,Y33,Y71,Y50,Y87,Y83)</f>
        <v>920955.11</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4098846.9000000008</v>
      </c>
      <c r="R109" s="159" t="s">
        <v>174</v>
      </c>
      <c r="S109" s="159"/>
      <c r="T109" s="159"/>
      <c r="U109" s="159"/>
      <c r="V109" s="159"/>
      <c r="W109" s="159"/>
      <c r="X109" s="159"/>
      <c r="Y109" s="653">
        <f>Y107-Y38</f>
        <v>670459.76</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v>1</v>
      </c>
      <c r="J111" s="126">
        <f>Y109</f>
        <v>670459.76</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670459.76</v>
      </c>
      <c r="J114" s="234">
        <f>ROUND(IF(E28=0,0,IF(E28&gt;250,-(((250/E28)*I114)*IF(H114="H",0.02,0.05)),IF(H114="H",-0.02*I114,-0.05*I114))),2)</f>
        <v>-33522.99</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4315819.2600000007</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Payments'!R119</f>
        <v>-720892.36</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3594926.9000000008</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359492.69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15" workbookViewId="0">
      <selection activeCell="G37" sqref="G37"/>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520</v>
      </c>
      <c r="B2" s="101"/>
      <c r="C2" s="101"/>
      <c r="D2" s="101"/>
      <c r="E2" s="6"/>
      <c r="F2" s="6"/>
      <c r="G2" s="6"/>
      <c r="H2" s="6"/>
      <c r="I2" s="685" t="str">
        <f>RIGHT(A2,4)</f>
        <v>4102</v>
      </c>
      <c r="J2" s="6"/>
      <c r="K2" s="6"/>
      <c r="L2" s="6"/>
      <c r="M2" s="6"/>
      <c r="N2" s="6"/>
      <c r="O2" s="6"/>
      <c r="P2" s="6"/>
      <c r="Q2" s="6"/>
      <c r="R2" s="987" t="str">
        <f>Revenue_Estimate_Worksheet_for___________Charter_School</f>
        <v>Revenue Estimate Worksheet: BridgePrep Academy of PB - 4102</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O7" s="690"/>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44.379999999999995</v>
      </c>
      <c r="D12" s="699">
        <f>SUMIFS('Surv2-3'!K:K,'Surv2-3'!$H:$H,$I$2,'Surv2-3'!$I:$I,$O12)</f>
        <v>40.800000000000004</v>
      </c>
      <c r="E12" s="1081">
        <f t="shared" ref="E12:E27" si="0">IF($D$28=0,C12*2,C12+D12)</f>
        <v>85.18</v>
      </c>
      <c r="F12" s="1081"/>
      <c r="G12" s="1096">
        <f>Consolidated!$F14</f>
        <v>1.107</v>
      </c>
      <c r="H12" s="1096">
        <f>Consolidated!$H$9</f>
        <v>1</v>
      </c>
      <c r="I12" s="534">
        <f>ROUND(E12*G12,4)</f>
        <v>94.294300000000007</v>
      </c>
      <c r="J12" s="535">
        <f t="shared" ref="J12:J27" si="1">ROUND(ROUND(ROUND(I12*$E$6,4)*($I$6),2)*(MAX($I$7,1)),2)</f>
        <v>530573.81000000006</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4</v>
      </c>
      <c r="D13" s="389">
        <f>SUMIFS('Surv2-3'!K:K,'Surv2-3'!$H:$H,$I$2,'Surv2-3'!$I:$I,$O13)</f>
        <v>5.54</v>
      </c>
      <c r="E13" s="1080">
        <f t="shared" si="0"/>
        <v>9.5399999999999991</v>
      </c>
      <c r="F13" s="1080"/>
      <c r="G13" s="1086">
        <f>Consolidated!$F15</f>
        <v>1.107</v>
      </c>
      <c r="H13" s="1086">
        <f>Consolidated!$H$9</f>
        <v>1</v>
      </c>
      <c r="I13" s="534">
        <f t="shared" ref="I13:I27" si="3">ROUND(E13*G13,4)</f>
        <v>10.5608</v>
      </c>
      <c r="J13" s="535">
        <f t="shared" si="1"/>
        <v>59423.360000000001</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24.67</v>
      </c>
      <c r="D14" s="389">
        <f>SUMIFS('Surv2-3'!L:L,'Surv2-3'!$H:$H,$I$2,'Surv2-3'!$I:$I,$O14)</f>
        <v>25.36</v>
      </c>
      <c r="E14" s="1080">
        <f t="shared" si="0"/>
        <v>50.03</v>
      </c>
      <c r="F14" s="1080"/>
      <c r="G14" s="1086">
        <f>Consolidated!$F16</f>
        <v>1</v>
      </c>
      <c r="H14" s="1086">
        <f>Consolidated!$H$9</f>
        <v>1</v>
      </c>
      <c r="I14" s="534">
        <f t="shared" si="3"/>
        <v>50.03</v>
      </c>
      <c r="J14" s="535">
        <f>ROUND(ROUND(ROUND(I14*$E$6,4)*($I$6),2)*(MAX($I$7,1)),2)</f>
        <v>281508.08</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5.3100000000000005</v>
      </c>
      <c r="D15" s="389">
        <f>SUMIFS('Surv2-3'!L:L,'Surv2-3'!$H:$H,$I$2,'Surv2-3'!$I:$I,$O15)</f>
        <v>3.8</v>
      </c>
      <c r="E15" s="1080">
        <f t="shared" si="0"/>
        <v>9.11</v>
      </c>
      <c r="F15" s="1080"/>
      <c r="G15" s="1086">
        <f>Consolidated!$F17</f>
        <v>1</v>
      </c>
      <c r="H15" s="1086">
        <f>Consolidated!$H$9</f>
        <v>1</v>
      </c>
      <c r="I15" s="534">
        <f t="shared" si="3"/>
        <v>9.11</v>
      </c>
      <c r="J15" s="535">
        <f t="shared" si="1"/>
        <v>51260.02</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12.120000000000001</v>
      </c>
      <c r="D24" s="389">
        <f>SUMIFS('Surv2-3'!K:K,'Surv2-3'!$H:$H,$I$2,'Surv2-3'!$I:$I,$O24)</f>
        <v>10.86</v>
      </c>
      <c r="E24" s="1080">
        <f t="shared" si="0"/>
        <v>22.98</v>
      </c>
      <c r="F24" s="1080"/>
      <c r="G24" s="1086">
        <f>Consolidated!$F26</f>
        <v>1.161</v>
      </c>
      <c r="H24" s="1086">
        <f>Consolidated!$H$9</f>
        <v>1</v>
      </c>
      <c r="I24" s="534">
        <f t="shared" si="3"/>
        <v>26.6798</v>
      </c>
      <c r="J24" s="535">
        <f t="shared" si="1"/>
        <v>150121.51</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1.23</v>
      </c>
      <c r="D25" s="389">
        <f>SUMIFS('Surv2-3'!L:L,'Surv2-3'!$H:$H,$I$2,'Surv2-3'!$I:$I,$O25)</f>
        <v>0.82</v>
      </c>
      <c r="E25" s="1080">
        <f t="shared" si="0"/>
        <v>2.0499999999999998</v>
      </c>
      <c r="F25" s="1080"/>
      <c r="G25" s="1086">
        <f>Consolidated!$F27</f>
        <v>1.161</v>
      </c>
      <c r="H25" s="1086">
        <f>Consolidated!$H$9</f>
        <v>1</v>
      </c>
      <c r="I25" s="534">
        <f t="shared" si="3"/>
        <v>2.3801000000000001</v>
      </c>
      <c r="J25" s="535">
        <f t="shared" si="1"/>
        <v>13392.31</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91.710000000000008</v>
      </c>
      <c r="D28" s="773">
        <f>SUM(D12:D27)</f>
        <v>87.179999999999993</v>
      </c>
      <c r="E28" s="1085">
        <f>SUM(E12:E27)</f>
        <v>178.89000000000001</v>
      </c>
      <c r="F28" s="1085"/>
      <c r="G28" s="1080"/>
      <c r="H28" s="1080"/>
      <c r="I28" s="23">
        <f>SUM(I12:I27)</f>
        <v>193.05500000000004</v>
      </c>
      <c r="J28" s="116">
        <f>SUM(J12:J27)</f>
        <v>1086279.0900000001</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193.05500000000004</v>
      </c>
      <c r="H33" s="1080" t="s">
        <v>45</v>
      </c>
      <c r="I33" s="1080"/>
      <c r="J33" s="32">
        <f>SUM(J32,J28)</f>
        <v>1086279.0900000001</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1086279.0900000001</v>
      </c>
      <c r="H36" s="37" t="s">
        <v>48</v>
      </c>
      <c r="I36" s="38">
        <f>Consolidated!H53</f>
        <v>7.1400000000000005E-2</v>
      </c>
      <c r="J36" s="120">
        <f>ROUND(G36*I36,2)</f>
        <v>77560.33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427">
        <v>1086279.0900000001</v>
      </c>
      <c r="H37" s="37" t="s">
        <v>48</v>
      </c>
      <c r="I37" s="38">
        <f>Consolidated!H54</f>
        <v>1.06E-2</v>
      </c>
      <c r="J37" s="120">
        <f>ROUND(G37*I37,2)</f>
        <v>11514.56</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89074.89</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2.5</v>
      </c>
      <c r="D41" s="776">
        <f>SUMIFS('ESE FTE'!G:G,'ESE FTE'!$A:$A,$I$2,'ESE FTE'!$E:$E,6)</f>
        <v>3.46</v>
      </c>
      <c r="E41" s="1073">
        <f t="shared" ref="E41:E49" si="8">IF($D$50=0,C41*2,C41+D41)</f>
        <v>5.96</v>
      </c>
      <c r="F41" s="1073"/>
      <c r="G41" s="37" t="s">
        <v>57</v>
      </c>
      <c r="H41" s="37">
        <v>251</v>
      </c>
      <c r="I41" s="125">
        <f>Consolidated!$H59</f>
        <v>1047</v>
      </c>
      <c r="J41" s="46">
        <f t="shared" ref="J41:J49" si="9">ROUND(E41*I41,2)</f>
        <v>6240.12</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1.5</v>
      </c>
      <c r="D42" s="122">
        <f>SUMIFS('ESE FTE'!G:G,'ESE FTE'!$A:$A,$I$2,'ESE FTE'!$E:$E,7)</f>
        <v>2.08</v>
      </c>
      <c r="E42" s="1073">
        <f t="shared" si="8"/>
        <v>3.58</v>
      </c>
      <c r="F42" s="1073"/>
      <c r="G42" s="37" t="s">
        <v>57</v>
      </c>
      <c r="H42" s="37">
        <v>252</v>
      </c>
      <c r="I42" s="125">
        <f>Consolidated!$H60</f>
        <v>3380</v>
      </c>
      <c r="J42" s="46">
        <f t="shared" si="9"/>
        <v>12100.4</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3.65</v>
      </c>
      <c r="D44" s="776">
        <f>SUMIFS('ESE FTE'!G:G,'ESE FTE'!$A:$A,$I$2,'ESE FTE'!$E:$E,9)</f>
        <v>2.61</v>
      </c>
      <c r="E44" s="1073">
        <f t="shared" si="8"/>
        <v>6.26</v>
      </c>
      <c r="F44" s="1073"/>
      <c r="G44" s="47" t="s">
        <v>58</v>
      </c>
      <c r="H44" s="37">
        <v>251</v>
      </c>
      <c r="I44" s="125">
        <f>Consolidated!$H62</f>
        <v>1173</v>
      </c>
      <c r="J44" s="126">
        <f t="shared" si="9"/>
        <v>7342.98</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1.66</v>
      </c>
      <c r="D45" s="122">
        <f>SUMIFS('ESE FTE'!G:G,'ESE FTE'!$A:$A,$I$2,'ESE FTE'!$E:$E,10)</f>
        <v>1.19</v>
      </c>
      <c r="E45" s="1073">
        <f t="shared" si="8"/>
        <v>2.8499999999999996</v>
      </c>
      <c r="F45" s="1073"/>
      <c r="G45" s="47" t="s">
        <v>58</v>
      </c>
      <c r="H45" s="37">
        <v>252</v>
      </c>
      <c r="I45" s="125">
        <f>Consolidated!$H63</f>
        <v>3506</v>
      </c>
      <c r="J45" s="46">
        <f t="shared" si="9"/>
        <v>9992.1</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37">
        <v>251</v>
      </c>
      <c r="I47" s="125">
        <f>Consolidated!$H65</f>
        <v>835</v>
      </c>
      <c r="J47" s="46">
        <f t="shared" si="9"/>
        <v>0</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9.31</v>
      </c>
      <c r="D50" s="774">
        <f>SUM(D41:D49)</f>
        <v>9.34</v>
      </c>
      <c r="E50" s="1075">
        <f>SUM(E41:E49)</f>
        <v>18.649999999999999</v>
      </c>
      <c r="F50" s="1075"/>
      <c r="G50" s="1030" t="s">
        <v>61</v>
      </c>
      <c r="H50" s="1030"/>
      <c r="I50" s="1030"/>
      <c r="J50" s="220">
        <f>SUM(J41:J49)</f>
        <v>35675.599999999999</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178.89000000000001</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8.5700000000000001E-4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193.05500000000004</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8.7100000000000003E-4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178.89000000000001</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1.0169999999999999E-3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178.89000000000001</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8.5800000000000004E-4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178.89000000000001</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1.0189999999999999E-3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8.5800000000000004E-4</v>
      </c>
      <c r="J68" s="127">
        <f>ROUND(G68*I68,2)</f>
        <v>39353.64</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8.5700000000000001E-4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1.0189999999999999E-3</v>
      </c>
      <c r="J71" s="127">
        <f>ROUND(G71*I71,2)</f>
        <v>19192.28</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1.0169999999999999E-3</v>
      </c>
      <c r="J72" s="127">
        <f>ROUND(G72*I72,2)</f>
        <v>11416.87</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0</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0</v>
      </c>
      <c r="J84" s="62">
        <f>ROUND(G84*I84,2)</f>
        <v>0</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8.7100000000000003E-4</v>
      </c>
      <c r="J85" s="127">
        <f>ROUND(G85*I85,2)</f>
        <v>247272.71</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8.7100000000000003E-4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8.5700000000000001E-4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131.53489999999999</v>
      </c>
      <c r="C90" s="80"/>
      <c r="D90" s="981">
        <f>I6</f>
        <v>1.0309999999999999</v>
      </c>
      <c r="E90" s="981"/>
      <c r="F90" s="981"/>
      <c r="G90" s="113">
        <f>Consolidated!F$118</f>
        <v>961.57</v>
      </c>
      <c r="H90" s="47" t="s">
        <v>66</v>
      </c>
      <c r="I90" s="130">
        <f>ROUND(B90*D90*G90,2)</f>
        <v>130400.89</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61.520099999999999</v>
      </c>
      <c r="C91" s="80"/>
      <c r="D91" s="981">
        <f>I6</f>
        <v>1.0309999999999999</v>
      </c>
      <c r="E91" s="981"/>
      <c r="F91" s="981"/>
      <c r="G91" s="113">
        <f>Consolidated!F$119</f>
        <v>918.1</v>
      </c>
      <c r="H91" s="47" t="s">
        <v>66</v>
      </c>
      <c r="I91" s="129">
        <f>ROUND(B91*D91*G91,2)</f>
        <v>58232.53</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0</v>
      </c>
      <c r="C92" s="80"/>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193.05500000000001</v>
      </c>
      <c r="C93" s="80"/>
      <c r="D93" s="80"/>
      <c r="E93" s="1059" t="s">
        <v>110</v>
      </c>
      <c r="F93" s="1059"/>
      <c r="G93" s="1059"/>
      <c r="H93" s="1059"/>
      <c r="I93" s="1059"/>
      <c r="J93" s="116">
        <f>IF(A1=75,0,I92+I91+I90)</f>
        <v>188633.41999999998</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755">
        <v>0</v>
      </c>
      <c r="D97" s="755">
        <v>0</v>
      </c>
      <c r="E97" s="1103">
        <f>IF(D97&gt;0,(C97+D97)/2,C97)</f>
        <v>0</v>
      </c>
      <c r="F97" s="982"/>
      <c r="G97" s="982"/>
      <c r="H97" s="85" t="s">
        <v>115</v>
      </c>
      <c r="I97" s="119">
        <f>Consolidated!G$127</f>
        <v>583</v>
      </c>
      <c r="J97" s="127">
        <f>ROUND(I97*E97,2)</f>
        <v>0</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1627823.6100000003</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1538748.7200000004</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v>0</v>
      </c>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H114" s="232"/>
      <c r="I114" s="233">
        <f>IF(I111=1,J111,J109)</f>
        <v>1538748.7200000004</v>
      </c>
      <c r="J114" s="234">
        <f>ROUND(IF(E28=0,0,IF(E28&gt;250,-(((250/E28)*I114)*IF(H114="H",0.02,0.05)),IF(H114="H",-0.02*I114,-0.05*I114))),2)</f>
        <v>-76937.440000000002</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1550886.1700000004</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Payments'!R120</f>
        <v>-257143.03</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1293743.1400000004</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129374.31</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ROUND(IF(H114="H",(I114*0.02)+J114,(I114*0.05)+J114),2)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35"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521</v>
      </c>
      <c r="B2" s="101"/>
      <c r="C2" s="101"/>
      <c r="D2" s="101"/>
      <c r="E2" s="6"/>
      <c r="F2" s="6"/>
      <c r="G2" s="6"/>
      <c r="H2" s="6"/>
      <c r="I2" s="685" t="str">
        <f>RIGHT(A2,4)</f>
        <v>4103</v>
      </c>
      <c r="J2" s="6"/>
      <c r="K2" s="6"/>
      <c r="L2" s="6"/>
      <c r="M2" s="6"/>
      <c r="N2" s="6"/>
      <c r="O2" s="6"/>
      <c r="P2" s="6"/>
      <c r="Q2" s="6"/>
      <c r="R2" s="987" t="str">
        <f>Revenue_Estimate_Worksheet_for___________Charter_School</f>
        <v>Revenue Estimate Worksheet: Sports Leadership &amp; Management (SLAM) MHS (Boca) - 4103</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150.23000000000002</v>
      </c>
      <c r="D14" s="389">
        <f>SUMIFS('Surv2-3'!L:L,'Surv2-3'!$H:$H,$I$2,'Surv2-3'!$I:$I,$O14)</f>
        <v>149.76</v>
      </c>
      <c r="E14" s="1080">
        <f t="shared" si="0"/>
        <v>299.99</v>
      </c>
      <c r="F14" s="1080"/>
      <c r="G14" s="1086">
        <f>Consolidated!$F16</f>
        <v>1</v>
      </c>
      <c r="H14" s="1086">
        <f>Consolidated!$H$9</f>
        <v>1</v>
      </c>
      <c r="I14" s="534">
        <f t="shared" si="3"/>
        <v>299.99</v>
      </c>
      <c r="J14" s="535">
        <f>ROUND(ROUND(ROUND(I14*$E$6,4)*($I$6),2)*(MAX($I$7,1)),2)</f>
        <v>1687979.41</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24.54</v>
      </c>
      <c r="D15" s="389">
        <f>SUMIFS('Surv2-3'!L:L,'Surv2-3'!$H:$H,$I$2,'Surv2-3'!$I:$I,$O15)</f>
        <v>25.52</v>
      </c>
      <c r="E15" s="1080">
        <f t="shared" si="0"/>
        <v>50.06</v>
      </c>
      <c r="F15" s="1080"/>
      <c r="G15" s="1086">
        <f>Consolidated!$F17</f>
        <v>1</v>
      </c>
      <c r="H15" s="1086">
        <f>Consolidated!$H$9</f>
        <v>1</v>
      </c>
      <c r="I15" s="534">
        <f t="shared" si="3"/>
        <v>50.06</v>
      </c>
      <c r="J15" s="535">
        <f t="shared" si="1"/>
        <v>281676.89</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181.54999999999998</v>
      </c>
      <c r="D16" s="389">
        <f>SUMIFS('Surv2-3'!M:M,'Surv2-3'!$H:$H,$I$2,'Surv2-3'!$I:$I,$O16)</f>
        <v>182.05999999999997</v>
      </c>
      <c r="E16" s="1080">
        <f t="shared" si="0"/>
        <v>363.60999999999996</v>
      </c>
      <c r="F16" s="1080"/>
      <c r="G16" s="1086">
        <f>Consolidated!$F18</f>
        <v>0.96499999999999997</v>
      </c>
      <c r="H16" s="1086">
        <f>Consolidated!$H$9</f>
        <v>1</v>
      </c>
      <c r="I16" s="534">
        <f t="shared" si="3"/>
        <v>350.88369999999998</v>
      </c>
      <c r="J16" s="535">
        <f t="shared" si="1"/>
        <v>1974347.35</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31.36</v>
      </c>
      <c r="D17" s="389">
        <f>SUMIFS('Surv2-3'!M:M,'Surv2-3'!$H:$H,$I$2,'Surv2-3'!$I:$I,$O17)</f>
        <v>31.16</v>
      </c>
      <c r="E17" s="1080">
        <f t="shared" si="0"/>
        <v>62.519999999999996</v>
      </c>
      <c r="F17" s="1080"/>
      <c r="G17" s="1086">
        <f>Consolidated!$F19</f>
        <v>0.96499999999999997</v>
      </c>
      <c r="H17" s="1086">
        <f>Consolidated!$H$9</f>
        <v>1</v>
      </c>
      <c r="I17" s="534">
        <f t="shared" si="3"/>
        <v>60.331800000000001</v>
      </c>
      <c r="J17" s="535">
        <f t="shared" si="1"/>
        <v>339474.1</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28.340000000000003</v>
      </c>
      <c r="D25" s="389">
        <f>SUMIFS('Surv2-3'!L:L,'Surv2-3'!$H:$H,$I$2,'Surv2-3'!$I:$I,$O25)</f>
        <v>30.63</v>
      </c>
      <c r="E25" s="1080">
        <f t="shared" si="0"/>
        <v>58.97</v>
      </c>
      <c r="F25" s="1080"/>
      <c r="G25" s="1086">
        <f>Consolidated!$F27</f>
        <v>1.161</v>
      </c>
      <c r="H25" s="1086">
        <f>Consolidated!$H$9</f>
        <v>1</v>
      </c>
      <c r="I25" s="534">
        <f t="shared" si="3"/>
        <v>68.464200000000005</v>
      </c>
      <c r="J25" s="535">
        <f t="shared" si="1"/>
        <v>385233.37</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44.14</v>
      </c>
      <c r="D26" s="389">
        <f>SUMIFS('Surv2-3'!M:M,'Surv2-3'!$H:$H,$I$2,'Surv2-3'!$I:$I,$O26)</f>
        <v>37.540000000000006</v>
      </c>
      <c r="E26" s="1080">
        <f t="shared" si="0"/>
        <v>81.680000000000007</v>
      </c>
      <c r="F26" s="1080"/>
      <c r="G26" s="1086">
        <f>Consolidated!$F28</f>
        <v>1.161</v>
      </c>
      <c r="H26" s="1086">
        <f>Consolidated!$H$9</f>
        <v>1</v>
      </c>
      <c r="I26" s="534">
        <f t="shared" si="3"/>
        <v>94.830500000000001</v>
      </c>
      <c r="J26" s="535">
        <f t="shared" si="1"/>
        <v>533590.89</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21.86</v>
      </c>
      <c r="D27" s="390">
        <f>SUMIFS('Surv2-3'!J:J,'Surv2-3'!$H:$H,$I$2,'Surv2-3'!$I:$I,$O27)</f>
        <v>23.03</v>
      </c>
      <c r="E27" s="1082">
        <f t="shared" si="0"/>
        <v>44.89</v>
      </c>
      <c r="F27" s="1082"/>
      <c r="G27" s="1083">
        <f>Consolidated!$F29</f>
        <v>1.0900000000000001</v>
      </c>
      <c r="H27" s="1083">
        <f>Consolidated!$H$9</f>
        <v>1</v>
      </c>
      <c r="I27" s="22">
        <f t="shared" si="3"/>
        <v>48.930100000000003</v>
      </c>
      <c r="J27" s="116">
        <f t="shared" si="1"/>
        <v>275319.18</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482.02</v>
      </c>
      <c r="D28" s="773">
        <f>SUM(D12:D27)</f>
        <v>479.70000000000005</v>
      </c>
      <c r="E28" s="1085">
        <f>SUM(E12:E27)</f>
        <v>961.71999999999991</v>
      </c>
      <c r="F28" s="1085"/>
      <c r="G28" s="1080"/>
      <c r="H28" s="1080"/>
      <c r="I28" s="23">
        <f>SUM(I12:I27)</f>
        <v>973.49030000000016</v>
      </c>
      <c r="J28" s="116">
        <f>SUM(J12:J27)</f>
        <v>5477621.1899999995</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973.49030000000016</v>
      </c>
      <c r="H33" s="1080" t="s">
        <v>45</v>
      </c>
      <c r="I33" s="1080"/>
      <c r="J33" s="32">
        <f>SUM(J32,J28)</f>
        <v>5477621.1899999995</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5477621.1899999995</v>
      </c>
      <c r="H36" s="37" t="s">
        <v>48</v>
      </c>
      <c r="I36" s="38">
        <f>Consolidated!H53</f>
        <v>7.1400000000000005E-2</v>
      </c>
      <c r="J36" s="120">
        <f>ROUND(G36*I36,2)</f>
        <v>391102.15</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427">
        <v>5477621.1899999995</v>
      </c>
      <c r="H37" s="37" t="s">
        <v>48</v>
      </c>
      <c r="I37" s="38">
        <f>Consolidated!H54</f>
        <v>1.06E-2</v>
      </c>
      <c r="J37" s="120">
        <f>ROUND(G37*I37,2)</f>
        <v>58062.78</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449164.93000000005</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17.03</v>
      </c>
      <c r="D44" s="776">
        <f>SUMIFS('ESE FTE'!G:G,'ESE FTE'!$A:$A,$I$2,'ESE FTE'!$E:$E,9)</f>
        <v>17.71</v>
      </c>
      <c r="E44" s="1073">
        <f t="shared" si="8"/>
        <v>34.74</v>
      </c>
      <c r="F44" s="1073"/>
      <c r="G44" s="47" t="s">
        <v>58</v>
      </c>
      <c r="H44" s="37">
        <v>251</v>
      </c>
      <c r="I44" s="125">
        <f>Consolidated!$H62</f>
        <v>1173</v>
      </c>
      <c r="J44" s="126">
        <f t="shared" si="9"/>
        <v>40750.019999999997</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7.51</v>
      </c>
      <c r="D45" s="122">
        <f>SUMIFS('ESE FTE'!G:G,'ESE FTE'!$A:$A,$I$2,'ESE FTE'!$E:$E,10)</f>
        <v>7.81</v>
      </c>
      <c r="E45" s="1073">
        <f t="shared" si="8"/>
        <v>15.32</v>
      </c>
      <c r="F45" s="1073"/>
      <c r="G45" s="47" t="s">
        <v>58</v>
      </c>
      <c r="H45" s="37">
        <v>252</v>
      </c>
      <c r="I45" s="125">
        <f>Consolidated!$H63</f>
        <v>3506</v>
      </c>
      <c r="J45" s="46">
        <f t="shared" si="9"/>
        <v>53711.92</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22.37</v>
      </c>
      <c r="D47" s="122">
        <f>SUMIFS('ESE FTE'!G:G,'ESE FTE'!$A:$A,$I$2,'ESE FTE'!$E:$E,12)</f>
        <v>22.23</v>
      </c>
      <c r="E47" s="1073">
        <f t="shared" si="8"/>
        <v>44.6</v>
      </c>
      <c r="F47" s="1073"/>
      <c r="G47" s="47" t="s">
        <v>59</v>
      </c>
      <c r="H47" s="37">
        <v>251</v>
      </c>
      <c r="I47" s="125">
        <f>Consolidated!$H65</f>
        <v>835</v>
      </c>
      <c r="J47" s="46">
        <f t="shared" si="9"/>
        <v>37241</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8.99</v>
      </c>
      <c r="D48" s="122">
        <f>SUMIFS('ESE FTE'!G:G,'ESE FTE'!$A:$A,$I$2,'ESE FTE'!$E:$E,13)</f>
        <v>8.93</v>
      </c>
      <c r="E48" s="1073">
        <f t="shared" si="8"/>
        <v>17.920000000000002</v>
      </c>
      <c r="F48" s="1073"/>
      <c r="G48" s="47" t="s">
        <v>59</v>
      </c>
      <c r="H48" s="37">
        <v>252</v>
      </c>
      <c r="I48" s="125">
        <f>Consolidated!$H66</f>
        <v>3168</v>
      </c>
      <c r="J48" s="46">
        <f t="shared" si="9"/>
        <v>56770.559999999998</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55.9</v>
      </c>
      <c r="D50" s="774">
        <f>SUM(D41:D49)</f>
        <v>56.68</v>
      </c>
      <c r="E50" s="1075">
        <f>SUM(E41:E49)</f>
        <v>112.58</v>
      </c>
      <c r="F50" s="1075"/>
      <c r="G50" s="1030" t="s">
        <v>61</v>
      </c>
      <c r="H50" s="1030"/>
      <c r="I50" s="1030"/>
      <c r="J50" s="220">
        <f>SUM(J41:J49)</f>
        <v>188473.5</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961.71999999999991</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4.6049999999999997E-3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973.49030000000016</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4.3940000000000003E-3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961.71999999999991</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5.4669999999999996E-3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961.71999999999991</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4.6119999999999998E-3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961.71999999999991</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5.4770000000000001E-3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4.6119999999999998E-3</v>
      </c>
      <c r="J68" s="127">
        <f>ROUND(G68*I68,2)</f>
        <v>211537.28</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4.6049999999999997E-3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5.4770000000000001E-3</v>
      </c>
      <c r="J71" s="127">
        <f>ROUND(G71*I71,2)</f>
        <v>103156.13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5.4669999999999996E-3</v>
      </c>
      <c r="J72" s="127">
        <f>ROUND(G72*I72,2)</f>
        <v>61372.71</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v>17.440000000000001</v>
      </c>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v>15.52</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v>9.1999999999999993</v>
      </c>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1</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v>10.4</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53.559999999999995</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4.1510000000000002E-3</v>
      </c>
      <c r="J84" s="62">
        <f>ROUND(G84*I84,2)</f>
        <v>242845.08</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4.3940000000000003E-3</v>
      </c>
      <c r="J85" s="127">
        <f>ROUND(G85*I85,2)</f>
        <v>1247435.47</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4.3940000000000003E-3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4.6049999999999997E-3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418.51420000000002</v>
      </c>
      <c r="C91" s="80"/>
      <c r="D91" s="981">
        <f>I6</f>
        <v>1.0309999999999999</v>
      </c>
      <c r="E91" s="981"/>
      <c r="F91" s="981"/>
      <c r="G91" s="113">
        <f>Consolidated!F$119</f>
        <v>918.1</v>
      </c>
      <c r="H91" s="47" t="s">
        <v>66</v>
      </c>
      <c r="I91" s="129">
        <f>ROUND(B91*D91*G91,2)</f>
        <v>396149.26</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554.97609999999997</v>
      </c>
      <c r="C92" s="80"/>
      <c r="D92" s="981">
        <f>I6</f>
        <v>1.0309999999999999</v>
      </c>
      <c r="E92" s="981"/>
      <c r="F92" s="981"/>
      <c r="G92" s="113">
        <f>Consolidated!F$120</f>
        <v>920.31</v>
      </c>
      <c r="H92" s="47" t="s">
        <v>66</v>
      </c>
      <c r="I92" s="532">
        <f>ROUND(B92*D92*G92,2)</f>
        <v>526583.31000000006</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973.49029999999993</v>
      </c>
      <c r="C93" s="80"/>
      <c r="D93" s="80"/>
      <c r="E93" s="1059" t="s">
        <v>110</v>
      </c>
      <c r="F93" s="1059"/>
      <c r="G93" s="1059"/>
      <c r="H93" s="1059"/>
      <c r="I93" s="1059"/>
      <c r="J93" s="116">
        <f>IF(A1=75,0,I92+I91+I90)</f>
        <v>922732.57000000007</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755">
        <v>0</v>
      </c>
      <c r="D97" s="755">
        <v>1</v>
      </c>
      <c r="E97" s="1103">
        <f>IF(D97&gt;0,(C97+D97)/2,C97)</f>
        <v>0.5</v>
      </c>
      <c r="F97" s="982"/>
      <c r="G97" s="982"/>
      <c r="H97" s="85" t="s">
        <v>115</v>
      </c>
      <c r="I97" s="119">
        <f>Consolidated!G$127</f>
        <v>583</v>
      </c>
      <c r="J97" s="127">
        <f>ROUND(I97*E97,2)</f>
        <v>291.5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8455465.4299999978</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8006300.4999999981</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v>0</v>
      </c>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8006300.4999999981</v>
      </c>
      <c r="J114" s="234">
        <f>ROUND(IF(E28=0,0,IF(E28&gt;250,-(((250/E28)*I114)*IF(H113="H",0.02,0.05)),IF(H113="H",-0.02*I114,-0.05*I114))),2)</f>
        <v>-104062.26</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8351403.1699999981</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Payments'!R121</f>
        <v>-1414519.27</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6936883.8999999985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693688.39</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296252.77</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40" workbookViewId="0">
      <selection activeCell="G36" sqref="G36"/>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522</v>
      </c>
      <c r="B2" s="101"/>
      <c r="C2" s="101"/>
      <c r="D2" s="101"/>
      <c r="E2" s="6"/>
      <c r="F2" s="6"/>
      <c r="G2" s="6"/>
      <c r="H2" s="6"/>
      <c r="I2" s="685" t="str">
        <f>RIGHT(A2,4)</f>
        <v>4111</v>
      </c>
      <c r="J2" s="6"/>
      <c r="K2" s="6"/>
      <c r="L2" s="6"/>
      <c r="M2" s="6"/>
      <c r="N2" s="6"/>
      <c r="O2" s="6"/>
      <c r="P2" s="6"/>
      <c r="Q2" s="6"/>
      <c r="R2" s="987" t="str">
        <f>Revenue_Estimate_Worksheet_for___________Charter_School</f>
        <v>Revenue Estimate Worksheet: Sports Leadership &amp; Management (SLAM) Academy High School - 4111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111.85000000000001</v>
      </c>
      <c r="D16" s="389">
        <f>SUMIFS('Surv2-3'!M:M,'Surv2-3'!$H:$H,$I$2,'Surv2-3'!$I:$I,$O16)</f>
        <v>114.36</v>
      </c>
      <c r="E16" s="1080">
        <f t="shared" si="0"/>
        <v>226.21</v>
      </c>
      <c r="F16" s="1080"/>
      <c r="G16" s="1086">
        <f>Consolidated!$F18</f>
        <v>0.96499999999999997</v>
      </c>
      <c r="H16" s="1086">
        <f>Consolidated!$H$9</f>
        <v>1</v>
      </c>
      <c r="I16" s="534">
        <f t="shared" si="3"/>
        <v>218.2927</v>
      </c>
      <c r="J16" s="535">
        <f t="shared" si="1"/>
        <v>1228286.22</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18.5</v>
      </c>
      <c r="D17" s="389">
        <f>SUMIFS('Surv2-3'!M:M,'Surv2-3'!$H:$H,$I$2,'Surv2-3'!$I:$I,$O17)</f>
        <v>18.57</v>
      </c>
      <c r="E17" s="1080">
        <f t="shared" si="0"/>
        <v>37.07</v>
      </c>
      <c r="F17" s="1080"/>
      <c r="G17" s="1086">
        <f>Consolidated!$F19</f>
        <v>0.96499999999999997</v>
      </c>
      <c r="H17" s="1086">
        <f>Consolidated!$H$9</f>
        <v>1</v>
      </c>
      <c r="I17" s="534">
        <f t="shared" si="3"/>
        <v>35.772599999999997</v>
      </c>
      <c r="J17" s="535">
        <f t="shared" si="1"/>
        <v>201284.75</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19.57</v>
      </c>
      <c r="D26" s="389">
        <f>SUMIFS('Surv2-3'!M:M,'Surv2-3'!$H:$H,$I$2,'Surv2-3'!$I:$I,$O26)</f>
        <v>20.05</v>
      </c>
      <c r="E26" s="1080">
        <f t="shared" si="0"/>
        <v>39.620000000000005</v>
      </c>
      <c r="F26" s="1080"/>
      <c r="G26" s="1086">
        <f>Consolidated!$F28</f>
        <v>1.161</v>
      </c>
      <c r="H26" s="1086">
        <f>Consolidated!$H$9</f>
        <v>1</v>
      </c>
      <c r="I26" s="534">
        <f t="shared" si="3"/>
        <v>45.998800000000003</v>
      </c>
      <c r="J26" s="535">
        <f t="shared" si="1"/>
        <v>258825.39</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12.510000000000002</v>
      </c>
      <c r="D27" s="390">
        <f>SUMIFS('Surv2-3'!J:J,'Surv2-3'!$H:$H,$I$2,'Surv2-3'!$I:$I,$O27)</f>
        <v>12.43</v>
      </c>
      <c r="E27" s="1082">
        <f t="shared" si="0"/>
        <v>24.94</v>
      </c>
      <c r="F27" s="1082"/>
      <c r="G27" s="1083">
        <f>Consolidated!$F29</f>
        <v>1.0900000000000001</v>
      </c>
      <c r="H27" s="1083">
        <f>Consolidated!$H$9</f>
        <v>1</v>
      </c>
      <c r="I27" s="22">
        <f t="shared" si="3"/>
        <v>27.1846</v>
      </c>
      <c r="J27" s="116">
        <f t="shared" si="1"/>
        <v>152961.92000000001</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162.43</v>
      </c>
      <c r="D28" s="773">
        <f>SUM(D12:D27)</f>
        <v>165.41000000000003</v>
      </c>
      <c r="E28" s="1085">
        <f>SUM(E12:E27)</f>
        <v>327.84000000000003</v>
      </c>
      <c r="F28" s="1085"/>
      <c r="G28" s="1080"/>
      <c r="H28" s="1080"/>
      <c r="I28" s="23">
        <f>SUM(I12:I27)</f>
        <v>327.24869999999999</v>
      </c>
      <c r="J28" s="116">
        <f>SUM(J12:J27)</f>
        <v>1841358.2799999998</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327.24869999999999</v>
      </c>
      <c r="H33" s="1080" t="s">
        <v>45</v>
      </c>
      <c r="I33" s="1080"/>
      <c r="J33" s="32">
        <f>SUM(J32,J28)</f>
        <v>1841358.2799999998</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1841358.2799999998</v>
      </c>
      <c r="H36" s="37" t="s">
        <v>48</v>
      </c>
      <c r="I36" s="38">
        <f>Consolidated!H53</f>
        <v>7.1400000000000005E-2</v>
      </c>
      <c r="J36" s="120">
        <f>ROUND(G36*I36,2)</f>
        <v>131472.98000000001</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427">
        <v>1841358.2799999998</v>
      </c>
      <c r="H37" s="37" t="s">
        <v>48</v>
      </c>
      <c r="I37" s="38">
        <f>Consolidated!H54</f>
        <v>1.06E-2</v>
      </c>
      <c r="J37" s="120">
        <f>ROUND(G37*I37,2)</f>
        <v>19518.400000000001</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150991.38</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18.5</v>
      </c>
      <c r="D47" s="122">
        <f>SUMIFS('ESE FTE'!G:G,'ESE FTE'!$A:$A,$I$2,'ESE FTE'!$E:$E,12)</f>
        <v>18.57</v>
      </c>
      <c r="E47" s="1073">
        <f t="shared" si="8"/>
        <v>37.07</v>
      </c>
      <c r="F47" s="1073"/>
      <c r="G47" s="47" t="s">
        <v>59</v>
      </c>
      <c r="H47" s="37">
        <v>251</v>
      </c>
      <c r="I47" s="125">
        <f>Consolidated!$H65</f>
        <v>835</v>
      </c>
      <c r="J47" s="46">
        <f t="shared" si="9"/>
        <v>30953.45</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18.5</v>
      </c>
      <c r="D50" s="774">
        <f>SUM(D41:D49)</f>
        <v>18.57</v>
      </c>
      <c r="E50" s="1075">
        <f>SUM(E41:E49)</f>
        <v>37.07</v>
      </c>
      <c r="F50" s="1075"/>
      <c r="G50" s="1030" t="s">
        <v>61</v>
      </c>
      <c r="H50" s="1030"/>
      <c r="I50" s="1030"/>
      <c r="J50" s="220">
        <f>SUM(J41:J49)</f>
        <v>30953.45</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327.84000000000003</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1.57E-3</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327.24869999999999</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1.477E-3</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327.84000000000003</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1.864E-3</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327.84000000000003</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1.572E-3</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327.84000000000003</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1.867E-3</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1.572E-3</v>
      </c>
      <c r="J68" s="127">
        <f>ROUND(G68*I68,2)</f>
        <v>72102.47</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1.57E-3</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1.867E-3</v>
      </c>
      <c r="J71" s="127">
        <f>ROUND(G71*I71,2)</f>
        <v>35163.870000000003</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1.864E-3</v>
      </c>
      <c r="J72" s="127">
        <f>ROUND(G72*I72,2)</f>
        <v>20925.32</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v>2.88</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v>0.5</v>
      </c>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v>1.36</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4.74</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3.6699999999999998E-4</v>
      </c>
      <c r="J84" s="62">
        <f>ROUND(G84*I84,2)</f>
        <v>21470.52</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1.477E-3</v>
      </c>
      <c r="J85" s="127">
        <f>ROUND(G85*I85,2)</f>
        <v>419313.2</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1.477E-3</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1.57E-3</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129">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327.24869999999999</v>
      </c>
      <c r="C92" s="80"/>
      <c r="D92" s="981">
        <f>I6</f>
        <v>1.0309999999999999</v>
      </c>
      <c r="E92" s="981"/>
      <c r="F92" s="981"/>
      <c r="G92" s="113">
        <f>Consolidated!F$120</f>
        <v>920.31</v>
      </c>
      <c r="H92" s="47" t="s">
        <v>66</v>
      </c>
      <c r="I92" s="532">
        <f>ROUND(B92*D92*G92,2)</f>
        <v>310506.53000000003</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327.24869999999999</v>
      </c>
      <c r="C93" s="80"/>
      <c r="D93" s="80"/>
      <c r="E93" s="1059" t="s">
        <v>110</v>
      </c>
      <c r="F93" s="1059"/>
      <c r="G93" s="1059"/>
      <c r="H93" s="1059"/>
      <c r="I93" s="1059"/>
      <c r="J93" s="116">
        <f>IF(A1=75,0,I92+I91+I90)</f>
        <v>310506.53000000003</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755">
        <v>0</v>
      </c>
      <c r="D97" s="755">
        <v>2</v>
      </c>
      <c r="E97" s="1103">
        <f>IF(D97&gt;0,(C97+D97)/2,C97)</f>
        <v>1</v>
      </c>
      <c r="F97" s="982"/>
      <c r="G97" s="982"/>
      <c r="H97" s="85" t="s">
        <v>115</v>
      </c>
      <c r="I97" s="119">
        <f>Consolidated!G$127</f>
        <v>583</v>
      </c>
      <c r="J97" s="127">
        <f>ROUND(I97*E97,2)</f>
        <v>583</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2752376.6399999997</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2601385.2599999998</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2601385.2599999998</v>
      </c>
      <c r="J114" s="234">
        <f>ROUND(IF(E28=0,0,IF(E28&gt;250,-(((250/E28)*I114)*IF(H113="H",0.02,0.05)),IF(H113="H",-0.02*I114,-0.05*I114))),2)</f>
        <v>-99186.54</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2653190.0999999996</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Payments'!R122</f>
        <v>-455834.69</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2197355.4099999997</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219735.54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30882.720000000001</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topLeftCell="A40" workbookViewId="0">
      <selection activeCell="I54" sqref="I54:J54"/>
    </sheetView>
  </sheetViews>
  <sheetFormatPr defaultRowHeight="15.75" x14ac:dyDescent="0.25"/>
  <cols>
    <col min="1" max="1" width="13" style="42"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523</v>
      </c>
      <c r="B2" s="101"/>
      <c r="C2" s="101"/>
      <c r="D2" s="101"/>
      <c r="E2" s="6"/>
      <c r="F2" s="6"/>
      <c r="G2" s="6"/>
      <c r="H2" s="6"/>
      <c r="I2" s="685" t="str">
        <f>RIGHT(A2,4)</f>
        <v>4131</v>
      </c>
      <c r="J2" s="6"/>
      <c r="K2" s="6"/>
      <c r="L2" s="6"/>
      <c r="M2" s="6"/>
      <c r="N2" s="6"/>
      <c r="O2" s="6"/>
      <c r="P2" s="6"/>
      <c r="Q2" s="6"/>
      <c r="R2" s="987" t="str">
        <f>Revenue_Estimate_Worksheet_for___________Charter_School</f>
        <v>Revenue Estimate Worksheet: Somerset Academy Wellington HS - 4131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85"/>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9"/>
      <c r="D6" s="9"/>
      <c r="E6" s="1098">
        <f>Consolidated!$C$8</f>
        <v>5457.6</v>
      </c>
      <c r="F6" s="1098"/>
      <c r="G6" s="1099" t="s">
        <v>5</v>
      </c>
      <c r="H6" s="1099"/>
      <c r="I6" s="227">
        <f>Consolidated!$H$8</f>
        <v>1.0309999999999999</v>
      </c>
      <c r="J6" s="102"/>
      <c r="L6" s="56"/>
      <c r="M6" s="2"/>
      <c r="R6" s="992" t="s">
        <v>4</v>
      </c>
      <c r="S6" s="992"/>
      <c r="T6" s="993">
        <f>E6</f>
        <v>5457.6</v>
      </c>
      <c r="U6" s="993"/>
      <c r="V6" s="994" t="s">
        <v>5</v>
      </c>
      <c r="W6" s="994"/>
      <c r="X6" s="995">
        <f>I6</f>
        <v>1.0309999999999999</v>
      </c>
      <c r="Y6" s="995"/>
    </row>
    <row r="7" spans="1:25" ht="18" customHeight="1" x14ac:dyDescent="0.25">
      <c r="A7" s="9"/>
      <c r="B7" s="9"/>
      <c r="C7" s="9"/>
      <c r="D7" s="9"/>
      <c r="E7" s="10"/>
      <c r="F7" s="10"/>
      <c r="G7" s="11" t="s">
        <v>6</v>
      </c>
      <c r="H7" s="11"/>
      <c r="I7" s="227">
        <f>Consolidated!$H$9</f>
        <v>1</v>
      </c>
      <c r="J7" s="12"/>
      <c r="M7" s="2"/>
      <c r="R7" s="133"/>
      <c r="S7" s="133"/>
      <c r="T7" s="134"/>
      <c r="U7" s="134"/>
      <c r="V7" s="135" t="s">
        <v>6</v>
      </c>
      <c r="W7" s="135"/>
      <c r="X7" s="136">
        <v>1</v>
      </c>
      <c r="Y7" s="136"/>
    </row>
    <row r="8" spans="1:25" ht="18" customHeight="1" x14ac:dyDescent="0.25">
      <c r="A8" s="9"/>
      <c r="B8" s="9"/>
      <c r="C8" s="9"/>
      <c r="D8" s="9"/>
      <c r="E8" s="13"/>
      <c r="F8" s="13"/>
      <c r="G8" s="14"/>
      <c r="H8" s="14"/>
      <c r="I8" s="15"/>
      <c r="J8" s="16" t="s">
        <v>7</v>
      </c>
      <c r="M8" s="2"/>
      <c r="R8" s="133"/>
      <c r="S8" s="133"/>
      <c r="T8" s="137"/>
      <c r="U8" s="137"/>
      <c r="V8" s="138"/>
      <c r="W8" s="138"/>
      <c r="X8" s="139"/>
      <c r="Y8" s="140" t="s">
        <v>7</v>
      </c>
    </row>
    <row r="9" spans="1:25" ht="15.75" customHeight="1" x14ac:dyDescent="0.25">
      <c r="A9" s="9"/>
      <c r="B9" s="9"/>
      <c r="C9" s="107" t="str">
        <f>Consolidated!C$11</f>
        <v>Oct 2025</v>
      </c>
      <c r="D9" s="108" t="str">
        <f>Consolidated!D$11</f>
        <v>Feb 2026</v>
      </c>
      <c r="E9" s="13"/>
      <c r="F9" s="13"/>
      <c r="G9" s="1100" t="s">
        <v>8</v>
      </c>
      <c r="H9" s="1100"/>
      <c r="I9" s="15" t="s">
        <v>9</v>
      </c>
      <c r="J9" s="16" t="s">
        <v>10</v>
      </c>
      <c r="M9" s="2"/>
      <c r="R9" s="133"/>
      <c r="S9" s="133"/>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698">
        <f>SUMIFS('Surv2-3'!D:D,'Surv2-3'!$A:$A,$I$2,'Surv2-3'!$B:$B,$O12)</f>
        <v>0</v>
      </c>
      <c r="D12" s="69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44.49</v>
      </c>
      <c r="D16" s="389">
        <f>SUMIFS('Surv2-3'!M:M,'Surv2-3'!$H:$H,$I$2,'Surv2-3'!$I:$I,$O16)</f>
        <v>42.11</v>
      </c>
      <c r="E16" s="1080">
        <f t="shared" si="0"/>
        <v>86.6</v>
      </c>
      <c r="F16" s="1080"/>
      <c r="G16" s="1086">
        <f>Consolidated!$F18</f>
        <v>0.96499999999999997</v>
      </c>
      <c r="H16" s="1086">
        <f>Consolidated!$H$9</f>
        <v>1</v>
      </c>
      <c r="I16" s="534">
        <f t="shared" si="3"/>
        <v>83.569000000000003</v>
      </c>
      <c r="J16" s="535">
        <f t="shared" si="1"/>
        <v>470224.85</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7</v>
      </c>
      <c r="D17" s="389">
        <f>SUMIFS('Surv2-3'!M:M,'Surv2-3'!$H:$H,$I$2,'Surv2-3'!$I:$I,$O17)</f>
        <v>4.9700000000000006</v>
      </c>
      <c r="E17" s="1080">
        <f t="shared" si="0"/>
        <v>11.97</v>
      </c>
      <c r="F17" s="1080"/>
      <c r="G17" s="1086">
        <f>Consolidated!$F19</f>
        <v>0.96499999999999997</v>
      </c>
      <c r="H17" s="1086">
        <f>Consolidated!$H$9</f>
        <v>1</v>
      </c>
      <c r="I17" s="534">
        <f t="shared" si="3"/>
        <v>11.5511</v>
      </c>
      <c r="J17" s="535">
        <f t="shared" si="1"/>
        <v>64995.56</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7.9200000000000008</v>
      </c>
      <c r="D26" s="389">
        <f>SUMIFS('Surv2-3'!M:M,'Surv2-3'!$H:$H,$I$2,'Surv2-3'!$I:$I,$O26)</f>
        <v>7.3100000000000005</v>
      </c>
      <c r="E26" s="1080">
        <f t="shared" si="0"/>
        <v>15.23</v>
      </c>
      <c r="F26" s="1080"/>
      <c r="G26" s="1086">
        <f>Consolidated!$F28</f>
        <v>1.161</v>
      </c>
      <c r="H26" s="1086">
        <f>Consolidated!$H$9</f>
        <v>1</v>
      </c>
      <c r="I26" s="534">
        <f t="shared" si="3"/>
        <v>17.681999999999999</v>
      </c>
      <c r="J26" s="535">
        <f t="shared" si="1"/>
        <v>99492.82</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3.87</v>
      </c>
      <c r="D27" s="390">
        <f>SUMIFS('Surv2-3'!J:J,'Surv2-3'!$H:$H,$I$2,'Surv2-3'!$I:$I,$O27)</f>
        <v>3.7700000000000005</v>
      </c>
      <c r="E27" s="1082">
        <f t="shared" si="0"/>
        <v>7.6400000000000006</v>
      </c>
      <c r="F27" s="1082"/>
      <c r="G27" s="1083">
        <f>Consolidated!$F29</f>
        <v>1.0900000000000001</v>
      </c>
      <c r="H27" s="1083">
        <f>Consolidated!$H$9</f>
        <v>1</v>
      </c>
      <c r="I27" s="22">
        <f t="shared" si="3"/>
        <v>8.3276000000000003</v>
      </c>
      <c r="J27" s="116">
        <f t="shared" si="1"/>
        <v>46857.62</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63.28</v>
      </c>
      <c r="D28" s="773">
        <f>SUM(D12:D27)</f>
        <v>58.160000000000004</v>
      </c>
      <c r="E28" s="1085">
        <f>SUM(E12:E27)</f>
        <v>121.44</v>
      </c>
      <c r="F28" s="1085"/>
      <c r="G28" s="1080"/>
      <c r="H28" s="1080"/>
      <c r="I28" s="23">
        <f>SUM(I12:I27)</f>
        <v>121.12970000000001</v>
      </c>
      <c r="J28" s="116">
        <f>SUM(J12:J27)</f>
        <v>681570.85</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100"/>
      <c r="D30" s="100"/>
      <c r="E30" s="973" t="s">
        <v>39</v>
      </c>
      <c r="F30" s="974"/>
      <c r="G30" s="974"/>
      <c r="H30" s="974"/>
      <c r="I30" s="974"/>
      <c r="J30" s="18" t="s">
        <v>40</v>
      </c>
      <c r="L30" s="25"/>
      <c r="M30" s="25"/>
      <c r="R30" s="149" t="s">
        <v>38</v>
      </c>
      <c r="S30" s="149"/>
      <c r="T30" s="1026" t="s">
        <v>156</v>
      </c>
      <c r="U30" s="1027"/>
      <c r="V30" s="1027"/>
      <c r="W30" s="1027"/>
      <c r="X30" s="1027"/>
      <c r="Y30" s="142" t="s">
        <v>40</v>
      </c>
    </row>
    <row r="31" spans="1:25" ht="20.25" hidden="1" customHeight="1" x14ac:dyDescent="0.25">
      <c r="A31" s="958" t="s">
        <v>41</v>
      </c>
      <c r="B31" s="958"/>
      <c r="C31" s="69"/>
      <c r="D31" s="69"/>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121.12970000000001</v>
      </c>
      <c r="H33" s="1080" t="s">
        <v>45</v>
      </c>
      <c r="I33" s="1080"/>
      <c r="J33" s="32">
        <f>SUM(J32,J28)</f>
        <v>681570.85</v>
      </c>
      <c r="M33" s="2"/>
      <c r="R33" s="1029" t="s">
        <v>44</v>
      </c>
      <c r="S33" s="1029"/>
      <c r="T33" s="1029"/>
      <c r="U33" s="1029"/>
      <c r="V33" s="153">
        <f>V32+X28</f>
        <v>0</v>
      </c>
      <c r="W33" s="1025" t="s">
        <v>45</v>
      </c>
      <c r="X33" s="1025"/>
      <c r="Y33" s="154">
        <f>SUM(Y32,Y28)</f>
        <v>0</v>
      </c>
    </row>
    <row r="34" spans="1:25" ht="20.25" customHeight="1" x14ac:dyDescent="0.25">
      <c r="A34" s="33"/>
      <c r="B34" s="33"/>
      <c r="C34" s="33"/>
      <c r="D34" s="33"/>
      <c r="E34" s="33"/>
      <c r="F34" s="33"/>
      <c r="G34" s="31"/>
      <c r="H34" s="34"/>
      <c r="I34" s="34"/>
      <c r="J34" s="35"/>
      <c r="M34" s="2"/>
      <c r="R34" s="155"/>
      <c r="S34" s="155"/>
      <c r="T34" s="155"/>
      <c r="U34" s="155"/>
      <c r="V34" s="153"/>
      <c r="W34" s="156"/>
      <c r="X34" s="156"/>
      <c r="Y34" s="157"/>
    </row>
    <row r="35" spans="1:25" ht="66.75" customHeight="1" x14ac:dyDescent="0.25">
      <c r="A35" s="1066" t="s">
        <v>46</v>
      </c>
      <c r="B35" s="1066"/>
      <c r="C35" s="1066"/>
      <c r="D35" s="1066"/>
      <c r="E35" s="1066"/>
      <c r="F35" s="1066"/>
      <c r="G35" s="36"/>
      <c r="J35" s="40"/>
      <c r="M35" s="2"/>
      <c r="R35" s="1014" t="s">
        <v>46</v>
      </c>
      <c r="S35" s="1015"/>
      <c r="T35" s="1015"/>
      <c r="U35" s="1015"/>
      <c r="V35" s="158"/>
      <c r="W35" s="159"/>
      <c r="X35" s="159"/>
      <c r="Y35" s="164"/>
    </row>
    <row r="36" spans="1:25" ht="20.25" customHeight="1" x14ac:dyDescent="0.25">
      <c r="A36" s="975" t="str">
        <f>Consolidated!B53</f>
        <v>Maintenance Portion (7.14% of Conference Funding)</v>
      </c>
      <c r="B36" s="975"/>
      <c r="C36" s="975"/>
      <c r="D36" s="975"/>
      <c r="E36" s="975"/>
      <c r="F36" s="36" t="s">
        <v>47</v>
      </c>
      <c r="G36" s="427">
        <v>681570.85</v>
      </c>
      <c r="H36" s="37" t="s">
        <v>48</v>
      </c>
      <c r="I36" s="38">
        <f>Consolidated!H53</f>
        <v>7.1400000000000005E-2</v>
      </c>
      <c r="J36" s="120">
        <f>ROUND(G36*I36,2)</f>
        <v>48664.160000000003</v>
      </c>
      <c r="K36" s="39"/>
      <c r="L36" s="33"/>
      <c r="M36" s="33"/>
      <c r="N36" s="33"/>
      <c r="O36" s="31"/>
      <c r="P36" s="34"/>
      <c r="Q36" s="34"/>
      <c r="R36" s="1006" t="str">
        <f>A36</f>
        <v>Maintenance Portion (7.14% of Conference Funding)</v>
      </c>
      <c r="S36" s="1006"/>
      <c r="T36" s="1006"/>
      <c r="U36" s="158"/>
      <c r="V36" s="161">
        <f>Y28</f>
        <v>0</v>
      </c>
      <c r="W36" s="162"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36" t="s">
        <v>47</v>
      </c>
      <c r="G37" s="427">
        <v>681570.85</v>
      </c>
      <c r="H37" s="37" t="s">
        <v>48</v>
      </c>
      <c r="I37" s="38">
        <f>Consolidated!H54</f>
        <v>1.06E-2</v>
      </c>
      <c r="J37" s="120">
        <f>ROUND(G37*I37,2)</f>
        <v>7224.65</v>
      </c>
      <c r="K37" s="39"/>
      <c r="L37" s="33"/>
      <c r="M37" s="33"/>
      <c r="N37" s="33"/>
      <c r="O37" s="31"/>
      <c r="P37" s="34"/>
      <c r="Q37" s="34"/>
      <c r="R37" s="1006" t="str">
        <f>A37</f>
        <v>Growth Portion (1.06% of Conference Funding)</v>
      </c>
      <c r="S37" s="1006"/>
      <c r="T37" s="1006"/>
      <c r="U37" s="158"/>
      <c r="V37" s="161">
        <f>Y28</f>
        <v>0</v>
      </c>
      <c r="W37" s="162" t="s">
        <v>48</v>
      </c>
      <c r="X37" s="163">
        <f>I37</f>
        <v>1.06E-2</v>
      </c>
      <c r="Y37" s="212">
        <f>ROUND(V37*X37,2)</f>
        <v>0</v>
      </c>
    </row>
    <row r="38" spans="1:25" ht="20.25" customHeight="1" x14ac:dyDescent="0.25">
      <c r="A38" s="1012" t="s">
        <v>49</v>
      </c>
      <c r="B38" s="1012"/>
      <c r="C38" s="1012"/>
      <c r="D38" s="1012"/>
      <c r="E38" s="1012"/>
      <c r="F38" s="36" t="s">
        <v>50</v>
      </c>
      <c r="G38" s="40"/>
      <c r="H38" s="37"/>
      <c r="I38" s="41"/>
      <c r="J38" s="120">
        <f>SUM(J36:J37)</f>
        <v>55888.810000000005</v>
      </c>
      <c r="K38" s="39"/>
      <c r="L38" s="33"/>
      <c r="M38" s="33"/>
      <c r="N38" s="33"/>
      <c r="O38" s="31"/>
      <c r="P38" s="34"/>
      <c r="Q38" s="34"/>
      <c r="R38" s="1015" t="s">
        <v>49</v>
      </c>
      <c r="S38" s="1015"/>
      <c r="T38" s="1015"/>
      <c r="U38" s="158" t="s">
        <v>50</v>
      </c>
      <c r="V38" s="164"/>
      <c r="W38" s="162"/>
      <c r="X38" s="165"/>
      <c r="Y38" s="146">
        <f>Y36+Y37</f>
        <v>0</v>
      </c>
    </row>
    <row r="39" spans="1:25" ht="20.25" customHeight="1" x14ac:dyDescent="0.25">
      <c r="B39" s="42"/>
      <c r="C39" s="42"/>
      <c r="D39" s="42"/>
      <c r="E39" s="42"/>
      <c r="F39" s="36"/>
      <c r="G39" s="40"/>
      <c r="H39" s="37"/>
      <c r="I39" s="41"/>
      <c r="J39" s="43"/>
      <c r="K39" s="39"/>
      <c r="L39" s="33"/>
      <c r="M39" s="33"/>
      <c r="N39" s="33"/>
      <c r="O39" s="31"/>
      <c r="P39" s="34"/>
      <c r="Q39" s="34"/>
      <c r="R39" s="166"/>
      <c r="S39" s="166"/>
      <c r="T39" s="166"/>
      <c r="U39" s="158"/>
      <c r="V39" s="164"/>
      <c r="W39" s="162"/>
      <c r="X39" s="165"/>
      <c r="Y39" s="167"/>
    </row>
    <row r="40" spans="1:25" ht="45.75" customHeight="1" x14ac:dyDescent="0.25">
      <c r="A40" s="1076" t="s">
        <v>51</v>
      </c>
      <c r="B40" s="1076"/>
      <c r="C40" s="111" t="s">
        <v>591</v>
      </c>
      <c r="D40" s="111" t="s">
        <v>592</v>
      </c>
      <c r="E40" s="1077" t="s">
        <v>154</v>
      </c>
      <c r="F40" s="1077"/>
      <c r="G40" s="44" t="s">
        <v>53</v>
      </c>
      <c r="H40" s="45" t="s">
        <v>54</v>
      </c>
      <c r="I40" s="124" t="s">
        <v>55</v>
      </c>
      <c r="J40" s="44"/>
      <c r="K40" s="39"/>
      <c r="L40" s="33"/>
      <c r="M40" s="33"/>
      <c r="N40" s="33"/>
      <c r="O40" s="31"/>
      <c r="P40" s="34"/>
      <c r="Q40" s="34"/>
      <c r="R40" s="1016" t="s">
        <v>51</v>
      </c>
      <c r="S40" s="1016"/>
      <c r="T40" s="1017" t="s">
        <v>52</v>
      </c>
      <c r="U40" s="1017"/>
      <c r="V40" s="168" t="s">
        <v>53</v>
      </c>
      <c r="W40" s="169"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37" t="s">
        <v>57</v>
      </c>
      <c r="H41" s="37">
        <v>251</v>
      </c>
      <c r="I41" s="125">
        <f>Consolidated!$H59</f>
        <v>1047</v>
      </c>
      <c r="J41" s="46">
        <f t="shared" ref="J41:J49" si="9">ROUND(E41*I41,2)</f>
        <v>0</v>
      </c>
      <c r="L41" s="3"/>
      <c r="M41" s="2"/>
      <c r="Q41" s="4"/>
      <c r="R41" s="1018" t="s">
        <v>157</v>
      </c>
      <c r="S41" s="1018"/>
      <c r="T41" s="979"/>
      <c r="U41" s="979"/>
      <c r="V41" s="162" t="s">
        <v>57</v>
      </c>
      <c r="W41" s="162">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37" t="s">
        <v>57</v>
      </c>
      <c r="H42" s="37">
        <v>252</v>
      </c>
      <c r="I42" s="125">
        <f>Consolidated!$H60</f>
        <v>3380</v>
      </c>
      <c r="J42" s="46">
        <f t="shared" si="9"/>
        <v>0</v>
      </c>
      <c r="M42" s="2"/>
      <c r="R42" s="1018"/>
      <c r="S42" s="1018"/>
      <c r="T42" s="1019"/>
      <c r="U42" s="1019"/>
      <c r="V42" s="162" t="s">
        <v>57</v>
      </c>
      <c r="W42" s="162">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37" t="s">
        <v>57</v>
      </c>
      <c r="H43" s="37">
        <v>253</v>
      </c>
      <c r="I43" s="125">
        <f>Consolidated!$H61</f>
        <v>6896</v>
      </c>
      <c r="J43" s="46">
        <f t="shared" si="9"/>
        <v>0</v>
      </c>
      <c r="M43" s="2"/>
      <c r="R43" s="1018"/>
      <c r="S43" s="1018"/>
      <c r="T43" s="1020"/>
      <c r="U43" s="1020"/>
      <c r="V43" s="162" t="s">
        <v>57</v>
      </c>
      <c r="W43" s="162">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37">
        <v>251</v>
      </c>
      <c r="I44" s="125">
        <f>Consolidated!$H62</f>
        <v>1173</v>
      </c>
      <c r="J44" s="126">
        <f t="shared" si="9"/>
        <v>0</v>
      </c>
      <c r="L44" s="3"/>
      <c r="M44" s="2"/>
      <c r="Q44" s="4"/>
      <c r="R44" s="1018"/>
      <c r="S44" s="1018"/>
      <c r="T44" s="1020"/>
      <c r="U44" s="1020"/>
      <c r="V44" s="171" t="s">
        <v>58</v>
      </c>
      <c r="W44" s="162">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37">
        <v>252</v>
      </c>
      <c r="I45" s="125">
        <f>Consolidated!$H63</f>
        <v>3506</v>
      </c>
      <c r="J45" s="46">
        <f t="shared" si="9"/>
        <v>0</v>
      </c>
      <c r="M45" s="2"/>
      <c r="R45" s="1018"/>
      <c r="S45" s="1018"/>
      <c r="T45" s="1020"/>
      <c r="U45" s="1020"/>
      <c r="V45" s="171" t="s">
        <v>58</v>
      </c>
      <c r="W45" s="162">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37">
        <v>253</v>
      </c>
      <c r="I46" s="125">
        <f>Consolidated!$H64</f>
        <v>7023</v>
      </c>
      <c r="J46" s="46">
        <f t="shared" si="9"/>
        <v>0</v>
      </c>
      <c r="M46" s="2"/>
      <c r="R46" s="1018"/>
      <c r="S46" s="1018"/>
      <c r="T46" s="1020"/>
      <c r="U46" s="1020"/>
      <c r="V46" s="171" t="s">
        <v>58</v>
      </c>
      <c r="W46" s="162">
        <v>253</v>
      </c>
      <c r="X46" s="123">
        <f>Consolidated!$H64</f>
        <v>7023</v>
      </c>
      <c r="Y46" s="213">
        <f t="shared" si="10"/>
        <v>0</v>
      </c>
    </row>
    <row r="47" spans="1:25" ht="16.5" customHeight="1" x14ac:dyDescent="0.25">
      <c r="A47" s="1079"/>
      <c r="B47" s="1079"/>
      <c r="C47" s="122">
        <f>SUMIFS('ESE FTE'!F:F,'ESE FTE'!$A:$A,$I$2,'ESE FTE'!$E:$E,12)</f>
        <v>7</v>
      </c>
      <c r="D47" s="122">
        <f>SUMIFS('ESE FTE'!G:G,'ESE FTE'!$A:$A,$I$2,'ESE FTE'!$E:$E,12)</f>
        <v>4.97</v>
      </c>
      <c r="E47" s="1073">
        <f t="shared" si="8"/>
        <v>11.969999999999999</v>
      </c>
      <c r="F47" s="1073"/>
      <c r="G47" s="47" t="s">
        <v>59</v>
      </c>
      <c r="H47" s="37">
        <v>251</v>
      </c>
      <c r="I47" s="125">
        <f>Consolidated!$H65</f>
        <v>835</v>
      </c>
      <c r="J47" s="46">
        <f t="shared" si="9"/>
        <v>9994.9500000000007</v>
      </c>
      <c r="M47" s="2"/>
      <c r="R47" s="1018"/>
      <c r="S47" s="1018"/>
      <c r="T47" s="1020"/>
      <c r="U47" s="1020"/>
      <c r="V47" s="171" t="s">
        <v>59</v>
      </c>
      <c r="W47" s="162">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37">
        <v>252</v>
      </c>
      <c r="I48" s="125">
        <f>Consolidated!$H66</f>
        <v>3168</v>
      </c>
      <c r="J48" s="46">
        <f t="shared" si="9"/>
        <v>0</v>
      </c>
      <c r="M48" s="2"/>
      <c r="R48" s="1018"/>
      <c r="S48" s="1018"/>
      <c r="T48" s="1020"/>
      <c r="U48" s="1020"/>
      <c r="V48" s="171" t="s">
        <v>59</v>
      </c>
      <c r="W48" s="162">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37">
        <v>253</v>
      </c>
      <c r="I49" s="125">
        <f>Consolidated!$H67</f>
        <v>6685</v>
      </c>
      <c r="J49" s="46">
        <f t="shared" si="9"/>
        <v>0</v>
      </c>
      <c r="M49" s="2"/>
      <c r="R49" s="1018"/>
      <c r="S49" s="1018"/>
      <c r="T49" s="1031"/>
      <c r="U49" s="1031"/>
      <c r="V49" s="171" t="s">
        <v>59</v>
      </c>
      <c r="W49" s="162">
        <v>253</v>
      </c>
      <c r="X49" s="123">
        <f>Consolidated!$H67</f>
        <v>6685</v>
      </c>
      <c r="Y49" s="213">
        <f t="shared" si="10"/>
        <v>0</v>
      </c>
    </row>
    <row r="50" spans="1:25" ht="15.75" customHeight="1" thickBot="1" x14ac:dyDescent="0.3">
      <c r="A50" s="1030" t="s">
        <v>60</v>
      </c>
      <c r="B50" s="1030"/>
      <c r="C50" s="774">
        <f>SUM(C41:C49)</f>
        <v>7</v>
      </c>
      <c r="D50" s="774">
        <f>SUM(D41:D49)</f>
        <v>4.97</v>
      </c>
      <c r="E50" s="1075">
        <f>SUM(E41:E49)</f>
        <v>11.969999999999999</v>
      </c>
      <c r="F50" s="1075"/>
      <c r="G50" s="1030" t="s">
        <v>61</v>
      </c>
      <c r="H50" s="1030"/>
      <c r="I50" s="1030"/>
      <c r="J50" s="220">
        <f>SUM(J41:J49)</f>
        <v>9994.9500000000007</v>
      </c>
      <c r="M50" s="2"/>
      <c r="R50" s="1029" t="s">
        <v>60</v>
      </c>
      <c r="S50" s="1029"/>
      <c r="T50" s="1032">
        <f>SUM(T42:T49)</f>
        <v>0</v>
      </c>
      <c r="U50" s="1032"/>
      <c r="V50" s="1029" t="s">
        <v>61</v>
      </c>
      <c r="W50" s="1029"/>
      <c r="X50" s="1029"/>
      <c r="Y50" s="214">
        <f>SUM(Y41:Y49)</f>
        <v>0</v>
      </c>
    </row>
    <row r="51" spans="1:25" ht="15.75" customHeight="1" x14ac:dyDescent="0.25">
      <c r="A51" s="33"/>
      <c r="B51" s="33"/>
      <c r="C51" s="33"/>
      <c r="D51" s="33"/>
      <c r="E51" s="34"/>
      <c r="F51" s="34"/>
      <c r="G51" s="33"/>
      <c r="H51" s="33"/>
      <c r="I51" s="33"/>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51"/>
      <c r="D53" s="51"/>
      <c r="E53" s="48">
        <f>E28</f>
        <v>121.44</v>
      </c>
      <c r="F53" s="49" t="s">
        <v>64</v>
      </c>
      <c r="G53" s="3"/>
      <c r="H53" s="50" t="s">
        <v>65</v>
      </c>
      <c r="I53" s="1111">
        <f>Consolidated!H$71</f>
        <v>208856.94000000003</v>
      </c>
      <c r="J53" s="1111"/>
      <c r="M53" s="2"/>
      <c r="R53" s="176"/>
      <c r="S53" s="177"/>
      <c r="T53" s="159"/>
      <c r="U53" s="159"/>
      <c r="V53" s="159"/>
      <c r="W53" s="178" t="s">
        <v>66</v>
      </c>
      <c r="X53" s="1038">
        <f>ROUND(T52/X52,6)</f>
        <v>0</v>
      </c>
      <c r="Y53" s="1038"/>
    </row>
    <row r="54" spans="1:25" ht="22.5" customHeight="1" x14ac:dyDescent="0.25">
      <c r="A54" s="51"/>
      <c r="B54" s="52"/>
      <c r="C54" s="52"/>
      <c r="D54" s="52"/>
      <c r="H54" s="53" t="s">
        <v>66</v>
      </c>
      <c r="I54" s="1064">
        <f>IFERROR(ROUND(E53/I53,6),0)</f>
        <v>5.8100000000000003E-4</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51"/>
      <c r="D56" s="51"/>
      <c r="E56" s="48">
        <f>G33</f>
        <v>121.12970000000001</v>
      </c>
      <c r="F56" s="49" t="s">
        <v>64</v>
      </c>
      <c r="G56" s="3"/>
      <c r="H56" s="50" t="s">
        <v>69</v>
      </c>
      <c r="I56" s="1111">
        <f>Consolidated!H$74</f>
        <v>221542.28000000003</v>
      </c>
      <c r="J56" s="1111"/>
      <c r="M56" s="2"/>
      <c r="R56" s="176"/>
      <c r="S56" s="159"/>
      <c r="T56" s="159"/>
      <c r="U56" s="159"/>
      <c r="V56" s="159"/>
      <c r="W56" s="178" t="s">
        <v>66</v>
      </c>
      <c r="X56" s="1038">
        <f>ROUND(T55/X55,6)</f>
        <v>0</v>
      </c>
      <c r="Y56" s="1038"/>
    </row>
    <row r="57" spans="1:25" ht="18.75" customHeight="1" x14ac:dyDescent="0.25">
      <c r="A57" s="51"/>
      <c r="H57" s="53" t="s">
        <v>66</v>
      </c>
      <c r="I57" s="1064">
        <f>IFERROR(ROUND(E56/I56,6),0)</f>
        <v>5.4699999999999996E-4</v>
      </c>
      <c r="J57" s="1064"/>
      <c r="M57" s="2"/>
      <c r="P57" s="42"/>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51"/>
      <c r="D59" s="51"/>
      <c r="E59" s="48">
        <f>E28</f>
        <v>121.44</v>
      </c>
      <c r="F59" s="49" t="s">
        <v>64</v>
      </c>
      <c r="G59" s="1107" t="s">
        <v>72</v>
      </c>
      <c r="H59" s="1107"/>
      <c r="I59" s="1111">
        <f>Consolidated!H$77</f>
        <v>175905.69000000003</v>
      </c>
      <c r="J59" s="1111"/>
      <c r="M59" s="2"/>
      <c r="R59" s="176"/>
      <c r="S59" s="159"/>
      <c r="T59" s="159"/>
      <c r="U59" s="159"/>
      <c r="V59" s="159"/>
      <c r="W59" s="178" t="s">
        <v>66</v>
      </c>
      <c r="X59" s="1038">
        <f>ROUND(T58/X58,6)</f>
        <v>0</v>
      </c>
      <c r="Y59" s="1038"/>
    </row>
    <row r="60" spans="1:25" ht="18" customHeight="1" x14ac:dyDescent="0.25">
      <c r="A60" s="51"/>
      <c r="H60" s="53" t="s">
        <v>66</v>
      </c>
      <c r="I60" s="1064">
        <f>IFERROR(ROUND(E59/I59,6),0)</f>
        <v>6.8999999999999997E-4</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51"/>
      <c r="D62" s="51"/>
      <c r="E62" s="48">
        <f>E28</f>
        <v>121.44</v>
      </c>
      <c r="F62" s="49" t="s">
        <v>64</v>
      </c>
      <c r="G62" s="1107" t="s">
        <v>74</v>
      </c>
      <c r="H62" s="1107"/>
      <c r="I62" s="1111">
        <f>Consolidated!H$80</f>
        <v>208541.94000000003</v>
      </c>
      <c r="J62" s="1111"/>
      <c r="M62" s="2"/>
      <c r="R62" s="176"/>
      <c r="S62" s="159"/>
      <c r="T62" s="159"/>
      <c r="U62" s="159"/>
      <c r="V62" s="159"/>
      <c r="W62" s="178" t="s">
        <v>66</v>
      </c>
      <c r="X62" s="1038">
        <f>ROUND(T61/X61,6)</f>
        <v>0</v>
      </c>
      <c r="Y62" s="1038"/>
    </row>
    <row r="63" spans="1:25" ht="19.5" customHeight="1" x14ac:dyDescent="0.25">
      <c r="A63" s="51"/>
      <c r="H63" s="53" t="s">
        <v>66</v>
      </c>
      <c r="I63" s="1064">
        <f>IFERROR(ROUND(E62/I62,6),0)</f>
        <v>5.8200000000000005E-4</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51"/>
      <c r="D65" s="51"/>
      <c r="E65" s="48">
        <f>E28</f>
        <v>121.44</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51"/>
      <c r="H66" s="53" t="s">
        <v>66</v>
      </c>
      <c r="I66" s="1064">
        <f>IFERROR(ROUND(E65/I65,6),0)</f>
        <v>6.9200000000000002E-4</v>
      </c>
      <c r="J66" s="1064"/>
      <c r="M66" s="2"/>
      <c r="R66" s="17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158"/>
      <c r="V67" s="182">
        <f>G68</f>
        <v>45866714</v>
      </c>
      <c r="W67" s="162" t="s">
        <v>79</v>
      </c>
      <c r="X67" s="165">
        <f>X62</f>
        <v>0</v>
      </c>
      <c r="Y67" s="215">
        <f>ROUND(V67*X67,2)</f>
        <v>0</v>
      </c>
    </row>
    <row r="68" spans="1:26" ht="30.75" customHeight="1" x14ac:dyDescent="0.25">
      <c r="A68" s="1065" t="s">
        <v>77</v>
      </c>
      <c r="B68" s="1065"/>
      <c r="C68" s="1065"/>
      <c r="D68" s="1065"/>
      <c r="E68" s="1065"/>
      <c r="F68" s="36" t="s">
        <v>78</v>
      </c>
      <c r="G68" s="221">
        <f>Consolidated!F$86</f>
        <v>45866714</v>
      </c>
      <c r="H68" s="37" t="s">
        <v>79</v>
      </c>
      <c r="I68" s="41">
        <f>I63</f>
        <v>5.8200000000000005E-4</v>
      </c>
      <c r="J68" s="127">
        <f>ROUND(G68*I68,2)</f>
        <v>26694.43</v>
      </c>
      <c r="M68" s="2"/>
      <c r="R68" s="1014" t="s">
        <v>80</v>
      </c>
      <c r="S68" s="1014"/>
      <c r="T68" s="166"/>
      <c r="U68" s="158"/>
      <c r="V68" s="183"/>
      <c r="W68" s="162"/>
      <c r="X68" s="165"/>
      <c r="Y68" s="215"/>
    </row>
    <row r="69" spans="1:26" ht="30.75" customHeight="1" x14ac:dyDescent="0.25">
      <c r="A69" s="1066" t="s">
        <v>80</v>
      </c>
      <c r="B69" s="1066"/>
      <c r="C69" s="104"/>
      <c r="D69" s="104"/>
      <c r="E69" s="42"/>
      <c r="F69" s="36"/>
      <c r="G69" s="63"/>
      <c r="H69" s="37"/>
      <c r="I69" s="41"/>
      <c r="J69" s="62"/>
      <c r="M69" s="2"/>
      <c r="R69" s="1041" t="s">
        <v>160</v>
      </c>
      <c r="S69" s="1035"/>
      <c r="T69" s="1035"/>
      <c r="U69" s="158"/>
      <c r="V69" s="184">
        <f>G70</f>
        <v>0</v>
      </c>
      <c r="W69" s="162" t="s">
        <v>79</v>
      </c>
      <c r="X69" s="165">
        <f>X53</f>
        <v>0</v>
      </c>
      <c r="Y69" s="212">
        <f t="shared" ref="Y69:Y71" si="11">ROUND(V69*X69,2)</f>
        <v>0</v>
      </c>
    </row>
    <row r="70" spans="1:26" ht="17.25" customHeight="1" x14ac:dyDescent="0.25">
      <c r="A70" s="1067" t="s">
        <v>81</v>
      </c>
      <c r="B70" s="1067"/>
      <c r="C70" s="1067"/>
      <c r="D70" s="1067"/>
      <c r="E70" s="1067"/>
      <c r="F70" s="36" t="s">
        <v>82</v>
      </c>
      <c r="G70" s="221">
        <f>Consolidated!F$89</f>
        <v>0</v>
      </c>
      <c r="H70" s="37" t="s">
        <v>79</v>
      </c>
      <c r="I70" s="41">
        <f>I54</f>
        <v>5.8100000000000003E-4</v>
      </c>
      <c r="J70" s="127">
        <f>ROUND(G70*I70,2)</f>
        <v>0</v>
      </c>
      <c r="M70" s="2"/>
      <c r="R70" s="1015" t="s">
        <v>161</v>
      </c>
      <c r="S70" s="1015"/>
      <c r="T70" s="1015"/>
      <c r="U70" s="158"/>
      <c r="V70" s="182">
        <f>G71</f>
        <v>18834423</v>
      </c>
      <c r="W70" s="162" t="s">
        <v>79</v>
      </c>
      <c r="X70" s="165">
        <f>X65</f>
        <v>0</v>
      </c>
      <c r="Y70" s="212">
        <f t="shared" si="11"/>
        <v>0</v>
      </c>
    </row>
    <row r="71" spans="1:26" ht="19.5" customHeight="1" x14ac:dyDescent="0.25">
      <c r="A71" s="1012" t="s">
        <v>83</v>
      </c>
      <c r="B71" s="1012"/>
      <c r="C71" s="1012"/>
      <c r="D71" s="1012"/>
      <c r="E71" s="1012"/>
      <c r="F71" s="36" t="s">
        <v>84</v>
      </c>
      <c r="G71" s="221">
        <f>Consolidated!F$91</f>
        <v>18834423</v>
      </c>
      <c r="H71" s="37" t="s">
        <v>79</v>
      </c>
      <c r="I71" s="41">
        <f>I66</f>
        <v>6.9200000000000002E-4</v>
      </c>
      <c r="J71" s="127">
        <f>ROUND(G71*I71,2)</f>
        <v>13033.42</v>
      </c>
      <c r="M71" s="2"/>
      <c r="R71" s="166" t="s">
        <v>162</v>
      </c>
      <c r="S71" s="166"/>
      <c r="T71" s="166"/>
      <c r="U71" s="158"/>
      <c r="V71" s="160">
        <f>G72</f>
        <v>11226031</v>
      </c>
      <c r="W71" s="162" t="s">
        <v>79</v>
      </c>
      <c r="X71" s="165">
        <f>X59</f>
        <v>0</v>
      </c>
      <c r="Y71" s="212">
        <f t="shared" si="11"/>
        <v>0</v>
      </c>
    </row>
    <row r="72" spans="1:26" ht="19.5" customHeight="1" x14ac:dyDescent="0.25">
      <c r="A72" s="42" t="s">
        <v>85</v>
      </c>
      <c r="B72" s="42"/>
      <c r="C72" s="42"/>
      <c r="D72" s="42"/>
      <c r="E72" s="42"/>
      <c r="F72" s="36" t="s">
        <v>86</v>
      </c>
      <c r="G72" s="221">
        <f>Consolidated!F$93</f>
        <v>11226031</v>
      </c>
      <c r="H72" s="37" t="s">
        <v>79</v>
      </c>
      <c r="I72" s="41">
        <f>I60</f>
        <v>6.8999999999999997E-4</v>
      </c>
      <c r="J72" s="127">
        <f>ROUND(G72*I72,2)</f>
        <v>7745.96</v>
      </c>
      <c r="M72" s="2"/>
      <c r="R72" s="166" t="s">
        <v>163</v>
      </c>
      <c r="S72" s="166"/>
      <c r="T72" s="166"/>
      <c r="U72" s="158"/>
      <c r="V72" s="185"/>
      <c r="W72" s="162"/>
      <c r="X72" s="165"/>
      <c r="Y72" s="167"/>
    </row>
    <row r="73" spans="1:26" ht="24.75" customHeight="1" x14ac:dyDescent="0.25">
      <c r="A73" s="42" t="s">
        <v>87</v>
      </c>
      <c r="B73" s="42"/>
      <c r="C73" s="42"/>
      <c r="D73" s="42"/>
      <c r="E73" s="42"/>
      <c r="F73" s="36" t="s">
        <v>88</v>
      </c>
      <c r="G73" s="64"/>
      <c r="H73" s="37"/>
      <c r="I73" s="41"/>
      <c r="J73" s="30"/>
      <c r="M73" s="2"/>
      <c r="R73" s="997" t="s">
        <v>89</v>
      </c>
      <c r="S73" s="997"/>
      <c r="T73" s="1026" t="s">
        <v>164</v>
      </c>
      <c r="U73" s="1027"/>
      <c r="V73" s="1027"/>
      <c r="W73" s="1027"/>
      <c r="X73" s="1027"/>
      <c r="Y73" s="142"/>
    </row>
    <row r="74" spans="1:26" ht="63" customHeight="1" x14ac:dyDescent="0.25">
      <c r="A74" s="972" t="s">
        <v>89</v>
      </c>
      <c r="B74" s="972"/>
      <c r="C74" s="100"/>
      <c r="D74" s="100"/>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69"/>
      <c r="D75" s="69"/>
      <c r="E75" s="65"/>
      <c r="F75" s="65"/>
      <c r="G75" s="65"/>
      <c r="H75" s="65"/>
      <c r="I75" s="65"/>
      <c r="J75" s="118"/>
      <c r="L75" s="66"/>
      <c r="M75" s="2"/>
      <c r="O75" s="36"/>
      <c r="P75" s="36"/>
      <c r="R75" s="1042" t="s">
        <v>92</v>
      </c>
      <c r="S75" s="1042"/>
      <c r="T75" s="186"/>
      <c r="U75" s="186"/>
      <c r="V75" s="186"/>
      <c r="W75" s="186"/>
      <c r="X75" s="186"/>
      <c r="Y75" s="186"/>
    </row>
    <row r="76" spans="1:26" ht="18.75" customHeight="1" x14ac:dyDescent="0.25">
      <c r="A76" s="958" t="s">
        <v>92</v>
      </c>
      <c r="B76" s="958"/>
      <c r="C76" s="69"/>
      <c r="D76" s="69"/>
      <c r="E76" s="65"/>
      <c r="F76" s="65"/>
      <c r="G76" s="65"/>
      <c r="H76" s="65"/>
      <c r="I76" s="65"/>
      <c r="J76" s="118"/>
      <c r="L76" s="67"/>
      <c r="M76" s="2"/>
      <c r="O76" s="36"/>
      <c r="P76" s="36"/>
      <c r="R76" s="1043" t="s">
        <v>93</v>
      </c>
      <c r="S76" s="1043"/>
      <c r="T76" s="187"/>
      <c r="U76" s="187"/>
      <c r="V76" s="187"/>
      <c r="W76" s="187"/>
      <c r="X76" s="187"/>
      <c r="Y76" s="186"/>
    </row>
    <row r="77" spans="1:26" ht="18.75" customHeight="1" x14ac:dyDescent="0.25">
      <c r="A77" s="976" t="s">
        <v>93</v>
      </c>
      <c r="B77" s="976"/>
      <c r="C77" s="105"/>
      <c r="D77" s="105"/>
      <c r="E77" s="68"/>
      <c r="F77" s="68"/>
      <c r="G77" s="68"/>
      <c r="H77" s="68"/>
      <c r="I77" s="68"/>
      <c r="J77" s="117">
        <v>1.92</v>
      </c>
      <c r="L77" s="67"/>
      <c r="M77" s="2"/>
      <c r="O77" s="36"/>
      <c r="P77" s="36"/>
      <c r="R77" s="188" t="s">
        <v>94</v>
      </c>
      <c r="S77" s="188"/>
      <c r="T77" s="186"/>
      <c r="U77" s="186"/>
      <c r="V77" s="186"/>
      <c r="W77" s="186"/>
      <c r="X77" s="186"/>
      <c r="Y77" s="186"/>
    </row>
    <row r="78" spans="1:26" ht="20.25" customHeight="1" x14ac:dyDescent="0.25">
      <c r="A78" s="69" t="s">
        <v>94</v>
      </c>
      <c r="B78" s="69"/>
      <c r="C78" s="69"/>
      <c r="D78" s="69"/>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69"/>
      <c r="D79" s="69"/>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103"/>
      <c r="D80" s="103"/>
      <c r="E80" s="73"/>
      <c r="F80" s="73"/>
      <c r="G80" s="73"/>
      <c r="H80" s="73"/>
      <c r="I80" s="73"/>
      <c r="J80" s="118">
        <v>0</v>
      </c>
      <c r="K80" s="70"/>
      <c r="L80" s="70"/>
      <c r="M80" s="71"/>
      <c r="N80" s="70"/>
      <c r="O80" s="70"/>
      <c r="P80" s="70"/>
      <c r="Q80" s="70"/>
      <c r="R80" s="155"/>
      <c r="S80" s="155"/>
      <c r="T80" s="155"/>
      <c r="U80" s="155"/>
      <c r="V80" s="153"/>
      <c r="W80" s="156"/>
      <c r="X80" s="156" t="s">
        <v>97</v>
      </c>
      <c r="Y80" s="190">
        <f>SUM(Y74:Y79)</f>
        <v>0</v>
      </c>
      <c r="Z80" s="72"/>
    </row>
    <row r="81" spans="1:26" ht="17.25" customHeight="1" x14ac:dyDescent="0.25">
      <c r="A81" s="33"/>
      <c r="B81" s="33"/>
      <c r="C81" s="33"/>
      <c r="D81" s="33"/>
      <c r="E81" s="33"/>
      <c r="F81" s="33"/>
      <c r="G81" s="31"/>
      <c r="H81" s="34"/>
      <c r="I81" s="34" t="s">
        <v>97</v>
      </c>
      <c r="J81" s="74">
        <f>SUM(J75:J80)</f>
        <v>1.92</v>
      </c>
      <c r="K81" s="70"/>
      <c r="L81" s="70"/>
      <c r="M81" s="71"/>
      <c r="N81" s="70"/>
      <c r="O81" s="70"/>
      <c r="P81" s="70"/>
      <c r="Q81" s="70"/>
      <c r="R81" s="155"/>
      <c r="S81" s="155"/>
      <c r="T81" s="155"/>
      <c r="U81" s="155"/>
      <c r="V81" s="153"/>
      <c r="W81" s="156"/>
      <c r="X81" s="156" t="s">
        <v>98</v>
      </c>
      <c r="Y81" s="190">
        <f>J82</f>
        <v>12903.05</v>
      </c>
      <c r="Z81" s="72"/>
    </row>
    <row r="82" spans="1:26" ht="18.75" customHeight="1" x14ac:dyDescent="0.25">
      <c r="A82" s="33"/>
      <c r="B82" s="33"/>
      <c r="C82" s="33"/>
      <c r="D82" s="33"/>
      <c r="E82" s="33"/>
      <c r="F82" s="33"/>
      <c r="G82" s="31"/>
      <c r="H82" s="34"/>
      <c r="I82" s="34" t="s">
        <v>98</v>
      </c>
      <c r="J82" s="74">
        <f>Consolidated!J$104</f>
        <v>12903.05</v>
      </c>
      <c r="K82" s="70"/>
      <c r="L82" s="70"/>
      <c r="M82" s="71"/>
      <c r="N82" s="70"/>
      <c r="O82" s="70"/>
      <c r="P82" s="70"/>
      <c r="Q82" s="70"/>
      <c r="R82" s="155"/>
      <c r="S82" s="155"/>
      <c r="T82" s="155"/>
      <c r="U82" s="155"/>
      <c r="V82" s="153"/>
      <c r="W82" s="156"/>
      <c r="X82" s="156"/>
      <c r="Y82" s="191"/>
      <c r="Z82" s="72"/>
    </row>
    <row r="83" spans="1:26" ht="15.75" customHeight="1" x14ac:dyDescent="0.25">
      <c r="A83" s="33"/>
      <c r="B83" s="33"/>
      <c r="C83" s="33"/>
      <c r="D83" s="33"/>
      <c r="E83" s="33"/>
      <c r="F83" s="33"/>
      <c r="G83" s="31"/>
      <c r="H83" s="34"/>
      <c r="I83" s="34"/>
      <c r="J83" s="75"/>
      <c r="K83" s="70"/>
      <c r="L83" s="70"/>
      <c r="M83" s="71"/>
      <c r="N83" s="70"/>
      <c r="O83" s="70"/>
      <c r="P83" s="70"/>
      <c r="Q83" s="70"/>
      <c r="R83" s="1006" t="s">
        <v>99</v>
      </c>
      <c r="S83" s="1006"/>
      <c r="T83" s="159"/>
      <c r="U83" s="159"/>
      <c r="V83" s="160">
        <f>G84</f>
        <v>58502790</v>
      </c>
      <c r="W83" s="162" t="s">
        <v>79</v>
      </c>
      <c r="X83" s="165">
        <f>IFERROR(ROUND(Y80/Y81,6),0)</f>
        <v>0</v>
      </c>
      <c r="Y83" s="212">
        <f>ROUND(V83*X83,2)</f>
        <v>0</v>
      </c>
      <c r="Z83" s="72"/>
    </row>
    <row r="84" spans="1:26" ht="21" customHeight="1" x14ac:dyDescent="0.25">
      <c r="A84" s="975" t="s">
        <v>99</v>
      </c>
      <c r="B84" s="975"/>
      <c r="C84" s="52"/>
      <c r="D84" s="52"/>
      <c r="G84" s="112">
        <f>Consolidated!F$106</f>
        <v>58502790</v>
      </c>
      <c r="H84" s="37" t="s">
        <v>79</v>
      </c>
      <c r="I84" s="41">
        <f>IFERROR(ROUND(J81/J82,6),0)</f>
        <v>1.4899999999999999E-4</v>
      </c>
      <c r="J84" s="62">
        <f>ROUND(G84*I84,2)</f>
        <v>8716.92</v>
      </c>
      <c r="K84" s="70"/>
      <c r="L84" s="70"/>
      <c r="M84" s="71"/>
      <c r="N84" s="70"/>
      <c r="O84" s="70"/>
      <c r="P84" s="70"/>
      <c r="Q84" s="70"/>
      <c r="R84" s="1015" t="s">
        <v>165</v>
      </c>
      <c r="S84" s="1015"/>
      <c r="T84" s="1015"/>
      <c r="U84" s="158"/>
      <c r="V84" s="218"/>
      <c r="W84" s="162"/>
      <c r="X84" s="165"/>
      <c r="Y84" s="212"/>
    </row>
    <row r="85" spans="1:26" ht="17.25" customHeight="1" x14ac:dyDescent="0.25">
      <c r="A85" s="1012" t="s">
        <v>100</v>
      </c>
      <c r="B85" s="1012"/>
      <c r="C85" s="1012"/>
      <c r="D85" s="1012"/>
      <c r="E85" s="1012"/>
      <c r="F85" s="36" t="s">
        <v>101</v>
      </c>
      <c r="G85" s="112">
        <f>Consolidated!F$108</f>
        <v>283895192</v>
      </c>
      <c r="H85" s="37" t="s">
        <v>79</v>
      </c>
      <c r="I85" s="41">
        <f>I57</f>
        <v>5.4699999999999996E-4</v>
      </c>
      <c r="J85" s="127">
        <f>ROUND(G85*I85,2)</f>
        <v>155290.67000000001</v>
      </c>
      <c r="K85" s="70"/>
      <c r="L85" s="70"/>
      <c r="M85" s="71"/>
      <c r="N85" s="70"/>
      <c r="O85" s="70"/>
      <c r="P85" s="70"/>
      <c r="Q85" s="70"/>
      <c r="R85" s="1015" t="s">
        <v>166</v>
      </c>
      <c r="S85" s="1015"/>
      <c r="T85" s="1015"/>
      <c r="U85" s="158"/>
      <c r="V85" s="160">
        <f>G85</f>
        <v>283895192</v>
      </c>
      <c r="W85" s="162" t="s">
        <v>79</v>
      </c>
      <c r="X85" s="165">
        <f>X56</f>
        <v>0</v>
      </c>
      <c r="Y85" s="212">
        <f t="shared" ref="Y85:Y87" si="12">ROUND(V85*X85,2)</f>
        <v>0</v>
      </c>
    </row>
    <row r="86" spans="1:26" ht="14.25" customHeight="1" x14ac:dyDescent="0.25">
      <c r="A86" s="1012" t="s">
        <v>102</v>
      </c>
      <c r="B86" s="1012"/>
      <c r="C86" s="1012"/>
      <c r="D86" s="1012"/>
      <c r="E86" s="1012"/>
      <c r="F86" s="36" t="s">
        <v>101</v>
      </c>
      <c r="G86" s="128">
        <v>0</v>
      </c>
      <c r="H86" s="37" t="s">
        <v>79</v>
      </c>
      <c r="I86" s="41">
        <f>I57</f>
        <v>5.4699999999999996E-4</v>
      </c>
      <c r="J86" s="127">
        <f>ROUND(G86*I86,2)</f>
        <v>0</v>
      </c>
      <c r="K86" s="70"/>
      <c r="L86" s="71"/>
      <c r="M86" s="76"/>
      <c r="N86" s="76"/>
      <c r="O86" s="76"/>
      <c r="P86" s="76"/>
      <c r="Q86" s="70"/>
      <c r="R86" s="1015" t="s">
        <v>167</v>
      </c>
      <c r="S86" s="1015"/>
      <c r="T86" s="1015"/>
      <c r="U86" s="158"/>
      <c r="V86" s="192">
        <f>G86</f>
        <v>0</v>
      </c>
      <c r="W86" s="162" t="s">
        <v>79</v>
      </c>
      <c r="X86" s="165">
        <f>X56</f>
        <v>0</v>
      </c>
      <c r="Y86" s="212">
        <f t="shared" si="12"/>
        <v>0</v>
      </c>
    </row>
    <row r="87" spans="1:26" ht="18" customHeight="1" x14ac:dyDescent="0.25">
      <c r="A87" s="1012" t="s">
        <v>103</v>
      </c>
      <c r="B87" s="1012"/>
      <c r="C87" s="1012"/>
      <c r="D87" s="1012"/>
      <c r="E87" s="1012"/>
      <c r="F87" s="36" t="s">
        <v>82</v>
      </c>
      <c r="G87" s="128">
        <v>0</v>
      </c>
      <c r="H87" s="37" t="s">
        <v>79</v>
      </c>
      <c r="I87" s="41">
        <f>I54</f>
        <v>5.8100000000000003E-4</v>
      </c>
      <c r="J87" s="62">
        <f>ROUND(G87*I87,2)</f>
        <v>0</v>
      </c>
      <c r="K87" s="77"/>
      <c r="L87" s="70"/>
      <c r="M87" s="71"/>
      <c r="N87" s="70"/>
      <c r="O87" s="70"/>
      <c r="P87" s="70"/>
      <c r="Q87" s="70"/>
      <c r="R87" s="166" t="s">
        <v>168</v>
      </c>
      <c r="S87" s="166"/>
      <c r="T87" s="166"/>
      <c r="U87" s="158"/>
      <c r="V87" s="192">
        <f>G87</f>
        <v>0</v>
      </c>
      <c r="W87" s="162"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33" t="s">
        <v>108</v>
      </c>
      <c r="B90" s="80">
        <f>I12+I13+I18+I21+I24</f>
        <v>0</v>
      </c>
      <c r="C90" s="80"/>
      <c r="D90" s="981">
        <f>I6</f>
        <v>1.0309999999999999</v>
      </c>
      <c r="E90" s="981"/>
      <c r="F90" s="981"/>
      <c r="G90" s="113">
        <f>Consolidated!F$118</f>
        <v>961.57</v>
      </c>
      <c r="H90" s="47" t="s">
        <v>66</v>
      </c>
      <c r="I90" s="130">
        <f>ROUND(B90*D90*G90,2)</f>
        <v>0</v>
      </c>
      <c r="J90" s="81"/>
      <c r="K90" s="70"/>
      <c r="L90" s="70"/>
      <c r="M90" s="71"/>
      <c r="N90" s="70"/>
      <c r="O90" s="70"/>
      <c r="P90" s="70"/>
      <c r="Q90" s="70"/>
      <c r="R90" s="155" t="s">
        <v>108</v>
      </c>
      <c r="S90" s="193">
        <f>X12+X13+X18+X21+X24</f>
        <v>0</v>
      </c>
      <c r="T90" s="1044">
        <f>X6</f>
        <v>1.0309999999999999</v>
      </c>
      <c r="U90" s="1044"/>
      <c r="V90" s="113">
        <f>G90</f>
        <v>961.57</v>
      </c>
      <c r="W90" s="171" t="s">
        <v>66</v>
      </c>
      <c r="X90" s="216">
        <f>ROUND(S90*T90*V90,2)</f>
        <v>0</v>
      </c>
      <c r="Y90" s="194"/>
    </row>
    <row r="91" spans="1:26" ht="21" customHeight="1" x14ac:dyDescent="0.25">
      <c r="A91" s="82" t="s">
        <v>58</v>
      </c>
      <c r="B91" s="80">
        <f>I14+I15+I19+I22+I25</f>
        <v>0</v>
      </c>
      <c r="C91" s="80"/>
      <c r="D91" s="981">
        <f>I6</f>
        <v>1.0309999999999999</v>
      </c>
      <c r="E91" s="981"/>
      <c r="F91" s="981"/>
      <c r="G91" s="113">
        <f>Consolidated!F$119</f>
        <v>918.1</v>
      </c>
      <c r="H91" s="47" t="s">
        <v>66</v>
      </c>
      <c r="I91" s="129">
        <f>ROUND(B91*D91*G91,2)</f>
        <v>0</v>
      </c>
      <c r="K91" s="70"/>
      <c r="L91" s="70"/>
      <c r="M91" s="71"/>
      <c r="N91" s="70"/>
      <c r="O91" s="70"/>
      <c r="P91" s="70"/>
      <c r="Q91" s="70"/>
      <c r="R91" s="195" t="s">
        <v>58</v>
      </c>
      <c r="S91" s="193">
        <f>X14+X15+X19+X22+X25</f>
        <v>0</v>
      </c>
      <c r="T91" s="1044">
        <f>X6</f>
        <v>1.0309999999999999</v>
      </c>
      <c r="U91" s="1044"/>
      <c r="V91" s="113">
        <f>G91</f>
        <v>918.1</v>
      </c>
      <c r="W91" s="171" t="s">
        <v>66</v>
      </c>
      <c r="X91" s="216">
        <f>ROUND(S91*T91*V91,2)</f>
        <v>0</v>
      </c>
      <c r="Y91" s="159"/>
    </row>
    <row r="92" spans="1:26" ht="19.5" customHeight="1" thickBot="1" x14ac:dyDescent="0.3">
      <c r="A92" s="83" t="s">
        <v>59</v>
      </c>
      <c r="B92" s="80">
        <f>I16+I17+I20+I23+I26+I27</f>
        <v>121.12970000000001</v>
      </c>
      <c r="C92" s="80"/>
      <c r="D92" s="981">
        <f>I6</f>
        <v>1.0309999999999999</v>
      </c>
      <c r="E92" s="981"/>
      <c r="F92" s="981"/>
      <c r="G92" s="113">
        <f>Consolidated!F$120</f>
        <v>920.31</v>
      </c>
      <c r="H92" s="47" t="s">
        <v>66</v>
      </c>
      <c r="I92" s="532">
        <f>ROUND(B92*D92*G92,2)</f>
        <v>114932.66</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84" t="s">
        <v>109</v>
      </c>
      <c r="B93" s="80">
        <f>SUM(B90:B92)</f>
        <v>121.12970000000001</v>
      </c>
      <c r="C93" s="80"/>
      <c r="D93" s="80"/>
      <c r="E93" s="1059" t="s">
        <v>110</v>
      </c>
      <c r="F93" s="1059"/>
      <c r="G93" s="1059"/>
      <c r="H93" s="1059"/>
      <c r="I93" s="1059"/>
      <c r="J93" s="116">
        <f>IF(A1=75,0,I92+I91+I90)</f>
        <v>114932.66</v>
      </c>
      <c r="K93" s="70"/>
      <c r="L93" s="70"/>
      <c r="M93" s="71"/>
      <c r="N93" s="70"/>
      <c r="O93" s="70"/>
      <c r="P93" s="70"/>
      <c r="Q93" s="70"/>
      <c r="R93" s="198"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36" t="s">
        <v>113</v>
      </c>
      <c r="G95" s="1061"/>
      <c r="H95" s="1061"/>
      <c r="I95" s="1061"/>
      <c r="J95" s="1061"/>
      <c r="K95" s="70"/>
      <c r="L95" s="70"/>
      <c r="M95" s="71"/>
      <c r="N95" s="70"/>
      <c r="O95" s="70"/>
      <c r="P95" s="70"/>
      <c r="Q95" s="70"/>
      <c r="R95" s="1015" t="s">
        <v>171</v>
      </c>
      <c r="S95" s="1015"/>
      <c r="T95" s="1015"/>
      <c r="U95" s="158"/>
      <c r="V95" s="1048"/>
      <c r="W95" s="1048"/>
      <c r="X95" s="1048"/>
      <c r="Y95" s="1048"/>
    </row>
    <row r="96" spans="1:26" ht="15" customHeight="1" x14ac:dyDescent="0.25">
      <c r="B96" s="42"/>
      <c r="C96" s="114" t="s">
        <v>591</v>
      </c>
      <c r="D96" s="114" t="s">
        <v>592</v>
      </c>
      <c r="E96" s="984" t="s">
        <v>155</v>
      </c>
      <c r="F96" s="984"/>
      <c r="G96" s="984"/>
      <c r="H96" s="36"/>
      <c r="I96" s="36"/>
      <c r="J96" s="36"/>
      <c r="K96" s="70"/>
      <c r="L96" s="70"/>
      <c r="M96" s="71"/>
      <c r="N96" s="70"/>
      <c r="O96" s="70"/>
      <c r="P96" s="70"/>
      <c r="Q96" s="70"/>
      <c r="R96" s="1049" t="s">
        <v>114</v>
      </c>
      <c r="S96" s="1049"/>
      <c r="T96" s="1050">
        <f>IF(I111=1,E97,0)</f>
        <v>0</v>
      </c>
      <c r="U96" s="1050"/>
      <c r="V96" s="1050"/>
      <c r="W96" s="200" t="s">
        <v>115</v>
      </c>
      <c r="X96" s="201">
        <f>I97</f>
        <v>583</v>
      </c>
      <c r="Y96" s="212">
        <f>ROUND(X96*T96,2)</f>
        <v>0</v>
      </c>
    </row>
    <row r="97" spans="1:25" ht="17.25" customHeight="1" x14ac:dyDescent="0.25">
      <c r="A97" s="1030" t="s">
        <v>114</v>
      </c>
      <c r="B97" s="1030"/>
      <c r="C97" s="755">
        <v>0</v>
      </c>
      <c r="D97" s="755">
        <v>1</v>
      </c>
      <c r="E97" s="1103">
        <f>IF(D97&gt;0,(C97+D97)/2,C97)</f>
        <v>0.5</v>
      </c>
      <c r="F97" s="982"/>
      <c r="G97" s="982"/>
      <c r="H97" s="85" t="s">
        <v>115</v>
      </c>
      <c r="I97" s="119">
        <f>Consolidated!G$127</f>
        <v>583</v>
      </c>
      <c r="J97" s="127">
        <f>ROUND(I97*E97,2)</f>
        <v>291.5</v>
      </c>
      <c r="K97" s="70"/>
      <c r="L97" s="70"/>
      <c r="M97" s="71"/>
      <c r="N97" s="70"/>
      <c r="O97" s="70"/>
      <c r="P97" s="70"/>
      <c r="Q97" s="70"/>
      <c r="R97" s="1049" t="s">
        <v>116</v>
      </c>
      <c r="S97" s="1049"/>
      <c r="T97" s="1050">
        <f>IF(I112=1,E98,0)</f>
        <v>0</v>
      </c>
      <c r="U97" s="1050"/>
      <c r="V97" s="1050"/>
      <c r="W97" s="200" t="s">
        <v>115</v>
      </c>
      <c r="X97" s="201">
        <f>I98</f>
        <v>1806</v>
      </c>
      <c r="Y97" s="212">
        <f>ROUND(X97*T97,2)</f>
        <v>0</v>
      </c>
    </row>
    <row r="98" spans="1:25" ht="17.25" customHeight="1" x14ac:dyDescent="0.25">
      <c r="A98" s="1030" t="s">
        <v>116</v>
      </c>
      <c r="B98" s="1030"/>
      <c r="C98" s="223">
        <v>0</v>
      </c>
      <c r="D98" s="223">
        <v>0</v>
      </c>
      <c r="E98" s="1109">
        <f>(C98+D98)/2</f>
        <v>0</v>
      </c>
      <c r="F98" s="1109"/>
      <c r="G98" s="1109"/>
      <c r="H98" s="85" t="s">
        <v>115</v>
      </c>
      <c r="I98" s="119">
        <f>Consolidated!G$128</f>
        <v>1806</v>
      </c>
      <c r="J98" s="62">
        <f>ROUND(I98*E98,2)</f>
        <v>0</v>
      </c>
      <c r="K98" s="70"/>
      <c r="L98" s="70"/>
      <c r="M98" s="71"/>
      <c r="N98" s="70"/>
      <c r="O98" s="70"/>
      <c r="P98" s="70"/>
      <c r="Q98" s="70"/>
      <c r="R98" s="210"/>
      <c r="S98" s="210"/>
      <c r="T98" s="219"/>
      <c r="U98" s="219"/>
      <c r="V98" s="219"/>
      <c r="W98" s="200"/>
      <c r="X98" s="201"/>
      <c r="Y98" s="215"/>
    </row>
    <row r="99" spans="1:25" ht="27.75" customHeight="1" x14ac:dyDescent="0.25">
      <c r="A99" s="33"/>
      <c r="B99" s="33"/>
      <c r="C99" s="106"/>
      <c r="D99" s="106"/>
      <c r="E99" s="115"/>
      <c r="F99" s="115"/>
      <c r="G99" s="115"/>
      <c r="H99" s="85"/>
      <c r="I99" s="86"/>
      <c r="J99" s="30"/>
      <c r="K99" s="70"/>
      <c r="L99" s="70"/>
      <c r="M99" s="71"/>
      <c r="N99" s="70"/>
      <c r="O99" s="70"/>
      <c r="P99" s="70"/>
      <c r="Q99" s="70"/>
      <c r="R99" s="210"/>
      <c r="S99" s="210"/>
      <c r="T99" s="219"/>
      <c r="U99" s="219"/>
      <c r="V99" s="219"/>
      <c r="W99" s="200"/>
      <c r="X99" s="201"/>
      <c r="Y99" s="215"/>
    </row>
    <row r="100" spans="1:25" ht="14.25" customHeight="1" x14ac:dyDescent="0.25">
      <c r="A100" s="1012" t="s">
        <v>117</v>
      </c>
      <c r="B100" s="1012"/>
      <c r="C100" s="1012"/>
      <c r="D100" s="1012"/>
      <c r="E100" s="1012"/>
      <c r="F100" s="37" t="s">
        <v>118</v>
      </c>
      <c r="G100" s="980"/>
      <c r="H100" s="980"/>
      <c r="I100" s="980"/>
      <c r="J100" s="980"/>
      <c r="K100" s="70"/>
      <c r="L100" s="70"/>
      <c r="M100" s="71"/>
      <c r="N100" s="70"/>
      <c r="O100" s="70"/>
      <c r="P100" s="70"/>
      <c r="Q100" s="70"/>
      <c r="R100" s="1015" t="s">
        <v>172</v>
      </c>
      <c r="S100" s="1015"/>
      <c r="T100" s="1015"/>
      <c r="U100" s="162"/>
      <c r="V100" s="988"/>
      <c r="W100" s="988"/>
      <c r="X100" s="988"/>
      <c r="Y100" s="988"/>
    </row>
    <row r="101" spans="1:25" ht="44.25" customHeight="1" x14ac:dyDescent="0.25">
      <c r="A101" s="1068" t="s">
        <v>119</v>
      </c>
      <c r="B101" s="1068"/>
      <c r="C101" s="87"/>
      <c r="D101" s="982" t="s">
        <v>120</v>
      </c>
      <c r="E101" s="982"/>
      <c r="F101" s="982"/>
      <c r="G101" s="1069" t="s">
        <v>121</v>
      </c>
      <c r="H101" s="1069"/>
      <c r="I101" s="45" t="s">
        <v>122</v>
      </c>
      <c r="J101" s="87" t="s">
        <v>123</v>
      </c>
      <c r="K101" s="70"/>
      <c r="L101" s="70"/>
      <c r="M101" s="70"/>
      <c r="N101" s="70"/>
      <c r="O101" s="70"/>
      <c r="P101" s="70"/>
      <c r="Q101" s="70"/>
      <c r="R101" s="1056" t="s">
        <v>119</v>
      </c>
      <c r="S101" s="1056"/>
      <c r="T101" s="1057" t="s">
        <v>120</v>
      </c>
      <c r="U101" s="1057"/>
      <c r="V101" s="1058" t="s">
        <v>121</v>
      </c>
      <c r="W101" s="1058"/>
      <c r="X101" s="169" t="s">
        <v>122</v>
      </c>
      <c r="Y101" s="202" t="s">
        <v>123</v>
      </c>
    </row>
    <row r="102" spans="1:25" ht="16.5" customHeight="1" x14ac:dyDescent="0.25">
      <c r="A102" s="975" t="s">
        <v>124</v>
      </c>
      <c r="B102" s="975"/>
      <c r="C102" s="52"/>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52"/>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103"/>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37"/>
      <c r="D105" s="3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92" t="s">
        <v>128</v>
      </c>
      <c r="G106" s="1034"/>
      <c r="H106" s="1034"/>
      <c r="I106" s="1034"/>
      <c r="J106" s="93"/>
      <c r="K106" s="94"/>
      <c r="L106" s="94"/>
      <c r="M106" s="94"/>
      <c r="N106" s="94"/>
      <c r="O106" s="94"/>
      <c r="P106" s="94"/>
      <c r="Q106" s="94"/>
      <c r="R106" s="1015" t="s">
        <v>173</v>
      </c>
      <c r="S106" s="1015"/>
      <c r="T106" s="1015"/>
      <c r="U106" s="207"/>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1018271.36</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962382.54999999993</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539"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v>0</v>
      </c>
      <c r="J111" s="126">
        <f>Y109</f>
        <v>0</v>
      </c>
      <c r="R111" s="1071" t="s">
        <v>175</v>
      </c>
      <c r="S111" s="1071"/>
      <c r="T111" s="1071"/>
      <c r="U111" s="1071"/>
      <c r="V111" s="1071"/>
      <c r="W111" s="1071"/>
      <c r="X111" s="1071"/>
      <c r="Y111" s="1071"/>
    </row>
    <row r="112" spans="1:25" ht="15.75" customHeight="1" x14ac:dyDescent="0.25">
      <c r="A112" s="51"/>
      <c r="B112" s="51"/>
      <c r="C112" s="51"/>
      <c r="D112" s="51"/>
      <c r="E112" s="51"/>
      <c r="F112" s="51"/>
      <c r="G112" s="51"/>
      <c r="H112" s="51"/>
      <c r="I112" s="90"/>
      <c r="J112" s="72"/>
      <c r="R112" s="1072" t="s">
        <v>176</v>
      </c>
      <c r="S112" s="1072"/>
      <c r="T112" s="1072"/>
      <c r="U112" s="1072"/>
      <c r="V112" s="1072"/>
      <c r="W112" s="1072"/>
      <c r="X112" s="1072"/>
      <c r="Y112" s="1072"/>
    </row>
    <row r="113" spans="1:26" ht="16.5" customHeight="1" x14ac:dyDescent="0.25">
      <c r="A113" s="51"/>
      <c r="B113" s="51"/>
      <c r="C113" s="51"/>
      <c r="D113" s="51"/>
      <c r="E113" s="51"/>
      <c r="F113" s="51"/>
      <c r="G113" s="51"/>
      <c r="H113" s="232"/>
      <c r="I113" s="51"/>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962382.54999999993</v>
      </c>
      <c r="J114" s="234">
        <f>ROUND(IF(E28=0,0,IF(E28&gt;250,-(((250/E28)*I114)*IF(H113="H",0.02,0.05)),IF(H113="H",-0.02*I114,-0.05*I114))),2)</f>
        <v>-48119.13</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970152.23</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Payments'!R123</f>
        <v>-165924.38</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f>
        <v>804227.85</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80422.789999999994</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98" t="s">
        <v>144</v>
      </c>
      <c r="B138" s="98"/>
      <c r="C138" s="98"/>
      <c r="D138" s="98"/>
      <c r="E138" s="98"/>
      <c r="F138" s="98"/>
      <c r="G138" s="98"/>
      <c r="H138" s="98"/>
      <c r="I138" s="98"/>
      <c r="J138" s="9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9666-6636-4621-ACE0-E7DEC34887ED}">
  <sheetPr>
    <tabColor theme="0" tint="-0.34998626667073579"/>
  </sheetPr>
  <dimension ref="A1:Z207"/>
  <sheetViews>
    <sheetView topLeftCell="A44" workbookViewId="0">
      <selection activeCell="I54" sqref="I54:J54"/>
    </sheetView>
  </sheetViews>
  <sheetFormatPr defaultRowHeight="15.75" x14ac:dyDescent="0.25"/>
  <cols>
    <col min="1" max="1" width="13" style="729"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1088" t="s">
        <v>0</v>
      </c>
      <c r="C1" s="1089"/>
      <c r="D1" s="1089"/>
      <c r="E1" s="1089"/>
      <c r="F1" s="1089"/>
      <c r="G1" s="1089"/>
      <c r="H1" s="1089"/>
      <c r="I1" s="1089"/>
      <c r="J1" s="1089"/>
      <c r="L1" s="3"/>
      <c r="M1" s="2"/>
      <c r="Q1" s="4"/>
      <c r="R1" s="131">
        <v>50</v>
      </c>
      <c r="S1" s="985" t="s">
        <v>0</v>
      </c>
      <c r="T1" s="986"/>
      <c r="U1" s="986"/>
      <c r="V1" s="986"/>
      <c r="W1" s="986"/>
      <c r="X1" s="986"/>
      <c r="Y1" s="986"/>
    </row>
    <row r="2" spans="1:25" ht="21.75" customHeight="1" x14ac:dyDescent="0.3">
      <c r="A2" s="695" t="s">
        <v>605</v>
      </c>
      <c r="B2" s="101"/>
      <c r="C2" s="101"/>
      <c r="D2" s="101"/>
      <c r="E2" s="6"/>
      <c r="F2" s="6"/>
      <c r="G2" s="6"/>
      <c r="H2" s="6"/>
      <c r="I2" s="685" t="str">
        <f>RIGHT(A2,4)</f>
        <v>4141</v>
      </c>
      <c r="J2" s="6"/>
      <c r="K2" s="6"/>
      <c r="L2" s="6"/>
      <c r="M2" s="6"/>
      <c r="N2" s="6"/>
      <c r="O2" s="6"/>
      <c r="P2" s="6"/>
      <c r="Q2" s="6"/>
      <c r="R2" s="987" t="str">
        <f>Revenue_Estimate_Worksheet_for___________Charter_School</f>
        <v>Revenue Estimate Worksheet: Next Academy - 4141</v>
      </c>
      <c r="S2" s="987"/>
      <c r="T2" s="987"/>
      <c r="U2" s="987"/>
      <c r="V2" s="987"/>
      <c r="W2" s="987"/>
      <c r="X2" s="987"/>
      <c r="Y2" s="987"/>
    </row>
    <row r="3" spans="1:25" ht="18.75" x14ac:dyDescent="0.3">
      <c r="A3" s="940" t="s">
        <v>594</v>
      </c>
      <c r="B3" s="940"/>
      <c r="C3" s="940"/>
      <c r="D3" s="940"/>
      <c r="E3" s="940"/>
      <c r="F3" s="940"/>
      <c r="G3" s="940"/>
      <c r="H3" s="940"/>
      <c r="I3" s="940"/>
      <c r="J3" s="940"/>
      <c r="K3" s="7"/>
      <c r="L3" s="7"/>
      <c r="M3" s="7"/>
      <c r="N3" s="7"/>
      <c r="O3" s="7"/>
      <c r="P3" s="7"/>
      <c r="Q3" s="7"/>
      <c r="R3" s="988" t="s">
        <v>1</v>
      </c>
      <c r="S3" s="988"/>
      <c r="T3" s="988"/>
      <c r="U3" s="988"/>
      <c r="V3" s="988"/>
      <c r="W3" s="988"/>
      <c r="X3" s="988"/>
      <c r="Y3" s="988"/>
    </row>
    <row r="4" spans="1:25" ht="18.75" customHeight="1" x14ac:dyDescent="0.25">
      <c r="A4" s="1090" t="s">
        <v>2</v>
      </c>
      <c r="B4" s="1090"/>
      <c r="C4" s="751"/>
      <c r="D4" s="211" t="s">
        <v>177</v>
      </c>
      <c r="E4" s="211"/>
      <c r="H4" s="225">
        <f>Consolidated!H4</f>
        <v>46266</v>
      </c>
      <c r="I4" s="226"/>
      <c r="J4" s="8"/>
      <c r="K4" s="4"/>
      <c r="L4" s="4"/>
      <c r="M4" s="4"/>
      <c r="N4" s="4"/>
      <c r="O4" s="4"/>
      <c r="P4" s="4"/>
      <c r="Q4" s="4"/>
      <c r="R4" s="989" t="s">
        <v>2</v>
      </c>
      <c r="S4" s="989"/>
      <c r="T4" s="990" t="s">
        <v>177</v>
      </c>
      <c r="U4" s="990"/>
      <c r="V4" s="132"/>
      <c r="W4" s="132"/>
      <c r="X4" s="132"/>
      <c r="Y4" s="132"/>
    </row>
    <row r="5" spans="1:25" ht="21" customHeight="1" x14ac:dyDescent="0.25">
      <c r="A5" s="1091" t="s">
        <v>3</v>
      </c>
      <c r="B5" s="1091"/>
      <c r="C5" s="1091"/>
      <c r="D5" s="1091"/>
      <c r="E5" s="1091"/>
      <c r="F5" s="1091"/>
      <c r="G5" s="1091"/>
      <c r="H5" s="1091"/>
      <c r="I5" s="1091"/>
      <c r="J5" s="1091"/>
      <c r="K5" s="4"/>
      <c r="L5" s="4"/>
      <c r="M5" s="4"/>
      <c r="N5" s="4"/>
      <c r="O5" s="4"/>
      <c r="P5" s="4"/>
      <c r="Q5" s="4"/>
      <c r="R5" s="991" t="s">
        <v>3</v>
      </c>
      <c r="S5" s="991"/>
      <c r="T5" s="991"/>
      <c r="U5" s="991"/>
      <c r="V5" s="991"/>
      <c r="W5" s="991"/>
      <c r="X5" s="991"/>
      <c r="Y5" s="991"/>
    </row>
    <row r="6" spans="1:25" ht="18" customHeight="1" x14ac:dyDescent="0.25">
      <c r="A6" s="1097" t="s">
        <v>4</v>
      </c>
      <c r="B6" s="1097"/>
      <c r="C6" s="752"/>
      <c r="D6" s="752"/>
      <c r="E6" s="1098">
        <f>Consolidated!$C$8</f>
        <v>5457.6</v>
      </c>
      <c r="F6" s="1098"/>
      <c r="G6" s="1099" t="s">
        <v>5</v>
      </c>
      <c r="H6" s="1099"/>
      <c r="I6" s="227">
        <f>Consolidated!$H$8</f>
        <v>1.0309999999999999</v>
      </c>
      <c r="J6" s="102"/>
      <c r="L6" s="56"/>
      <c r="M6" s="2"/>
      <c r="R6" s="992" t="s">
        <v>4</v>
      </c>
      <c r="S6" s="992"/>
      <c r="T6" s="993">
        <f>E6</f>
        <v>5457.6</v>
      </c>
      <c r="U6" s="993"/>
      <c r="V6" s="994" t="s">
        <v>5</v>
      </c>
      <c r="W6" s="994"/>
      <c r="X6" s="995">
        <f>I6</f>
        <v>1.0309999999999999</v>
      </c>
      <c r="Y6" s="995"/>
    </row>
    <row r="7" spans="1:25" ht="18" customHeight="1" x14ac:dyDescent="0.25">
      <c r="A7" s="752"/>
      <c r="B7" s="752"/>
      <c r="C7" s="752"/>
      <c r="D7" s="752"/>
      <c r="E7" s="10"/>
      <c r="F7" s="10"/>
      <c r="G7" s="753" t="s">
        <v>6</v>
      </c>
      <c r="H7" s="753"/>
      <c r="I7" s="227">
        <f>Consolidated!$H$9</f>
        <v>1</v>
      </c>
      <c r="J7" s="12"/>
      <c r="M7" s="2"/>
      <c r="R7" s="722"/>
      <c r="S7" s="722"/>
      <c r="T7" s="723"/>
      <c r="U7" s="723"/>
      <c r="V7" s="724" t="s">
        <v>6</v>
      </c>
      <c r="W7" s="724"/>
      <c r="X7" s="725">
        <v>1</v>
      </c>
      <c r="Y7" s="725"/>
    </row>
    <row r="8" spans="1:25" ht="18" customHeight="1" x14ac:dyDescent="0.25">
      <c r="A8" s="752"/>
      <c r="B8" s="752"/>
      <c r="C8" s="752"/>
      <c r="D8" s="752"/>
      <c r="E8" s="13"/>
      <c r="F8" s="13"/>
      <c r="G8" s="14"/>
      <c r="H8" s="14"/>
      <c r="I8" s="15"/>
      <c r="J8" s="16" t="s">
        <v>7</v>
      </c>
      <c r="M8" s="2"/>
      <c r="R8" s="722"/>
      <c r="S8" s="722"/>
      <c r="T8" s="137"/>
      <c r="U8" s="137"/>
      <c r="V8" s="138"/>
      <c r="W8" s="138"/>
      <c r="X8" s="139"/>
      <c r="Y8" s="140" t="s">
        <v>7</v>
      </c>
    </row>
    <row r="9" spans="1:25" ht="15.75" customHeight="1" x14ac:dyDescent="0.25">
      <c r="A9" s="752"/>
      <c r="B9" s="752"/>
      <c r="C9" s="107" t="str">
        <f>Consolidated!C$11</f>
        <v>Oct 2025</v>
      </c>
      <c r="D9" s="108" t="str">
        <f>Consolidated!D$11</f>
        <v>Feb 2026</v>
      </c>
      <c r="E9" s="13"/>
      <c r="F9" s="13"/>
      <c r="G9" s="1100" t="s">
        <v>8</v>
      </c>
      <c r="H9" s="1100"/>
      <c r="I9" s="15" t="s">
        <v>9</v>
      </c>
      <c r="J9" s="16" t="s">
        <v>10</v>
      </c>
      <c r="M9" s="2"/>
      <c r="R9" s="722"/>
      <c r="S9" s="722"/>
      <c r="T9" s="137"/>
      <c r="U9" s="137"/>
      <c r="V9" s="996" t="s">
        <v>8</v>
      </c>
      <c r="W9" s="996"/>
      <c r="X9" s="139" t="s">
        <v>9</v>
      </c>
      <c r="Y9" s="140" t="s">
        <v>10</v>
      </c>
    </row>
    <row r="10" spans="1:25" ht="15.75" customHeight="1" x14ac:dyDescent="0.25">
      <c r="A10" s="972" t="s">
        <v>8</v>
      </c>
      <c r="B10" s="972"/>
      <c r="C10" s="109" t="s">
        <v>52</v>
      </c>
      <c r="D10" s="109" t="s">
        <v>52</v>
      </c>
      <c r="E10" s="1101" t="s">
        <v>154</v>
      </c>
      <c r="F10" s="1101"/>
      <c r="G10" s="1102" t="s">
        <v>12</v>
      </c>
      <c r="H10" s="1102"/>
      <c r="I10" s="17" t="s">
        <v>13</v>
      </c>
      <c r="J10" s="18" t="s">
        <v>14</v>
      </c>
      <c r="M10" s="2"/>
      <c r="R10" s="997" t="s">
        <v>8</v>
      </c>
      <c r="S10" s="997"/>
      <c r="T10" s="998" t="s">
        <v>11</v>
      </c>
      <c r="U10" s="998"/>
      <c r="V10" s="999" t="s">
        <v>12</v>
      </c>
      <c r="W10" s="999"/>
      <c r="X10" s="141" t="s">
        <v>13</v>
      </c>
      <c r="Y10" s="142" t="s">
        <v>14</v>
      </c>
    </row>
    <row r="11" spans="1:25" ht="14.25" customHeight="1" x14ac:dyDescent="0.25">
      <c r="A11" s="1092" t="s">
        <v>15</v>
      </c>
      <c r="B11" s="1092"/>
      <c r="C11" s="110"/>
      <c r="D11" s="110"/>
      <c r="E11" s="1093" t="s">
        <v>16</v>
      </c>
      <c r="F11" s="1093"/>
      <c r="G11" s="1094" t="s">
        <v>17</v>
      </c>
      <c r="H11" s="1094"/>
      <c r="I11" s="19" t="s">
        <v>18</v>
      </c>
      <c r="J11" s="20" t="s">
        <v>19</v>
      </c>
      <c r="L11" s="21"/>
      <c r="M11" s="2"/>
      <c r="R11" s="1000" t="s">
        <v>15</v>
      </c>
      <c r="S11" s="1000"/>
      <c r="T11" s="1001" t="s">
        <v>16</v>
      </c>
      <c r="U11" s="1001"/>
      <c r="V11" s="1002" t="s">
        <v>17</v>
      </c>
      <c r="W11" s="1002"/>
      <c r="X11" s="143" t="s">
        <v>18</v>
      </c>
      <c r="Y11" s="144" t="s">
        <v>19</v>
      </c>
    </row>
    <row r="12" spans="1:25" x14ac:dyDescent="0.25">
      <c r="A12" s="1095" t="s">
        <v>20</v>
      </c>
      <c r="B12" s="1095"/>
      <c r="C12" s="389">
        <f>SUMIFS('Surv2-3'!D:D,'Surv2-3'!$A:$A,$I$2,'Surv2-3'!$B:$B,$O12)</f>
        <v>0</v>
      </c>
      <c r="D12" s="389">
        <f>SUMIFS('Surv2-3'!K:K,'Surv2-3'!$H:$H,$I$2,'Surv2-3'!$I:$I,$O12)</f>
        <v>0</v>
      </c>
      <c r="E12" s="1081">
        <f t="shared" ref="E12:E27" si="0">IF($D$28=0,C12*2,C12+D12)</f>
        <v>0</v>
      </c>
      <c r="F12" s="1081"/>
      <c r="G12" s="1096">
        <f>Consolidated!$F14</f>
        <v>1.107</v>
      </c>
      <c r="H12" s="1096">
        <f>Consolidated!$H$9</f>
        <v>1</v>
      </c>
      <c r="I12" s="534">
        <f>ROUND(E12*G12,4)</f>
        <v>0</v>
      </c>
      <c r="J12" s="535">
        <f t="shared" ref="J12:J27" si="1">ROUND(ROUND(ROUND(I12*$E$6,4)*($I$6),2)*(MAX($I$7,1)),2)</f>
        <v>0</v>
      </c>
      <c r="L12" s="21"/>
      <c r="M12" s="2"/>
      <c r="O12" s="2" t="str">
        <f t="shared" ref="O12:O27" si="2">LEFT(R12,3)</f>
        <v>101</v>
      </c>
      <c r="R12" s="1003" t="s">
        <v>20</v>
      </c>
      <c r="S12" s="1003"/>
      <c r="T12" s="1004">
        <f>IF($I$111=1,E12,0)</f>
        <v>0</v>
      </c>
      <c r="U12" s="1004"/>
      <c r="V12" s="1005">
        <v>1</v>
      </c>
      <c r="W12" s="1005"/>
      <c r="X12" s="145">
        <f>ROUND(T12*V12,4)</f>
        <v>0</v>
      </c>
      <c r="Y12" s="212">
        <f>ROUND(ROUND(ROUND(X12*$E$6,4)*($I$6),2)*(MAX($I$7,1)),2)</f>
        <v>0</v>
      </c>
    </row>
    <row r="13" spans="1:25" x14ac:dyDescent="0.25">
      <c r="A13" s="975" t="s">
        <v>21</v>
      </c>
      <c r="B13" s="975"/>
      <c r="C13" s="389">
        <f>SUMIFS('Surv2-3'!D:D,'Surv2-3'!$A:$A,$I$2,'Surv2-3'!$B:$B,$O13)</f>
        <v>0</v>
      </c>
      <c r="D13" s="389">
        <f>SUMIFS('Surv2-3'!K:K,'Surv2-3'!$H:$H,$I$2,'Surv2-3'!$I:$I,$O13)</f>
        <v>0</v>
      </c>
      <c r="E13" s="1080">
        <f t="shared" si="0"/>
        <v>0</v>
      </c>
      <c r="F13" s="1080"/>
      <c r="G13" s="1086">
        <f>Consolidated!$F15</f>
        <v>1.107</v>
      </c>
      <c r="H13" s="1086">
        <f>Consolidated!$H$9</f>
        <v>1</v>
      </c>
      <c r="I13" s="534">
        <f t="shared" ref="I13:I27" si="3">ROUND(E13*G13,4)</f>
        <v>0</v>
      </c>
      <c r="J13" s="535">
        <f t="shared" si="1"/>
        <v>0</v>
      </c>
      <c r="L13" s="21"/>
      <c r="M13" s="2"/>
      <c r="O13" s="2" t="str">
        <f t="shared" si="2"/>
        <v>111</v>
      </c>
      <c r="R13" s="1006" t="s">
        <v>21</v>
      </c>
      <c r="S13" s="1006"/>
      <c r="T13" s="1004">
        <f t="shared" ref="T13:T27" si="4">IF($I$111=1,E13,0)</f>
        <v>0</v>
      </c>
      <c r="U13" s="1004"/>
      <c r="V13" s="1010">
        <v>1</v>
      </c>
      <c r="W13" s="1010"/>
      <c r="X13" s="145">
        <f t="shared" ref="X13:X27" si="5">ROUND(T13*V13,4)</f>
        <v>0</v>
      </c>
      <c r="Y13" s="212">
        <f t="shared" ref="Y13" si="6">ROUND(ROUND(ROUND(X13*$E$6,4)*($I$6),2)*(MAX($I$7,1)),2)</f>
        <v>0</v>
      </c>
    </row>
    <row r="14" spans="1:25" x14ac:dyDescent="0.25">
      <c r="A14" s="975" t="s">
        <v>22</v>
      </c>
      <c r="B14" s="975"/>
      <c r="C14" s="389">
        <f>SUMIFS('Surv2-3'!E:E,'Surv2-3'!$A:$A,$I$2,'Surv2-3'!$B:$B,$O14)</f>
        <v>0</v>
      </c>
      <c r="D14" s="389">
        <f>SUMIFS('Surv2-3'!L:L,'Surv2-3'!$H:$H,$I$2,'Surv2-3'!$I:$I,$O14)</f>
        <v>0</v>
      </c>
      <c r="E14" s="1080">
        <f t="shared" si="0"/>
        <v>0</v>
      </c>
      <c r="F14" s="1080"/>
      <c r="G14" s="1086">
        <f>Consolidated!$F16</f>
        <v>1</v>
      </c>
      <c r="H14" s="1086">
        <f>Consolidated!$H$9</f>
        <v>1</v>
      </c>
      <c r="I14" s="534">
        <f t="shared" si="3"/>
        <v>0</v>
      </c>
      <c r="J14" s="535">
        <f>ROUND(ROUND(ROUND(I14*$E$6,4)*($I$6),2)*(MAX($I$7,1)),2)</f>
        <v>0</v>
      </c>
      <c r="L14" s="21"/>
      <c r="M14" s="2"/>
      <c r="O14" s="2" t="str">
        <f t="shared" si="2"/>
        <v>102</v>
      </c>
      <c r="R14" s="1006" t="s">
        <v>22</v>
      </c>
      <c r="S14" s="1006"/>
      <c r="T14" s="1004">
        <f t="shared" si="4"/>
        <v>0</v>
      </c>
      <c r="U14" s="1004"/>
      <c r="V14" s="1010">
        <v>1</v>
      </c>
      <c r="W14" s="1010"/>
      <c r="X14" s="145">
        <f t="shared" si="5"/>
        <v>0</v>
      </c>
      <c r="Y14" s="212">
        <f>ROUND(ROUND(ROUND(X14*$E$6,4)*($I$6),2)*(MAX($I$7,1)),2)</f>
        <v>0</v>
      </c>
    </row>
    <row r="15" spans="1:25" x14ac:dyDescent="0.25">
      <c r="A15" s="975" t="s">
        <v>23</v>
      </c>
      <c r="B15" s="975"/>
      <c r="C15" s="389">
        <f>SUMIFS('Surv2-3'!E:E,'Surv2-3'!$A:$A,$I$2,'Surv2-3'!$B:$B,$O15)</f>
        <v>0</v>
      </c>
      <c r="D15" s="389">
        <f>SUMIFS('Surv2-3'!L:L,'Surv2-3'!$H:$H,$I$2,'Surv2-3'!$I:$I,$O15)</f>
        <v>0</v>
      </c>
      <c r="E15" s="1080">
        <f t="shared" si="0"/>
        <v>0</v>
      </c>
      <c r="F15" s="1080"/>
      <c r="G15" s="1086">
        <f>Consolidated!$F17</f>
        <v>1</v>
      </c>
      <c r="H15" s="1086">
        <f>Consolidated!$H$9</f>
        <v>1</v>
      </c>
      <c r="I15" s="534">
        <f t="shared" si="3"/>
        <v>0</v>
      </c>
      <c r="J15" s="535">
        <f t="shared" si="1"/>
        <v>0</v>
      </c>
      <c r="M15" s="2"/>
      <c r="O15" s="2" t="str">
        <f t="shared" si="2"/>
        <v>112</v>
      </c>
      <c r="R15" s="1006" t="s">
        <v>23</v>
      </c>
      <c r="S15" s="1006"/>
      <c r="T15" s="1004">
        <f t="shared" si="4"/>
        <v>0</v>
      </c>
      <c r="U15" s="1004"/>
      <c r="V15" s="1010">
        <v>1</v>
      </c>
      <c r="W15" s="1010"/>
      <c r="X15" s="145">
        <f t="shared" si="5"/>
        <v>0</v>
      </c>
      <c r="Y15" s="212">
        <f t="shared" ref="Y15:Y27" si="7">ROUND(ROUND(ROUND(X15*$E$6,4)*($I$6),2)*(MAX($I$7,1)),2)</f>
        <v>0</v>
      </c>
    </row>
    <row r="16" spans="1:25" x14ac:dyDescent="0.25">
      <c r="A16" s="975" t="s">
        <v>24</v>
      </c>
      <c r="B16" s="975"/>
      <c r="C16" s="389">
        <f>SUMIFS('Surv2-3'!F:F,'Surv2-3'!$A:$A,$I$2,'Surv2-3'!$B:$B,$O16)</f>
        <v>0</v>
      </c>
      <c r="D16" s="389">
        <f>SUMIFS('Surv2-3'!M:M,'Surv2-3'!$H:$H,$I$2,'Surv2-3'!$I:$I,$O16)</f>
        <v>0</v>
      </c>
      <c r="E16" s="1080">
        <f t="shared" si="0"/>
        <v>0</v>
      </c>
      <c r="F16" s="1080"/>
      <c r="G16" s="1086">
        <f>Consolidated!$F18</f>
        <v>0.96499999999999997</v>
      </c>
      <c r="H16" s="1086">
        <f>Consolidated!$H$9</f>
        <v>1</v>
      </c>
      <c r="I16" s="534">
        <f t="shared" si="3"/>
        <v>0</v>
      </c>
      <c r="J16" s="535">
        <f t="shared" si="1"/>
        <v>0</v>
      </c>
      <c r="M16" s="2"/>
      <c r="O16" s="2" t="str">
        <f t="shared" si="2"/>
        <v>103</v>
      </c>
      <c r="R16" s="1006" t="s">
        <v>24</v>
      </c>
      <c r="S16" s="1006"/>
      <c r="T16" s="1004">
        <f t="shared" si="4"/>
        <v>0</v>
      </c>
      <c r="U16" s="1004"/>
      <c r="V16" s="1010">
        <v>1</v>
      </c>
      <c r="W16" s="1010"/>
      <c r="X16" s="145">
        <f t="shared" si="5"/>
        <v>0</v>
      </c>
      <c r="Y16" s="212">
        <f t="shared" si="7"/>
        <v>0</v>
      </c>
    </row>
    <row r="17" spans="1:25" x14ac:dyDescent="0.25">
      <c r="A17" s="975" t="s">
        <v>25</v>
      </c>
      <c r="B17" s="975"/>
      <c r="C17" s="389">
        <f>SUMIFS('Surv2-3'!F:F,'Surv2-3'!$A:$A,$I$2,'Surv2-3'!$B:$B,$O17)</f>
        <v>0</v>
      </c>
      <c r="D17" s="389">
        <f>SUMIFS('Surv2-3'!M:M,'Surv2-3'!$H:$H,$I$2,'Surv2-3'!$I:$I,$O17)</f>
        <v>0</v>
      </c>
      <c r="E17" s="1080">
        <f t="shared" si="0"/>
        <v>0</v>
      </c>
      <c r="F17" s="1080"/>
      <c r="G17" s="1086">
        <f>Consolidated!$F19</f>
        <v>0.96499999999999997</v>
      </c>
      <c r="H17" s="1086">
        <f>Consolidated!$H$9</f>
        <v>1</v>
      </c>
      <c r="I17" s="534">
        <f t="shared" si="3"/>
        <v>0</v>
      </c>
      <c r="J17" s="535">
        <f t="shared" si="1"/>
        <v>0</v>
      </c>
      <c r="M17" s="2"/>
      <c r="O17" s="2" t="str">
        <f t="shared" si="2"/>
        <v>113</v>
      </c>
      <c r="R17" s="1006" t="s">
        <v>25</v>
      </c>
      <c r="S17" s="1006"/>
      <c r="T17" s="1004">
        <f t="shared" si="4"/>
        <v>0</v>
      </c>
      <c r="U17" s="1004"/>
      <c r="V17" s="1010">
        <v>1</v>
      </c>
      <c r="W17" s="1010"/>
      <c r="X17" s="145">
        <f t="shared" si="5"/>
        <v>0</v>
      </c>
      <c r="Y17" s="212">
        <f t="shared" si="7"/>
        <v>0</v>
      </c>
    </row>
    <row r="18" spans="1:25" x14ac:dyDescent="0.25">
      <c r="A18" s="975" t="s">
        <v>26</v>
      </c>
      <c r="B18" s="975"/>
      <c r="C18" s="389">
        <f>SUMIFS('Surv2-3'!D:D,'Surv2-3'!$A:$A,$I$2,'Surv2-3'!$B:$B,$O18)</f>
        <v>0</v>
      </c>
      <c r="D18" s="389">
        <f>SUMIFS('Surv2-3'!K:K,'Surv2-3'!$H:$H,$I$2,'Surv2-3'!$I:$I,$O18)</f>
        <v>0</v>
      </c>
      <c r="E18" s="1080">
        <f t="shared" si="0"/>
        <v>0</v>
      </c>
      <c r="F18" s="1080"/>
      <c r="G18" s="1086">
        <f>Consolidated!$F20</f>
        <v>3.5150000000000001</v>
      </c>
      <c r="H18" s="1086">
        <f>Consolidated!$H$9</f>
        <v>1</v>
      </c>
      <c r="I18" s="534">
        <f t="shared" si="3"/>
        <v>0</v>
      </c>
      <c r="J18" s="535">
        <f t="shared" si="1"/>
        <v>0</v>
      </c>
      <c r="M18" s="2"/>
      <c r="O18" s="2" t="str">
        <f t="shared" si="2"/>
        <v>254</v>
      </c>
      <c r="R18" s="1006" t="s">
        <v>26</v>
      </c>
      <c r="S18" s="1006"/>
      <c r="T18" s="1004">
        <f t="shared" si="4"/>
        <v>0</v>
      </c>
      <c r="U18" s="1004"/>
      <c r="V18" s="1010">
        <v>1</v>
      </c>
      <c r="W18" s="1010"/>
      <c r="X18" s="145">
        <f t="shared" si="5"/>
        <v>0</v>
      </c>
      <c r="Y18" s="212">
        <f t="shared" si="7"/>
        <v>0</v>
      </c>
    </row>
    <row r="19" spans="1:25" x14ac:dyDescent="0.25">
      <c r="A19" s="975" t="s">
        <v>27</v>
      </c>
      <c r="B19" s="975"/>
      <c r="C19" s="389">
        <f>SUMIFS('Surv2-3'!E:E,'Surv2-3'!$A:$A,$I$2,'Surv2-3'!$B:$B,$O19)</f>
        <v>0</v>
      </c>
      <c r="D19" s="389">
        <f>SUMIFS('Surv2-3'!L:L,'Surv2-3'!$H:$H,$I$2,'Surv2-3'!$I:$I,$O19)</f>
        <v>0</v>
      </c>
      <c r="E19" s="1080">
        <f t="shared" si="0"/>
        <v>0</v>
      </c>
      <c r="F19" s="1080"/>
      <c r="G19" s="1086">
        <f>Consolidated!$F21</f>
        <v>3.5150000000000001</v>
      </c>
      <c r="H19" s="1086">
        <f>Consolidated!$H$9</f>
        <v>1</v>
      </c>
      <c r="I19" s="534">
        <f t="shared" si="3"/>
        <v>0</v>
      </c>
      <c r="J19" s="535">
        <f t="shared" si="1"/>
        <v>0</v>
      </c>
      <c r="M19" s="2"/>
      <c r="O19" s="2" t="str">
        <f t="shared" si="2"/>
        <v>254</v>
      </c>
      <c r="R19" s="1006" t="s">
        <v>27</v>
      </c>
      <c r="S19" s="1006"/>
      <c r="T19" s="1004">
        <f t="shared" si="4"/>
        <v>0</v>
      </c>
      <c r="U19" s="1004"/>
      <c r="V19" s="1010">
        <v>1</v>
      </c>
      <c r="W19" s="1010"/>
      <c r="X19" s="145">
        <f t="shared" si="5"/>
        <v>0</v>
      </c>
      <c r="Y19" s="212">
        <f t="shared" si="7"/>
        <v>0</v>
      </c>
    </row>
    <row r="20" spans="1:25" x14ac:dyDescent="0.25">
      <c r="A20" s="975" t="s">
        <v>28</v>
      </c>
      <c r="B20" s="975"/>
      <c r="C20" s="389">
        <f>SUMIFS('Surv2-3'!F:F,'Surv2-3'!$A:$A,$I$2,'Surv2-3'!$B:$B,$O20)</f>
        <v>0</v>
      </c>
      <c r="D20" s="389">
        <f>SUMIFS('Surv2-3'!M:M,'Surv2-3'!$H:$H,$I$2,'Surv2-3'!$I:$I,$O20)</f>
        <v>0</v>
      </c>
      <c r="E20" s="1080">
        <f t="shared" si="0"/>
        <v>0</v>
      </c>
      <c r="F20" s="1080"/>
      <c r="G20" s="1086">
        <f>Consolidated!$F22</f>
        <v>3.5150000000000001</v>
      </c>
      <c r="H20" s="1086">
        <f>Consolidated!$H$9</f>
        <v>1</v>
      </c>
      <c r="I20" s="534">
        <f t="shared" si="3"/>
        <v>0</v>
      </c>
      <c r="J20" s="535">
        <f t="shared" si="1"/>
        <v>0</v>
      </c>
      <c r="M20" s="2"/>
      <c r="O20" s="2" t="str">
        <f t="shared" si="2"/>
        <v>254</v>
      </c>
      <c r="R20" s="1006" t="s">
        <v>28</v>
      </c>
      <c r="S20" s="1006"/>
      <c r="T20" s="1004">
        <f t="shared" si="4"/>
        <v>0</v>
      </c>
      <c r="U20" s="1004"/>
      <c r="V20" s="1010">
        <v>1</v>
      </c>
      <c r="W20" s="1010"/>
      <c r="X20" s="145">
        <f t="shared" si="5"/>
        <v>0</v>
      </c>
      <c r="Y20" s="212">
        <f t="shared" si="7"/>
        <v>0</v>
      </c>
    </row>
    <row r="21" spans="1:25" ht="15" customHeight="1" x14ac:dyDescent="0.25">
      <c r="A21" s="975" t="s">
        <v>29</v>
      </c>
      <c r="B21" s="975"/>
      <c r="C21" s="389">
        <f>SUMIFS('Surv2-3'!D:D,'Surv2-3'!$A:$A,$I$2,'Surv2-3'!$B:$B,$O21)</f>
        <v>0</v>
      </c>
      <c r="D21" s="389">
        <f>SUMIFS('Surv2-3'!K:K,'Surv2-3'!$H:$H,$I$2,'Surv2-3'!$I:$I,$O21)</f>
        <v>0</v>
      </c>
      <c r="E21" s="1080">
        <f t="shared" si="0"/>
        <v>0</v>
      </c>
      <c r="F21" s="1080"/>
      <c r="G21" s="1086">
        <f>Consolidated!$F23</f>
        <v>5.9059999999999997</v>
      </c>
      <c r="H21" s="1086">
        <f>Consolidated!$H$9</f>
        <v>1</v>
      </c>
      <c r="I21" s="534">
        <f t="shared" si="3"/>
        <v>0</v>
      </c>
      <c r="J21" s="535">
        <f t="shared" si="1"/>
        <v>0</v>
      </c>
      <c r="M21" s="2"/>
      <c r="O21" s="2" t="str">
        <f t="shared" si="2"/>
        <v>255</v>
      </c>
      <c r="R21" s="1006" t="s">
        <v>29</v>
      </c>
      <c r="S21" s="1006"/>
      <c r="T21" s="1004">
        <f t="shared" si="4"/>
        <v>0</v>
      </c>
      <c r="U21" s="1004"/>
      <c r="V21" s="1010">
        <v>1</v>
      </c>
      <c r="W21" s="1010"/>
      <c r="X21" s="145">
        <f t="shared" si="5"/>
        <v>0</v>
      </c>
      <c r="Y21" s="212">
        <f t="shared" si="7"/>
        <v>0</v>
      </c>
    </row>
    <row r="22" spans="1:25" ht="15" customHeight="1" x14ac:dyDescent="0.25">
      <c r="A22" s="975" t="s">
        <v>30</v>
      </c>
      <c r="B22" s="975"/>
      <c r="C22" s="389">
        <f>SUMIFS('Surv2-3'!E:E,'Surv2-3'!$A:$A,$I$2,'Surv2-3'!$B:$B,$O22)</f>
        <v>0</v>
      </c>
      <c r="D22" s="389">
        <f>SUMIFS('Surv2-3'!L:L,'Surv2-3'!$H:$H,$I$2,'Surv2-3'!$I:$I,$O22)</f>
        <v>0</v>
      </c>
      <c r="E22" s="1080">
        <f t="shared" si="0"/>
        <v>0</v>
      </c>
      <c r="F22" s="1080"/>
      <c r="G22" s="1086">
        <f>Consolidated!$F24</f>
        <v>5.9059999999999997</v>
      </c>
      <c r="H22" s="1086">
        <f>Consolidated!$H$9</f>
        <v>1</v>
      </c>
      <c r="I22" s="534">
        <f t="shared" si="3"/>
        <v>0</v>
      </c>
      <c r="J22" s="535">
        <f t="shared" si="1"/>
        <v>0</v>
      </c>
      <c r="M22" s="2"/>
      <c r="O22" s="2" t="str">
        <f t="shared" si="2"/>
        <v>255</v>
      </c>
      <c r="R22" s="1006" t="s">
        <v>30</v>
      </c>
      <c r="S22" s="1006"/>
      <c r="T22" s="1004">
        <f t="shared" si="4"/>
        <v>0</v>
      </c>
      <c r="U22" s="1004"/>
      <c r="V22" s="1010">
        <v>1</v>
      </c>
      <c r="W22" s="1010"/>
      <c r="X22" s="145">
        <f t="shared" si="5"/>
        <v>0</v>
      </c>
      <c r="Y22" s="212">
        <f t="shared" si="7"/>
        <v>0</v>
      </c>
    </row>
    <row r="23" spans="1:25" ht="15" customHeight="1" x14ac:dyDescent="0.25">
      <c r="A23" s="975" t="s">
        <v>31</v>
      </c>
      <c r="B23" s="975"/>
      <c r="C23" s="389">
        <f>SUMIFS('Surv2-3'!F:F,'Surv2-3'!$A:$A,$I$2,'Surv2-3'!$B:$B,$O23)</f>
        <v>0</v>
      </c>
      <c r="D23" s="389">
        <f>SUMIFS('Surv2-3'!M:M,'Surv2-3'!$H:$H,$I$2,'Surv2-3'!$I:$I,$O23)</f>
        <v>0</v>
      </c>
      <c r="E23" s="1080">
        <f t="shared" si="0"/>
        <v>0</v>
      </c>
      <c r="F23" s="1080"/>
      <c r="G23" s="1086">
        <f>Consolidated!$F25</f>
        <v>5.9059999999999997</v>
      </c>
      <c r="H23" s="1086">
        <f>Consolidated!$H$9</f>
        <v>1</v>
      </c>
      <c r="I23" s="534">
        <f t="shared" si="3"/>
        <v>0</v>
      </c>
      <c r="J23" s="535">
        <f t="shared" si="1"/>
        <v>0</v>
      </c>
      <c r="M23" s="2"/>
      <c r="O23" s="2" t="str">
        <f t="shared" si="2"/>
        <v>255</v>
      </c>
      <c r="R23" s="1006" t="s">
        <v>31</v>
      </c>
      <c r="S23" s="1006"/>
      <c r="T23" s="1004">
        <f t="shared" si="4"/>
        <v>0</v>
      </c>
      <c r="U23" s="1004"/>
      <c r="V23" s="1010">
        <v>1</v>
      </c>
      <c r="W23" s="1010"/>
      <c r="X23" s="145">
        <f t="shared" si="5"/>
        <v>0</v>
      </c>
      <c r="Y23" s="212">
        <f t="shared" si="7"/>
        <v>0</v>
      </c>
    </row>
    <row r="24" spans="1:25" x14ac:dyDescent="0.25">
      <c r="A24" s="975" t="s">
        <v>32</v>
      </c>
      <c r="B24" s="975"/>
      <c r="C24" s="389">
        <f>SUMIFS('Surv2-3'!D:D,'Surv2-3'!$A:$A,$I$2,'Surv2-3'!$B:$B,$O24)</f>
        <v>0</v>
      </c>
      <c r="D24" s="389">
        <f>SUMIFS('Surv2-3'!K:K,'Surv2-3'!$H:$H,$I$2,'Surv2-3'!$I:$I,$O24)</f>
        <v>0</v>
      </c>
      <c r="E24" s="1080">
        <f t="shared" si="0"/>
        <v>0</v>
      </c>
      <c r="F24" s="1080"/>
      <c r="G24" s="1086">
        <f>Consolidated!$F26</f>
        <v>1.161</v>
      </c>
      <c r="H24" s="1086">
        <f>Consolidated!$H$9</f>
        <v>1</v>
      </c>
      <c r="I24" s="534">
        <f t="shared" si="3"/>
        <v>0</v>
      </c>
      <c r="J24" s="535">
        <f t="shared" si="1"/>
        <v>0</v>
      </c>
      <c r="M24" s="2"/>
      <c r="O24" s="2" t="str">
        <f t="shared" si="2"/>
        <v>130</v>
      </c>
      <c r="R24" s="1006" t="s">
        <v>32</v>
      </c>
      <c r="S24" s="1006"/>
      <c r="T24" s="1004">
        <f t="shared" si="4"/>
        <v>0</v>
      </c>
      <c r="U24" s="1004"/>
      <c r="V24" s="1010">
        <v>1</v>
      </c>
      <c r="W24" s="1010"/>
      <c r="X24" s="145">
        <f t="shared" si="5"/>
        <v>0</v>
      </c>
      <c r="Y24" s="212">
        <f t="shared" si="7"/>
        <v>0</v>
      </c>
    </row>
    <row r="25" spans="1:25" x14ac:dyDescent="0.25">
      <c r="A25" s="975" t="s">
        <v>33</v>
      </c>
      <c r="B25" s="975"/>
      <c r="C25" s="389">
        <f>SUMIFS('Surv2-3'!E:E,'Surv2-3'!$A:$A,$I$2,'Surv2-3'!$B:$B,$O25)</f>
        <v>0</v>
      </c>
      <c r="D25" s="389">
        <f>SUMIFS('Surv2-3'!L:L,'Surv2-3'!$H:$H,$I$2,'Surv2-3'!$I:$I,$O25)</f>
        <v>0</v>
      </c>
      <c r="E25" s="1080">
        <f t="shared" si="0"/>
        <v>0</v>
      </c>
      <c r="F25" s="1080"/>
      <c r="G25" s="1086">
        <f>Consolidated!$F27</f>
        <v>1.161</v>
      </c>
      <c r="H25" s="1086">
        <f>Consolidated!$H$9</f>
        <v>1</v>
      </c>
      <c r="I25" s="534">
        <f t="shared" si="3"/>
        <v>0</v>
      </c>
      <c r="J25" s="535">
        <f t="shared" si="1"/>
        <v>0</v>
      </c>
      <c r="M25" s="2"/>
      <c r="O25" s="2" t="str">
        <f t="shared" si="2"/>
        <v>130</v>
      </c>
      <c r="R25" s="1006" t="s">
        <v>33</v>
      </c>
      <c r="S25" s="1006"/>
      <c r="T25" s="1004">
        <f t="shared" si="4"/>
        <v>0</v>
      </c>
      <c r="U25" s="1004"/>
      <c r="V25" s="1010">
        <v>1</v>
      </c>
      <c r="W25" s="1010"/>
      <c r="X25" s="145">
        <f t="shared" si="5"/>
        <v>0</v>
      </c>
      <c r="Y25" s="212">
        <f t="shared" si="7"/>
        <v>0</v>
      </c>
    </row>
    <row r="26" spans="1:25" x14ac:dyDescent="0.25">
      <c r="A26" s="975" t="s">
        <v>34</v>
      </c>
      <c r="B26" s="975"/>
      <c r="C26" s="389">
        <f>SUMIFS('Surv2-3'!F:F,'Surv2-3'!$A:$A,$I$2,'Surv2-3'!$B:$B,$O26)</f>
        <v>0</v>
      </c>
      <c r="D26" s="389">
        <f>SUMIFS('Surv2-3'!M:M,'Surv2-3'!$H:$H,$I$2,'Surv2-3'!$I:$I,$O26)</f>
        <v>0</v>
      </c>
      <c r="E26" s="1080">
        <f t="shared" si="0"/>
        <v>0</v>
      </c>
      <c r="F26" s="1080"/>
      <c r="G26" s="1086">
        <f>Consolidated!$F28</f>
        <v>1.161</v>
      </c>
      <c r="H26" s="1086">
        <f>Consolidated!$H$9</f>
        <v>1</v>
      </c>
      <c r="I26" s="534">
        <f t="shared" si="3"/>
        <v>0</v>
      </c>
      <c r="J26" s="535">
        <f t="shared" si="1"/>
        <v>0</v>
      </c>
      <c r="M26" s="2"/>
      <c r="O26" s="2" t="str">
        <f t="shared" si="2"/>
        <v>130</v>
      </c>
      <c r="R26" s="1006" t="s">
        <v>34</v>
      </c>
      <c r="S26" s="1006"/>
      <c r="T26" s="1004">
        <f t="shared" si="4"/>
        <v>0</v>
      </c>
      <c r="U26" s="1004"/>
      <c r="V26" s="1010">
        <v>1</v>
      </c>
      <c r="W26" s="1010"/>
      <c r="X26" s="145">
        <f t="shared" si="5"/>
        <v>0</v>
      </c>
      <c r="Y26" s="212">
        <f t="shared" si="7"/>
        <v>0</v>
      </c>
    </row>
    <row r="27" spans="1:25" x14ac:dyDescent="0.25">
      <c r="A27" s="977" t="s">
        <v>35</v>
      </c>
      <c r="B27" s="977"/>
      <c r="C27" s="390">
        <f>SUMIFS('Surv2-3'!C:C,'Surv2-3'!$A:$A,$I$2,'Surv2-3'!$B:$B,$O27)</f>
        <v>0</v>
      </c>
      <c r="D27" s="390">
        <f>SUMIFS('Surv2-3'!J:J,'Surv2-3'!$H:$H,$I$2,'Surv2-3'!$I:$I,$O27)</f>
        <v>0</v>
      </c>
      <c r="E27" s="1082">
        <f t="shared" si="0"/>
        <v>0</v>
      </c>
      <c r="F27" s="1082"/>
      <c r="G27" s="1083">
        <f>Consolidated!$F29</f>
        <v>1.0900000000000001</v>
      </c>
      <c r="H27" s="1083">
        <f>Consolidated!$H$9</f>
        <v>1</v>
      </c>
      <c r="I27" s="22">
        <f t="shared" si="3"/>
        <v>0</v>
      </c>
      <c r="J27" s="116">
        <f t="shared" si="1"/>
        <v>0</v>
      </c>
      <c r="M27" s="2"/>
      <c r="O27" s="2" t="str">
        <f t="shared" si="2"/>
        <v>300</v>
      </c>
      <c r="R27" s="1021" t="s">
        <v>35</v>
      </c>
      <c r="S27" s="1021"/>
      <c r="T27" s="1004">
        <f t="shared" si="4"/>
        <v>0</v>
      </c>
      <c r="U27" s="1004"/>
      <c r="V27" s="1022">
        <v>1</v>
      </c>
      <c r="W27" s="1022"/>
      <c r="X27" s="145">
        <f t="shared" si="5"/>
        <v>0</v>
      </c>
      <c r="Y27" s="212">
        <f t="shared" si="7"/>
        <v>0</v>
      </c>
    </row>
    <row r="28" spans="1:25" ht="20.25" customHeight="1" x14ac:dyDescent="0.25">
      <c r="A28" s="1084" t="s">
        <v>36</v>
      </c>
      <c r="B28" s="1084"/>
      <c r="C28" s="772">
        <f>SUM(C12:C27)</f>
        <v>0</v>
      </c>
      <c r="D28" s="773">
        <f>SUM(D12:D27)</f>
        <v>0</v>
      </c>
      <c r="E28" s="1085">
        <f>SUM(E12:E27)</f>
        <v>0</v>
      </c>
      <c r="F28" s="1085"/>
      <c r="G28" s="1080"/>
      <c r="H28" s="1080"/>
      <c r="I28" s="23">
        <f>SUM(I12:I27)</f>
        <v>0</v>
      </c>
      <c r="J28" s="116">
        <f>SUM(J12:J27)</f>
        <v>0</v>
      </c>
      <c r="M28" s="2"/>
      <c r="R28" s="1023" t="s">
        <v>36</v>
      </c>
      <c r="S28" s="1023"/>
      <c r="T28" s="1024">
        <f>SUM(T12:T27)</f>
        <v>0</v>
      </c>
      <c r="U28" s="1024"/>
      <c r="V28" s="1025"/>
      <c r="W28" s="1025"/>
      <c r="X28" s="147">
        <f>SUM(X12:X27)</f>
        <v>0</v>
      </c>
      <c r="Y28" s="212">
        <f>SUM(Y12:Y27)</f>
        <v>0</v>
      </c>
    </row>
    <row r="29" spans="1:25" ht="36" hidden="1" customHeight="1" x14ac:dyDescent="0.25">
      <c r="A29" s="980" t="s">
        <v>37</v>
      </c>
      <c r="B29" s="980"/>
      <c r="C29" s="980"/>
      <c r="D29" s="980"/>
      <c r="E29" s="980"/>
      <c r="F29" s="980"/>
      <c r="G29" s="980"/>
      <c r="H29" s="980"/>
      <c r="I29" s="980"/>
      <c r="J29" s="24"/>
      <c r="M29" s="2"/>
      <c r="R29" s="988" t="s">
        <v>37</v>
      </c>
      <c r="S29" s="988"/>
      <c r="T29" s="988"/>
      <c r="U29" s="988"/>
      <c r="V29" s="988"/>
      <c r="W29" s="988"/>
      <c r="X29" s="988"/>
      <c r="Y29" s="148"/>
    </row>
    <row r="30" spans="1:25" ht="56.25" hidden="1" customHeight="1" x14ac:dyDescent="0.25">
      <c r="A30" s="972" t="s">
        <v>38</v>
      </c>
      <c r="B30" s="972"/>
      <c r="C30" s="713"/>
      <c r="D30" s="713"/>
      <c r="E30" s="973" t="s">
        <v>39</v>
      </c>
      <c r="F30" s="974"/>
      <c r="G30" s="974"/>
      <c r="H30" s="974"/>
      <c r="I30" s="974"/>
      <c r="J30" s="18" t="s">
        <v>40</v>
      </c>
      <c r="L30" s="25"/>
      <c r="M30" s="25"/>
      <c r="R30" s="726" t="s">
        <v>38</v>
      </c>
      <c r="S30" s="726"/>
      <c r="T30" s="1026" t="s">
        <v>156</v>
      </c>
      <c r="U30" s="1027"/>
      <c r="V30" s="1027"/>
      <c r="W30" s="1027"/>
      <c r="X30" s="1027"/>
      <c r="Y30" s="142" t="s">
        <v>40</v>
      </c>
    </row>
    <row r="31" spans="1:25" ht="20.25" hidden="1" customHeight="1" x14ac:dyDescent="0.25">
      <c r="A31" s="958" t="s">
        <v>41</v>
      </c>
      <c r="B31" s="958"/>
      <c r="C31" s="712"/>
      <c r="D31" s="712"/>
      <c r="E31" s="26"/>
      <c r="F31" s="26"/>
      <c r="G31" s="26"/>
      <c r="H31" s="26"/>
      <c r="I31" s="27"/>
      <c r="J31" s="28">
        <f>ROUND(ROUND(ROUND(I31*$E$6,4)*($I$6),0)*(MAX($I$7,1)),0)</f>
        <v>0</v>
      </c>
      <c r="M31" s="2"/>
      <c r="R31" s="1006" t="s">
        <v>41</v>
      </c>
      <c r="S31" s="1006"/>
      <c r="T31" s="1028"/>
      <c r="U31" s="1028"/>
      <c r="V31" s="1028"/>
      <c r="W31" s="1028"/>
      <c r="X31" s="1028"/>
      <c r="Y31" s="150">
        <f>J31</f>
        <v>0</v>
      </c>
    </row>
    <row r="32" spans="1:25" ht="20.25" hidden="1" customHeight="1" thickBot="1" x14ac:dyDescent="0.3">
      <c r="A32" s="1030" t="s">
        <v>42</v>
      </c>
      <c r="B32" s="1030"/>
      <c r="C32" s="1030"/>
      <c r="D32" s="1030"/>
      <c r="E32" s="1030"/>
      <c r="F32" s="1030"/>
      <c r="G32" s="29">
        <f>SUM(I31:I31)</f>
        <v>0</v>
      </c>
      <c r="H32" s="1081" t="s">
        <v>43</v>
      </c>
      <c r="I32" s="1081"/>
      <c r="J32" s="30">
        <f>SUM(J31:J31)</f>
        <v>0</v>
      </c>
      <c r="M32" s="2"/>
      <c r="R32" s="1029" t="s">
        <v>42</v>
      </c>
      <c r="S32" s="1029"/>
      <c r="T32" s="1029"/>
      <c r="U32" s="1029"/>
      <c r="V32" s="151">
        <f>SUM(T31:V31)</f>
        <v>0</v>
      </c>
      <c r="W32" s="1025" t="s">
        <v>43</v>
      </c>
      <c r="X32" s="1025"/>
      <c r="Y32" s="152">
        <f>SUM(Y31:Y31)</f>
        <v>0</v>
      </c>
    </row>
    <row r="33" spans="1:25" ht="20.25" hidden="1" customHeight="1" thickBot="1" x14ac:dyDescent="0.3">
      <c r="A33" s="1030" t="s">
        <v>44</v>
      </c>
      <c r="B33" s="1030"/>
      <c r="C33" s="1030"/>
      <c r="D33" s="1030"/>
      <c r="E33" s="1030"/>
      <c r="F33" s="1030"/>
      <c r="G33" s="31">
        <f>G32+I28</f>
        <v>0</v>
      </c>
      <c r="H33" s="1080" t="s">
        <v>45</v>
      </c>
      <c r="I33" s="1080"/>
      <c r="J33" s="32">
        <f>SUM(J32,J28)</f>
        <v>0</v>
      </c>
      <c r="M33" s="2"/>
      <c r="R33" s="1029" t="s">
        <v>44</v>
      </c>
      <c r="S33" s="1029"/>
      <c r="T33" s="1029"/>
      <c r="U33" s="1029"/>
      <c r="V33" s="153">
        <f>V32+X28</f>
        <v>0</v>
      </c>
      <c r="W33" s="1025" t="s">
        <v>45</v>
      </c>
      <c r="X33" s="1025"/>
      <c r="Y33" s="154">
        <f>SUM(Y32,Y28)</f>
        <v>0</v>
      </c>
    </row>
    <row r="34" spans="1:25" ht="20.25" customHeight="1" x14ac:dyDescent="0.25">
      <c r="A34" s="734"/>
      <c r="B34" s="734"/>
      <c r="C34" s="734"/>
      <c r="D34" s="734"/>
      <c r="E34" s="734"/>
      <c r="F34" s="734"/>
      <c r="G34" s="31"/>
      <c r="H34" s="750"/>
      <c r="I34" s="750"/>
      <c r="J34" s="35"/>
      <c r="M34" s="2"/>
      <c r="R34" s="733"/>
      <c r="S34" s="733"/>
      <c r="T34" s="733"/>
      <c r="U34" s="733"/>
      <c r="V34" s="153"/>
      <c r="W34" s="732"/>
      <c r="X34" s="732"/>
      <c r="Y34" s="157"/>
    </row>
    <row r="35" spans="1:25" ht="66.75" customHeight="1" x14ac:dyDescent="0.25">
      <c r="A35" s="1066" t="s">
        <v>46</v>
      </c>
      <c r="B35" s="1066"/>
      <c r="C35" s="1066"/>
      <c r="D35" s="1066"/>
      <c r="E35" s="1066"/>
      <c r="F35" s="1066"/>
      <c r="G35" s="745"/>
      <c r="J35" s="40"/>
      <c r="M35" s="2"/>
      <c r="R35" s="1014" t="s">
        <v>46</v>
      </c>
      <c r="S35" s="1015"/>
      <c r="T35" s="1015"/>
      <c r="U35" s="1015"/>
      <c r="V35" s="740"/>
      <c r="W35" s="159"/>
      <c r="X35" s="159"/>
      <c r="Y35" s="164"/>
    </row>
    <row r="36" spans="1:25" ht="20.25" customHeight="1" x14ac:dyDescent="0.25">
      <c r="A36" s="975" t="str">
        <f>Consolidated!B53</f>
        <v>Maintenance Portion (7.14% of Conference Funding)</v>
      </c>
      <c r="B36" s="975"/>
      <c r="C36" s="975"/>
      <c r="D36" s="975"/>
      <c r="E36" s="975"/>
      <c r="F36" s="745" t="s">
        <v>47</v>
      </c>
      <c r="G36" s="427">
        <f>J$28</f>
        <v>0</v>
      </c>
      <c r="H36" s="717" t="s">
        <v>48</v>
      </c>
      <c r="I36" s="38">
        <f>Consolidated!H53</f>
        <v>7.1400000000000005E-2</v>
      </c>
      <c r="J36" s="120">
        <f>ROUND(G36*I36,2)</f>
        <v>0</v>
      </c>
      <c r="K36" s="39"/>
      <c r="L36" s="734"/>
      <c r="M36" s="734"/>
      <c r="N36" s="734"/>
      <c r="O36" s="31"/>
      <c r="P36" s="750"/>
      <c r="Q36" s="750"/>
      <c r="R36" s="1006" t="str">
        <f>A36</f>
        <v>Maintenance Portion (7.14% of Conference Funding)</v>
      </c>
      <c r="S36" s="1006"/>
      <c r="T36" s="1006"/>
      <c r="U36" s="740"/>
      <c r="V36" s="161">
        <f>Y28</f>
        <v>0</v>
      </c>
      <c r="W36" s="720" t="s">
        <v>48</v>
      </c>
      <c r="X36" s="163">
        <f>I36</f>
        <v>7.1400000000000005E-2</v>
      </c>
      <c r="Y36" s="212">
        <f>ROUND(V36*X36,2)</f>
        <v>0</v>
      </c>
    </row>
    <row r="37" spans="1:25" ht="20.25" customHeight="1" x14ac:dyDescent="0.25">
      <c r="A37" s="975" t="str">
        <f>Consolidated!B54</f>
        <v>Growth Portion (1.06% of Conference Funding)</v>
      </c>
      <c r="B37" s="975"/>
      <c r="C37" s="975"/>
      <c r="D37" s="975"/>
      <c r="E37" s="975"/>
      <c r="F37" s="745" t="s">
        <v>47</v>
      </c>
      <c r="G37" s="427">
        <f>J$28</f>
        <v>0</v>
      </c>
      <c r="H37" s="717" t="s">
        <v>48</v>
      </c>
      <c r="I37" s="38">
        <f>Consolidated!H54</f>
        <v>1.06E-2</v>
      </c>
      <c r="J37" s="120">
        <f>ROUND(G37*I37,2)</f>
        <v>0</v>
      </c>
      <c r="K37" s="39"/>
      <c r="L37" s="734"/>
      <c r="M37" s="734"/>
      <c r="N37" s="734"/>
      <c r="O37" s="31"/>
      <c r="P37" s="750"/>
      <c r="Q37" s="750"/>
      <c r="R37" s="1006" t="str">
        <f>A37</f>
        <v>Growth Portion (1.06% of Conference Funding)</v>
      </c>
      <c r="S37" s="1006"/>
      <c r="T37" s="1006"/>
      <c r="U37" s="740"/>
      <c r="V37" s="161">
        <f>Y28</f>
        <v>0</v>
      </c>
      <c r="W37" s="720" t="s">
        <v>48</v>
      </c>
      <c r="X37" s="163">
        <f>I37</f>
        <v>1.06E-2</v>
      </c>
      <c r="Y37" s="212">
        <f>ROUND(V37*X37,2)</f>
        <v>0</v>
      </c>
    </row>
    <row r="38" spans="1:25" ht="20.25" customHeight="1" x14ac:dyDescent="0.25">
      <c r="A38" s="1012" t="s">
        <v>49</v>
      </c>
      <c r="B38" s="1012"/>
      <c r="C38" s="1012"/>
      <c r="D38" s="1012"/>
      <c r="E38" s="1012"/>
      <c r="F38" s="745" t="s">
        <v>50</v>
      </c>
      <c r="G38" s="40"/>
      <c r="H38" s="717"/>
      <c r="I38" s="41"/>
      <c r="J38" s="120">
        <f>SUM(J36:J37)</f>
        <v>0</v>
      </c>
      <c r="K38" s="39"/>
      <c r="L38" s="734"/>
      <c r="M38" s="734"/>
      <c r="N38" s="734"/>
      <c r="O38" s="31"/>
      <c r="P38" s="750"/>
      <c r="Q38" s="750"/>
      <c r="R38" s="1015" t="s">
        <v>49</v>
      </c>
      <c r="S38" s="1015"/>
      <c r="T38" s="1015"/>
      <c r="U38" s="740" t="s">
        <v>50</v>
      </c>
      <c r="V38" s="164"/>
      <c r="W38" s="720"/>
      <c r="X38" s="165"/>
      <c r="Y38" s="146">
        <f>Y36+Y37</f>
        <v>0</v>
      </c>
    </row>
    <row r="39" spans="1:25" ht="20.25" customHeight="1" x14ac:dyDescent="0.25">
      <c r="B39" s="729"/>
      <c r="C39" s="729"/>
      <c r="D39" s="729"/>
      <c r="E39" s="729"/>
      <c r="F39" s="745"/>
      <c r="G39" s="40"/>
      <c r="H39" s="717"/>
      <c r="I39" s="41"/>
      <c r="J39" s="43"/>
      <c r="K39" s="39"/>
      <c r="L39" s="734"/>
      <c r="M39" s="734"/>
      <c r="N39" s="734"/>
      <c r="O39" s="31"/>
      <c r="P39" s="750"/>
      <c r="Q39" s="750"/>
      <c r="R39" s="731"/>
      <c r="S39" s="731"/>
      <c r="T39" s="731"/>
      <c r="U39" s="740"/>
      <c r="V39" s="164"/>
      <c r="W39" s="720"/>
      <c r="X39" s="165"/>
      <c r="Y39" s="167"/>
    </row>
    <row r="40" spans="1:25" ht="45.75" customHeight="1" x14ac:dyDescent="0.25">
      <c r="A40" s="1076" t="s">
        <v>51</v>
      </c>
      <c r="B40" s="1076"/>
      <c r="C40" s="111" t="s">
        <v>591</v>
      </c>
      <c r="D40" s="111" t="s">
        <v>592</v>
      </c>
      <c r="E40" s="1077" t="s">
        <v>154</v>
      </c>
      <c r="F40" s="1077"/>
      <c r="G40" s="44" t="s">
        <v>53</v>
      </c>
      <c r="H40" s="749" t="s">
        <v>54</v>
      </c>
      <c r="I40" s="124" t="s">
        <v>55</v>
      </c>
      <c r="J40" s="44"/>
      <c r="K40" s="39"/>
      <c r="L40" s="734"/>
      <c r="M40" s="734"/>
      <c r="N40" s="734"/>
      <c r="O40" s="31"/>
      <c r="P40" s="750"/>
      <c r="Q40" s="750"/>
      <c r="R40" s="1016" t="s">
        <v>51</v>
      </c>
      <c r="S40" s="1016"/>
      <c r="T40" s="1017" t="s">
        <v>52</v>
      </c>
      <c r="U40" s="1017"/>
      <c r="V40" s="168" t="s">
        <v>53</v>
      </c>
      <c r="W40" s="743" t="s">
        <v>54</v>
      </c>
      <c r="X40" s="170" t="s">
        <v>55</v>
      </c>
      <c r="Y40" s="168"/>
    </row>
    <row r="41" spans="1:25" ht="17.25" customHeight="1" x14ac:dyDescent="0.25">
      <c r="A41" s="1078" t="s">
        <v>56</v>
      </c>
      <c r="B41" s="1078"/>
      <c r="C41" s="776">
        <f>SUMIFS('ESE FTE'!F:F,'ESE FTE'!$A:$A,$I$2,'ESE FTE'!$E:$E,6)</f>
        <v>0</v>
      </c>
      <c r="D41" s="776">
        <f>SUMIFS('ESE FTE'!G:G,'ESE FTE'!$A:$A,$I$2,'ESE FTE'!$E:$E,6)</f>
        <v>0</v>
      </c>
      <c r="E41" s="1073">
        <f t="shared" ref="E41:E49" si="8">IF($D$50=0,C41*2,C41+D41)</f>
        <v>0</v>
      </c>
      <c r="F41" s="1073"/>
      <c r="G41" s="717" t="s">
        <v>57</v>
      </c>
      <c r="H41" s="717">
        <v>251</v>
      </c>
      <c r="I41" s="125">
        <f>Consolidated!$H59</f>
        <v>1047</v>
      </c>
      <c r="J41" s="46">
        <f t="shared" ref="J41:J49" si="9">ROUND(E41*I41,2)</f>
        <v>0</v>
      </c>
      <c r="L41" s="3"/>
      <c r="M41" s="2"/>
      <c r="Q41" s="4"/>
      <c r="R41" s="1018" t="s">
        <v>157</v>
      </c>
      <c r="S41" s="1018"/>
      <c r="T41" s="979"/>
      <c r="U41" s="979"/>
      <c r="V41" s="720" t="s">
        <v>57</v>
      </c>
      <c r="W41" s="720">
        <v>251</v>
      </c>
      <c r="X41" s="123">
        <f>Consolidated!$H59</f>
        <v>1047</v>
      </c>
      <c r="Y41" s="213">
        <f>ROUND(T41*X41,2)</f>
        <v>0</v>
      </c>
    </row>
    <row r="42" spans="1:25" x14ac:dyDescent="0.25">
      <c r="A42" s="1079"/>
      <c r="B42" s="1079"/>
      <c r="C42" s="122">
        <f>SUMIFS('ESE FTE'!F:F,'ESE FTE'!$A:$A,$I$2,'ESE FTE'!$E:$E,7)</f>
        <v>0</v>
      </c>
      <c r="D42" s="122">
        <f>SUMIFS('ESE FTE'!G:G,'ESE FTE'!$A:$A,$I$2,'ESE FTE'!$E:$E,7)</f>
        <v>0</v>
      </c>
      <c r="E42" s="1073">
        <f t="shared" si="8"/>
        <v>0</v>
      </c>
      <c r="F42" s="1073"/>
      <c r="G42" s="717" t="s">
        <v>57</v>
      </c>
      <c r="H42" s="717">
        <v>252</v>
      </c>
      <c r="I42" s="125">
        <f>Consolidated!$H60</f>
        <v>3380</v>
      </c>
      <c r="J42" s="46">
        <f t="shared" si="9"/>
        <v>0</v>
      </c>
      <c r="M42" s="2"/>
      <c r="R42" s="1018"/>
      <c r="S42" s="1018"/>
      <c r="T42" s="1019"/>
      <c r="U42" s="1019"/>
      <c r="V42" s="720" t="s">
        <v>57</v>
      </c>
      <c r="W42" s="720">
        <v>252</v>
      </c>
      <c r="X42" s="123">
        <f>Consolidated!$H60</f>
        <v>3380</v>
      </c>
      <c r="Y42" s="213">
        <f t="shared" ref="Y42:Y49" si="10">ROUND(T42*X42,2)</f>
        <v>0</v>
      </c>
    </row>
    <row r="43" spans="1:25" x14ac:dyDescent="0.25">
      <c r="A43" s="1079"/>
      <c r="B43" s="1079"/>
      <c r="C43" s="122">
        <f>SUMIFS('ESE FTE'!F:F,'ESE FTE'!$A:$A,$I$2,'ESE FTE'!$E:$E,8)</f>
        <v>0</v>
      </c>
      <c r="D43" s="122">
        <f>SUMIFS('ESE FTE'!G:G,'ESE FTE'!$A:$A,$I$2,'ESE FTE'!$E:$E,8)</f>
        <v>0</v>
      </c>
      <c r="E43" s="1073">
        <f t="shared" si="8"/>
        <v>0</v>
      </c>
      <c r="F43" s="1073"/>
      <c r="G43" s="717" t="s">
        <v>57</v>
      </c>
      <c r="H43" s="717">
        <v>253</v>
      </c>
      <c r="I43" s="125">
        <f>Consolidated!$H61</f>
        <v>6896</v>
      </c>
      <c r="J43" s="46">
        <f t="shared" si="9"/>
        <v>0</v>
      </c>
      <c r="M43" s="2"/>
      <c r="R43" s="1018"/>
      <c r="S43" s="1018"/>
      <c r="T43" s="1020"/>
      <c r="U43" s="1020"/>
      <c r="V43" s="720" t="s">
        <v>57</v>
      </c>
      <c r="W43" s="720">
        <v>253</v>
      </c>
      <c r="X43" s="123">
        <f>Consolidated!$H61</f>
        <v>6896</v>
      </c>
      <c r="Y43" s="213">
        <f t="shared" si="10"/>
        <v>0</v>
      </c>
    </row>
    <row r="44" spans="1:25" x14ac:dyDescent="0.25">
      <c r="A44" s="1079"/>
      <c r="B44" s="1079"/>
      <c r="C44" s="122">
        <f>SUMIFS('ESE FTE'!F:F,'ESE FTE'!$A:$A,$I$2,'ESE FTE'!$E:$E,9)</f>
        <v>0</v>
      </c>
      <c r="D44" s="776">
        <f>SUMIFS('ESE FTE'!G:G,'ESE FTE'!$A:$A,$I$2,'ESE FTE'!$E:$E,9)</f>
        <v>0</v>
      </c>
      <c r="E44" s="1073">
        <f t="shared" si="8"/>
        <v>0</v>
      </c>
      <c r="F44" s="1073"/>
      <c r="G44" s="47" t="s">
        <v>58</v>
      </c>
      <c r="H44" s="717">
        <v>251</v>
      </c>
      <c r="I44" s="125">
        <f>Consolidated!$H62</f>
        <v>1173</v>
      </c>
      <c r="J44" s="126">
        <f t="shared" si="9"/>
        <v>0</v>
      </c>
      <c r="L44" s="3"/>
      <c r="M44" s="2"/>
      <c r="Q44" s="4"/>
      <c r="R44" s="1018"/>
      <c r="S44" s="1018"/>
      <c r="T44" s="1020"/>
      <c r="U44" s="1020"/>
      <c r="V44" s="171" t="s">
        <v>58</v>
      </c>
      <c r="W44" s="720">
        <v>251</v>
      </c>
      <c r="X44" s="123">
        <f>Consolidated!$H62</f>
        <v>1173</v>
      </c>
      <c r="Y44" s="213">
        <f t="shared" si="10"/>
        <v>0</v>
      </c>
    </row>
    <row r="45" spans="1:25" x14ac:dyDescent="0.25">
      <c r="A45" s="1079"/>
      <c r="B45" s="1079"/>
      <c r="C45" s="122">
        <f>SUMIFS('ESE FTE'!F:F,'ESE FTE'!$A:$A,$I$2,'ESE FTE'!$E:$E,10)</f>
        <v>0</v>
      </c>
      <c r="D45" s="122">
        <f>SUMIFS('ESE FTE'!G:G,'ESE FTE'!$A:$A,$I$2,'ESE FTE'!$E:$E,10)</f>
        <v>0</v>
      </c>
      <c r="E45" s="1073">
        <f t="shared" si="8"/>
        <v>0</v>
      </c>
      <c r="F45" s="1073"/>
      <c r="G45" s="47" t="s">
        <v>58</v>
      </c>
      <c r="H45" s="717">
        <v>252</v>
      </c>
      <c r="I45" s="125">
        <f>Consolidated!$H63</f>
        <v>3506</v>
      </c>
      <c r="J45" s="46">
        <f t="shared" si="9"/>
        <v>0</v>
      </c>
      <c r="M45" s="2"/>
      <c r="R45" s="1018"/>
      <c r="S45" s="1018"/>
      <c r="T45" s="1020"/>
      <c r="U45" s="1020"/>
      <c r="V45" s="171" t="s">
        <v>58</v>
      </c>
      <c r="W45" s="720">
        <v>252</v>
      </c>
      <c r="X45" s="123">
        <f>Consolidated!$H63</f>
        <v>3506</v>
      </c>
      <c r="Y45" s="213">
        <f t="shared" si="10"/>
        <v>0</v>
      </c>
    </row>
    <row r="46" spans="1:25" x14ac:dyDescent="0.25">
      <c r="A46" s="1079"/>
      <c r="B46" s="1079"/>
      <c r="C46" s="122">
        <f>SUMIFS('ESE FTE'!F:F,'ESE FTE'!$A:$A,$I$2,'ESE FTE'!$E:$E,11)</f>
        <v>0</v>
      </c>
      <c r="D46" s="122">
        <f>SUMIFS('ESE FTE'!G:G,'ESE FTE'!$A:$A,$I$2,'ESE FTE'!$E:$E,11)</f>
        <v>0</v>
      </c>
      <c r="E46" s="1073">
        <f t="shared" si="8"/>
        <v>0</v>
      </c>
      <c r="F46" s="1073"/>
      <c r="G46" s="47" t="s">
        <v>58</v>
      </c>
      <c r="H46" s="717">
        <v>253</v>
      </c>
      <c r="I46" s="125">
        <f>Consolidated!$H64</f>
        <v>7023</v>
      </c>
      <c r="J46" s="46">
        <f t="shared" si="9"/>
        <v>0</v>
      </c>
      <c r="M46" s="2"/>
      <c r="R46" s="1018"/>
      <c r="S46" s="1018"/>
      <c r="T46" s="1020"/>
      <c r="U46" s="1020"/>
      <c r="V46" s="171" t="s">
        <v>58</v>
      </c>
      <c r="W46" s="720">
        <v>253</v>
      </c>
      <c r="X46" s="123">
        <f>Consolidated!$H64</f>
        <v>7023</v>
      </c>
      <c r="Y46" s="213">
        <f t="shared" si="10"/>
        <v>0</v>
      </c>
    </row>
    <row r="47" spans="1:25" ht="16.5" customHeight="1" x14ac:dyDescent="0.25">
      <c r="A47" s="1079"/>
      <c r="B47" s="1079"/>
      <c r="C47" s="122">
        <f>SUMIFS('ESE FTE'!F:F,'ESE FTE'!$A:$A,$I$2,'ESE FTE'!$E:$E,12)</f>
        <v>0</v>
      </c>
      <c r="D47" s="122">
        <f>SUMIFS('ESE FTE'!G:G,'ESE FTE'!$A:$A,$I$2,'ESE FTE'!$E:$E,12)</f>
        <v>0</v>
      </c>
      <c r="E47" s="1073">
        <f t="shared" si="8"/>
        <v>0</v>
      </c>
      <c r="F47" s="1073"/>
      <c r="G47" s="47" t="s">
        <v>59</v>
      </c>
      <c r="H47" s="717">
        <v>251</v>
      </c>
      <c r="I47" s="125">
        <f>Consolidated!$H65</f>
        <v>835</v>
      </c>
      <c r="J47" s="46">
        <f t="shared" si="9"/>
        <v>0</v>
      </c>
      <c r="M47" s="2"/>
      <c r="R47" s="1018"/>
      <c r="S47" s="1018"/>
      <c r="T47" s="1020"/>
      <c r="U47" s="1020"/>
      <c r="V47" s="171" t="s">
        <v>59</v>
      </c>
      <c r="W47" s="720">
        <v>251</v>
      </c>
      <c r="X47" s="123">
        <f>Consolidated!$H65</f>
        <v>835</v>
      </c>
      <c r="Y47" s="213">
        <f t="shared" si="10"/>
        <v>0</v>
      </c>
    </row>
    <row r="48" spans="1:25" ht="15.75" customHeight="1" x14ac:dyDescent="0.25">
      <c r="A48" s="1079"/>
      <c r="B48" s="1079"/>
      <c r="C48" s="122">
        <f>SUMIFS('ESE FTE'!F:F,'ESE FTE'!$A:$A,$I$2,'ESE FTE'!$E:$E,13)</f>
        <v>0</v>
      </c>
      <c r="D48" s="122">
        <f>SUMIFS('ESE FTE'!G:G,'ESE FTE'!$A:$A,$I$2,'ESE FTE'!$E:$E,13)</f>
        <v>0</v>
      </c>
      <c r="E48" s="1073">
        <f t="shared" si="8"/>
        <v>0</v>
      </c>
      <c r="F48" s="1073"/>
      <c r="G48" s="47" t="s">
        <v>59</v>
      </c>
      <c r="H48" s="717">
        <v>252</v>
      </c>
      <c r="I48" s="125">
        <f>Consolidated!$H66</f>
        <v>3168</v>
      </c>
      <c r="J48" s="46">
        <f t="shared" si="9"/>
        <v>0</v>
      </c>
      <c r="M48" s="2"/>
      <c r="R48" s="1018"/>
      <c r="S48" s="1018"/>
      <c r="T48" s="1020"/>
      <c r="U48" s="1020"/>
      <c r="V48" s="171" t="s">
        <v>59</v>
      </c>
      <c r="W48" s="720">
        <v>252</v>
      </c>
      <c r="X48" s="123">
        <f>Consolidated!$H66</f>
        <v>3168</v>
      </c>
      <c r="Y48" s="213">
        <f t="shared" si="10"/>
        <v>0</v>
      </c>
    </row>
    <row r="49" spans="1:25" ht="15.75" customHeight="1" thickBot="1" x14ac:dyDescent="0.3">
      <c r="A49" s="1079"/>
      <c r="B49" s="1079"/>
      <c r="C49" s="122">
        <f>SUMIFS('ESE FTE'!F:F,'ESE FTE'!$A:$A,$I$2,'ESE FTE'!$E:$E,14)</f>
        <v>0</v>
      </c>
      <c r="D49" s="122">
        <f>SUMIFS('ESE FTE'!G:G,'ESE FTE'!$A:$A,$I$2,'ESE FTE'!$E:$E,14)</f>
        <v>0</v>
      </c>
      <c r="E49" s="1074">
        <f t="shared" si="8"/>
        <v>0</v>
      </c>
      <c r="F49" s="1074"/>
      <c r="G49" s="47" t="s">
        <v>59</v>
      </c>
      <c r="H49" s="717">
        <v>253</v>
      </c>
      <c r="I49" s="125">
        <f>Consolidated!$H67</f>
        <v>6685</v>
      </c>
      <c r="J49" s="46">
        <f t="shared" si="9"/>
        <v>0</v>
      </c>
      <c r="M49" s="2"/>
      <c r="R49" s="1018"/>
      <c r="S49" s="1018"/>
      <c r="T49" s="1031"/>
      <c r="U49" s="1031"/>
      <c r="V49" s="171" t="s">
        <v>59</v>
      </c>
      <c r="W49" s="720">
        <v>253</v>
      </c>
      <c r="X49" s="123">
        <f>Consolidated!$H67</f>
        <v>6685</v>
      </c>
      <c r="Y49" s="213">
        <f t="shared" si="10"/>
        <v>0</v>
      </c>
    </row>
    <row r="50" spans="1:25" ht="15.75" customHeight="1" thickBot="1" x14ac:dyDescent="0.3">
      <c r="A50" s="1030" t="s">
        <v>60</v>
      </c>
      <c r="B50" s="1030"/>
      <c r="C50" s="774">
        <f>SUM(C41:C49)</f>
        <v>0</v>
      </c>
      <c r="D50" s="774">
        <f>SUM(D41:D49)</f>
        <v>0</v>
      </c>
      <c r="E50" s="1075">
        <f>SUM(E41:E49)</f>
        <v>0</v>
      </c>
      <c r="F50" s="1075"/>
      <c r="G50" s="1030" t="s">
        <v>61</v>
      </c>
      <c r="H50" s="1030"/>
      <c r="I50" s="1030"/>
      <c r="J50" s="220">
        <f>SUM(J41:J49)</f>
        <v>0</v>
      </c>
      <c r="M50" s="2"/>
      <c r="R50" s="1029" t="s">
        <v>60</v>
      </c>
      <c r="S50" s="1029"/>
      <c r="T50" s="1032">
        <f>SUM(T42:T49)</f>
        <v>0</v>
      </c>
      <c r="U50" s="1032"/>
      <c r="V50" s="1029" t="s">
        <v>61</v>
      </c>
      <c r="W50" s="1029"/>
      <c r="X50" s="1029"/>
      <c r="Y50" s="214">
        <f>SUM(Y41:Y49)</f>
        <v>0</v>
      </c>
    </row>
    <row r="51" spans="1:25" ht="15.75" customHeight="1" x14ac:dyDescent="0.25">
      <c r="A51" s="734"/>
      <c r="B51" s="734"/>
      <c r="C51" s="734"/>
      <c r="D51" s="734"/>
      <c r="E51" s="750"/>
      <c r="F51" s="750"/>
      <c r="G51" s="734"/>
      <c r="H51" s="734"/>
      <c r="I51" s="734"/>
      <c r="J51" s="35"/>
      <c r="M51" s="2"/>
      <c r="R51" s="1015" t="s">
        <v>62</v>
      </c>
      <c r="S51" s="1015"/>
      <c r="T51" s="1015"/>
      <c r="U51" s="1015"/>
      <c r="V51" s="1015"/>
      <c r="W51" s="1015"/>
      <c r="X51" s="1015"/>
      <c r="Y51" s="1015"/>
    </row>
    <row r="52" spans="1:25" ht="29.25" customHeight="1" x14ac:dyDescent="0.25">
      <c r="A52" s="1012" t="s">
        <v>62</v>
      </c>
      <c r="B52" s="1012"/>
      <c r="C52" s="1012"/>
      <c r="D52" s="1012"/>
      <c r="E52" s="1012"/>
      <c r="F52" s="1012"/>
      <c r="G52" s="1012"/>
      <c r="H52" s="1012"/>
      <c r="I52" s="1012"/>
      <c r="J52" s="1012"/>
      <c r="M52" s="2"/>
      <c r="R52" s="1035" t="s">
        <v>63</v>
      </c>
      <c r="S52" s="1035"/>
      <c r="T52" s="172">
        <f>T28</f>
        <v>0</v>
      </c>
      <c r="U52" s="173" t="s">
        <v>64</v>
      </c>
      <c r="V52" s="174"/>
      <c r="W52" s="175" t="s">
        <v>65</v>
      </c>
      <c r="X52" s="1037">
        <f>I53</f>
        <v>208856.94000000003</v>
      </c>
      <c r="Y52" s="1037"/>
    </row>
    <row r="53" spans="1:25" ht="16.5" customHeight="1" x14ac:dyDescent="0.25">
      <c r="A53" s="1013" t="s">
        <v>63</v>
      </c>
      <c r="B53" s="1013"/>
      <c r="C53" s="730"/>
      <c r="D53" s="730"/>
      <c r="E53" s="48">
        <f>E28</f>
        <v>0</v>
      </c>
      <c r="F53" s="49" t="s">
        <v>64</v>
      </c>
      <c r="G53" s="3"/>
      <c r="H53" s="50" t="s">
        <v>65</v>
      </c>
      <c r="I53" s="1111">
        <f>Consolidated!H$71</f>
        <v>208856.94000000003</v>
      </c>
      <c r="J53" s="1111"/>
      <c r="M53" s="2"/>
      <c r="R53" s="736"/>
      <c r="S53" s="727"/>
      <c r="T53" s="159"/>
      <c r="U53" s="159"/>
      <c r="V53" s="159"/>
      <c r="W53" s="178" t="s">
        <v>66</v>
      </c>
      <c r="X53" s="1038">
        <f>ROUND(T52/X52,6)</f>
        <v>0</v>
      </c>
      <c r="Y53" s="1038"/>
    </row>
    <row r="54" spans="1:25" ht="22.5" customHeight="1" x14ac:dyDescent="0.25">
      <c r="A54" s="730"/>
      <c r="B54" s="714"/>
      <c r="C54" s="714"/>
      <c r="D54" s="714"/>
      <c r="H54" s="53" t="s">
        <v>66</v>
      </c>
      <c r="I54" s="1064">
        <f>IFERROR(ROUND(E53/I53,6),0)</f>
        <v>0</v>
      </c>
      <c r="J54" s="1064"/>
      <c r="M54" s="2"/>
      <c r="R54" s="1015" t="s">
        <v>158</v>
      </c>
      <c r="S54" s="1015"/>
      <c r="T54" s="1015"/>
      <c r="U54" s="1015"/>
      <c r="V54" s="1015"/>
      <c r="W54" s="1015"/>
      <c r="X54" s="1015"/>
      <c r="Y54" s="1015"/>
    </row>
    <row r="55" spans="1:25" ht="15" customHeight="1" x14ac:dyDescent="0.25">
      <c r="A55" s="1012" t="s">
        <v>67</v>
      </c>
      <c r="B55" s="1012"/>
      <c r="C55" s="1012"/>
      <c r="D55" s="1012"/>
      <c r="E55" s="1012"/>
      <c r="F55" s="1012"/>
      <c r="G55" s="1012"/>
      <c r="H55" s="1012"/>
      <c r="I55" s="1012"/>
      <c r="J55" s="1012"/>
      <c r="M55" s="2"/>
      <c r="R55" s="1035" t="s">
        <v>68</v>
      </c>
      <c r="S55" s="1035"/>
      <c r="T55" s="172">
        <f>X28</f>
        <v>0</v>
      </c>
      <c r="U55" s="173" t="s">
        <v>64</v>
      </c>
      <c r="V55" s="174"/>
      <c r="W55" s="175" t="s">
        <v>69</v>
      </c>
      <c r="X55" s="1037">
        <f>I56</f>
        <v>221542.28000000003</v>
      </c>
      <c r="Y55" s="1037"/>
    </row>
    <row r="56" spans="1:25" ht="16.5" customHeight="1" x14ac:dyDescent="0.25">
      <c r="A56" s="1013" t="s">
        <v>68</v>
      </c>
      <c r="B56" s="1013"/>
      <c r="C56" s="730"/>
      <c r="D56" s="730"/>
      <c r="E56" s="48">
        <f>G33</f>
        <v>0</v>
      </c>
      <c r="F56" s="49" t="s">
        <v>64</v>
      </c>
      <c r="G56" s="3"/>
      <c r="H56" s="50" t="s">
        <v>69</v>
      </c>
      <c r="I56" s="1111">
        <f>Consolidated!H$74</f>
        <v>221542.28000000003</v>
      </c>
      <c r="J56" s="1111"/>
      <c r="M56" s="2"/>
      <c r="R56" s="736"/>
      <c r="S56" s="159"/>
      <c r="T56" s="159"/>
      <c r="U56" s="159"/>
      <c r="V56" s="159"/>
      <c r="W56" s="178" t="s">
        <v>66</v>
      </c>
      <c r="X56" s="1038">
        <f>ROUND(T55/X55,6)</f>
        <v>0</v>
      </c>
      <c r="Y56" s="1038"/>
    </row>
    <row r="57" spans="1:25" ht="18.75" customHeight="1" x14ac:dyDescent="0.25">
      <c r="A57" s="730"/>
      <c r="H57" s="53" t="s">
        <v>66</v>
      </c>
      <c r="I57" s="1064">
        <f>IFERROR(ROUND(E56/I56,6),0)</f>
        <v>0</v>
      </c>
      <c r="J57" s="1064"/>
      <c r="M57" s="2"/>
      <c r="P57" s="729"/>
      <c r="Q57" s="54"/>
      <c r="R57" s="1015" t="s">
        <v>70</v>
      </c>
      <c r="S57" s="1015"/>
      <c r="T57" s="1015"/>
      <c r="U57" s="1015"/>
      <c r="V57" s="1015"/>
      <c r="W57" s="1015"/>
      <c r="X57" s="1015"/>
      <c r="Y57" s="1015"/>
    </row>
    <row r="58" spans="1:25" ht="18.75" customHeight="1" x14ac:dyDescent="0.25">
      <c r="A58" s="1012" t="s">
        <v>70</v>
      </c>
      <c r="B58" s="1012"/>
      <c r="C58" s="1012"/>
      <c r="D58" s="1012"/>
      <c r="E58" s="1012"/>
      <c r="F58" s="1012"/>
      <c r="G58" s="1012"/>
      <c r="H58" s="1012"/>
      <c r="I58" s="1012"/>
      <c r="J58" s="1012"/>
      <c r="M58" s="2"/>
      <c r="R58" s="1035" t="s">
        <v>71</v>
      </c>
      <c r="S58" s="1035"/>
      <c r="T58" s="172">
        <f>T28</f>
        <v>0</v>
      </c>
      <c r="U58" s="173" t="s">
        <v>64</v>
      </c>
      <c r="V58" s="1036" t="s">
        <v>72</v>
      </c>
      <c r="W58" s="1036"/>
      <c r="X58" s="1037">
        <f>I59</f>
        <v>175905.69000000003</v>
      </c>
      <c r="Y58" s="1037"/>
    </row>
    <row r="59" spans="1:25" ht="18.75" customHeight="1" x14ac:dyDescent="0.25">
      <c r="A59" s="1013" t="s">
        <v>71</v>
      </c>
      <c r="B59" s="1013"/>
      <c r="C59" s="730"/>
      <c r="D59" s="730"/>
      <c r="E59" s="48">
        <f>E28</f>
        <v>0</v>
      </c>
      <c r="F59" s="49" t="s">
        <v>64</v>
      </c>
      <c r="G59" s="1107" t="s">
        <v>72</v>
      </c>
      <c r="H59" s="1107"/>
      <c r="I59" s="1111">
        <f>Consolidated!H$77</f>
        <v>175905.69000000003</v>
      </c>
      <c r="J59" s="1111"/>
      <c r="M59" s="2"/>
      <c r="R59" s="736"/>
      <c r="S59" s="159"/>
      <c r="T59" s="159"/>
      <c r="U59" s="159"/>
      <c r="V59" s="159"/>
      <c r="W59" s="178" t="s">
        <v>66</v>
      </c>
      <c r="X59" s="1038">
        <f>ROUND(T58/X58,6)</f>
        <v>0</v>
      </c>
      <c r="Y59" s="1038"/>
    </row>
    <row r="60" spans="1:25" ht="18" customHeight="1" x14ac:dyDescent="0.25">
      <c r="A60" s="730"/>
      <c r="H60" s="53" t="s">
        <v>66</v>
      </c>
      <c r="I60" s="1064">
        <f>IFERROR(ROUND(E59/I59,6),0)</f>
        <v>0</v>
      </c>
      <c r="J60" s="1064"/>
      <c r="M60" s="2"/>
      <c r="R60" s="1015" t="s">
        <v>73</v>
      </c>
      <c r="S60" s="1015"/>
      <c r="T60" s="1015"/>
      <c r="U60" s="1015"/>
      <c r="V60" s="1015"/>
      <c r="W60" s="1015"/>
      <c r="X60" s="1015"/>
      <c r="Y60" s="1015"/>
    </row>
    <row r="61" spans="1:25" ht="19.5" customHeight="1" x14ac:dyDescent="0.25">
      <c r="A61" s="1012" t="s">
        <v>73</v>
      </c>
      <c r="B61" s="1012"/>
      <c r="C61" s="1012"/>
      <c r="D61" s="1012"/>
      <c r="E61" s="1012"/>
      <c r="F61" s="1012"/>
      <c r="G61" s="1012"/>
      <c r="H61" s="1012"/>
      <c r="I61" s="1012"/>
      <c r="J61" s="1012"/>
      <c r="M61" s="2"/>
      <c r="R61" s="1035" t="s">
        <v>71</v>
      </c>
      <c r="S61" s="1035"/>
      <c r="T61" s="172">
        <f>T28</f>
        <v>0</v>
      </c>
      <c r="U61" s="173" t="s">
        <v>64</v>
      </c>
      <c r="V61" s="1036" t="s">
        <v>74</v>
      </c>
      <c r="W61" s="1036"/>
      <c r="X61" s="1037">
        <f>I62</f>
        <v>208541.94000000003</v>
      </c>
      <c r="Y61" s="1037"/>
    </row>
    <row r="62" spans="1:25" ht="30.75" customHeight="1" x14ac:dyDescent="0.25">
      <c r="A62" s="1013" t="s">
        <v>71</v>
      </c>
      <c r="B62" s="1013"/>
      <c r="C62" s="730"/>
      <c r="D62" s="730"/>
      <c r="E62" s="48">
        <f>E28</f>
        <v>0</v>
      </c>
      <c r="F62" s="49" t="s">
        <v>64</v>
      </c>
      <c r="G62" s="1107" t="s">
        <v>74</v>
      </c>
      <c r="H62" s="1107"/>
      <c r="I62" s="1111">
        <f>Consolidated!H$80</f>
        <v>208541.94000000003</v>
      </c>
      <c r="J62" s="1111"/>
      <c r="M62" s="2"/>
      <c r="R62" s="736"/>
      <c r="S62" s="159"/>
      <c r="T62" s="159"/>
      <c r="U62" s="159"/>
      <c r="V62" s="159"/>
      <c r="W62" s="178" t="s">
        <v>66</v>
      </c>
      <c r="X62" s="1038">
        <f>ROUND(T61/X61,6)</f>
        <v>0</v>
      </c>
      <c r="Y62" s="1038"/>
    </row>
    <row r="63" spans="1:25" ht="19.5" customHeight="1" x14ac:dyDescent="0.25">
      <c r="A63" s="730"/>
      <c r="H63" s="53" t="s">
        <v>66</v>
      </c>
      <c r="I63" s="1064">
        <f>IFERROR(ROUND(E62/I62,6),0)</f>
        <v>0</v>
      </c>
      <c r="J63" s="1064"/>
      <c r="L63" s="55"/>
      <c r="M63" s="56"/>
      <c r="O63" s="57"/>
      <c r="P63" s="58"/>
      <c r="R63" s="1015" t="s">
        <v>75</v>
      </c>
      <c r="S63" s="1015"/>
      <c r="T63" s="1015"/>
      <c r="U63" s="1015"/>
      <c r="V63" s="1015"/>
      <c r="W63" s="1015"/>
      <c r="X63" s="1015"/>
      <c r="Y63" s="1015"/>
    </row>
    <row r="64" spans="1:25" ht="15" customHeight="1" x14ac:dyDescent="0.25">
      <c r="A64" s="1012" t="s">
        <v>75</v>
      </c>
      <c r="B64" s="1012"/>
      <c r="C64" s="1012"/>
      <c r="D64" s="1012"/>
      <c r="E64" s="1012"/>
      <c r="F64" s="1012"/>
      <c r="G64" s="1012"/>
      <c r="H64" s="1012"/>
      <c r="I64" s="1012"/>
      <c r="J64" s="1012"/>
      <c r="M64" s="2"/>
      <c r="R64" s="1035" t="s">
        <v>71</v>
      </c>
      <c r="S64" s="1035"/>
      <c r="T64" s="172">
        <f>T28</f>
        <v>0</v>
      </c>
      <c r="U64" s="173" t="s">
        <v>64</v>
      </c>
      <c r="V64" s="1036" t="s">
        <v>159</v>
      </c>
      <c r="W64" s="1036"/>
      <c r="X64" s="1037">
        <f>I65</f>
        <v>175590.69000000003</v>
      </c>
      <c r="Y64" s="1037"/>
    </row>
    <row r="65" spans="1:26" ht="49.5" customHeight="1" x14ac:dyDescent="0.25">
      <c r="A65" s="1013" t="s">
        <v>71</v>
      </c>
      <c r="B65" s="1013"/>
      <c r="C65" s="730"/>
      <c r="D65" s="730"/>
      <c r="E65" s="48">
        <f>E28</f>
        <v>0</v>
      </c>
      <c r="F65" s="49" t="s">
        <v>64</v>
      </c>
      <c r="G65" s="1107" t="s">
        <v>76</v>
      </c>
      <c r="H65" s="1107"/>
      <c r="I65" s="1111">
        <f>Consolidated!H$83</f>
        <v>175590.69000000003</v>
      </c>
      <c r="J65" s="1111"/>
      <c r="M65" s="2"/>
      <c r="R65" s="179"/>
      <c r="S65" s="159"/>
      <c r="T65" s="159"/>
      <c r="U65" s="159"/>
      <c r="V65" s="159"/>
      <c r="W65" s="178" t="s">
        <v>66</v>
      </c>
      <c r="X65" s="1038">
        <f>ROUND(T64/X64,6)</f>
        <v>0</v>
      </c>
      <c r="Y65" s="1038"/>
    </row>
    <row r="66" spans="1:26" ht="19.5" customHeight="1" x14ac:dyDescent="0.25">
      <c r="A66" s="730"/>
      <c r="H66" s="53" t="s">
        <v>66</v>
      </c>
      <c r="I66" s="1064">
        <f>IFERROR(ROUND(E65/I65,6),0)</f>
        <v>0</v>
      </c>
      <c r="J66" s="1064"/>
      <c r="M66" s="2"/>
      <c r="R66" s="736"/>
      <c r="S66" s="168"/>
      <c r="T66" s="168"/>
      <c r="U66" s="168"/>
      <c r="V66" s="168"/>
      <c r="W66" s="180"/>
      <c r="X66" s="181"/>
      <c r="Y66" s="181"/>
    </row>
    <row r="67" spans="1:26" ht="21" customHeight="1" x14ac:dyDescent="0.25">
      <c r="A67" s="59"/>
      <c r="B67" s="44"/>
      <c r="C67" s="44"/>
      <c r="D67" s="44"/>
      <c r="E67" s="44"/>
      <c r="F67" s="44"/>
      <c r="G67" s="44"/>
      <c r="H67" s="60"/>
      <c r="I67" s="61"/>
      <c r="J67" s="61"/>
      <c r="M67" s="2"/>
      <c r="R67" s="1015" t="s">
        <v>77</v>
      </c>
      <c r="S67" s="1015"/>
      <c r="T67" s="1015"/>
      <c r="U67" s="740"/>
      <c r="V67" s="182">
        <f>G68</f>
        <v>45866714</v>
      </c>
      <c r="W67" s="720" t="s">
        <v>79</v>
      </c>
      <c r="X67" s="165">
        <f>X62</f>
        <v>0</v>
      </c>
      <c r="Y67" s="215">
        <f>ROUND(V67*X67,2)</f>
        <v>0</v>
      </c>
    </row>
    <row r="68" spans="1:26" ht="30.75" customHeight="1" x14ac:dyDescent="0.25">
      <c r="A68" s="1065" t="s">
        <v>77</v>
      </c>
      <c r="B68" s="1065"/>
      <c r="C68" s="1065"/>
      <c r="D68" s="1065"/>
      <c r="E68" s="1065"/>
      <c r="F68" s="745" t="s">
        <v>78</v>
      </c>
      <c r="G68" s="221">
        <f>Consolidated!F$86</f>
        <v>45866714</v>
      </c>
      <c r="H68" s="717" t="s">
        <v>79</v>
      </c>
      <c r="I68" s="41">
        <f>I63</f>
        <v>0</v>
      </c>
      <c r="J68" s="127">
        <f>ROUND(G68*I68,2)</f>
        <v>0</v>
      </c>
      <c r="M68" s="2"/>
      <c r="R68" s="1014" t="s">
        <v>80</v>
      </c>
      <c r="S68" s="1014"/>
      <c r="T68" s="731"/>
      <c r="U68" s="740"/>
      <c r="V68" s="183"/>
      <c r="W68" s="720"/>
      <c r="X68" s="165"/>
      <c r="Y68" s="215"/>
    </row>
    <row r="69" spans="1:26" ht="30.75" customHeight="1" x14ac:dyDescent="0.25">
      <c r="A69" s="1066" t="s">
        <v>80</v>
      </c>
      <c r="B69" s="1066"/>
      <c r="C69" s="747"/>
      <c r="D69" s="747"/>
      <c r="E69" s="729"/>
      <c r="F69" s="745"/>
      <c r="G69" s="63"/>
      <c r="H69" s="717"/>
      <c r="I69" s="41"/>
      <c r="J69" s="62"/>
      <c r="M69" s="2"/>
      <c r="R69" s="1041" t="s">
        <v>160</v>
      </c>
      <c r="S69" s="1035"/>
      <c r="T69" s="1035"/>
      <c r="U69" s="740"/>
      <c r="V69" s="184">
        <f>G70</f>
        <v>0</v>
      </c>
      <c r="W69" s="720" t="s">
        <v>79</v>
      </c>
      <c r="X69" s="165">
        <f>X53</f>
        <v>0</v>
      </c>
      <c r="Y69" s="212">
        <f t="shared" ref="Y69:Y71" si="11">ROUND(V69*X69,2)</f>
        <v>0</v>
      </c>
    </row>
    <row r="70" spans="1:26" ht="17.25" customHeight="1" x14ac:dyDescent="0.25">
      <c r="A70" s="1067" t="s">
        <v>81</v>
      </c>
      <c r="B70" s="1067"/>
      <c r="C70" s="1067"/>
      <c r="D70" s="1067"/>
      <c r="E70" s="1067"/>
      <c r="F70" s="745" t="s">
        <v>82</v>
      </c>
      <c r="G70" s="221">
        <f>Consolidated!F$89</f>
        <v>0</v>
      </c>
      <c r="H70" s="717" t="s">
        <v>79</v>
      </c>
      <c r="I70" s="41">
        <f>I54</f>
        <v>0</v>
      </c>
      <c r="J70" s="127">
        <f>ROUND(G70*I70,2)</f>
        <v>0</v>
      </c>
      <c r="M70" s="2"/>
      <c r="R70" s="1015" t="s">
        <v>161</v>
      </c>
      <c r="S70" s="1015"/>
      <c r="T70" s="1015"/>
      <c r="U70" s="740"/>
      <c r="V70" s="182">
        <f>G71</f>
        <v>18834423</v>
      </c>
      <c r="W70" s="720" t="s">
        <v>79</v>
      </c>
      <c r="X70" s="165">
        <f>X65</f>
        <v>0</v>
      </c>
      <c r="Y70" s="212">
        <f t="shared" si="11"/>
        <v>0</v>
      </c>
    </row>
    <row r="71" spans="1:26" ht="19.5" customHeight="1" x14ac:dyDescent="0.25">
      <c r="A71" s="1012" t="s">
        <v>83</v>
      </c>
      <c r="B71" s="1012"/>
      <c r="C71" s="1012"/>
      <c r="D71" s="1012"/>
      <c r="E71" s="1012"/>
      <c r="F71" s="745" t="s">
        <v>84</v>
      </c>
      <c r="G71" s="221">
        <f>Consolidated!F$91</f>
        <v>18834423</v>
      </c>
      <c r="H71" s="717" t="s">
        <v>79</v>
      </c>
      <c r="I71" s="41">
        <f>I66</f>
        <v>0</v>
      </c>
      <c r="J71" s="127">
        <f>ROUND(G71*I71,2)</f>
        <v>0</v>
      </c>
      <c r="M71" s="2"/>
      <c r="R71" s="731" t="s">
        <v>162</v>
      </c>
      <c r="S71" s="731"/>
      <c r="T71" s="731"/>
      <c r="U71" s="740"/>
      <c r="V71" s="160">
        <f>G72</f>
        <v>11226031</v>
      </c>
      <c r="W71" s="720" t="s">
        <v>79</v>
      </c>
      <c r="X71" s="165">
        <f>X59</f>
        <v>0</v>
      </c>
      <c r="Y71" s="212">
        <f t="shared" si="11"/>
        <v>0</v>
      </c>
    </row>
    <row r="72" spans="1:26" ht="19.5" customHeight="1" x14ac:dyDescent="0.25">
      <c r="A72" s="729" t="s">
        <v>85</v>
      </c>
      <c r="B72" s="729"/>
      <c r="C72" s="729"/>
      <c r="D72" s="729"/>
      <c r="E72" s="729"/>
      <c r="F72" s="745" t="s">
        <v>86</v>
      </c>
      <c r="G72" s="221">
        <f>Consolidated!F$93</f>
        <v>11226031</v>
      </c>
      <c r="H72" s="717" t="s">
        <v>79</v>
      </c>
      <c r="I72" s="41">
        <f>I60</f>
        <v>0</v>
      </c>
      <c r="J72" s="127">
        <f>ROUND(G72*I72,2)</f>
        <v>0</v>
      </c>
      <c r="M72" s="2"/>
      <c r="R72" s="731" t="s">
        <v>163</v>
      </c>
      <c r="S72" s="731"/>
      <c r="T72" s="731"/>
      <c r="U72" s="740"/>
      <c r="V72" s="185"/>
      <c r="W72" s="720"/>
      <c r="X72" s="165"/>
      <c r="Y72" s="167"/>
    </row>
    <row r="73" spans="1:26" ht="24.75" customHeight="1" x14ac:dyDescent="0.25">
      <c r="A73" s="729" t="s">
        <v>87</v>
      </c>
      <c r="B73" s="729"/>
      <c r="C73" s="729"/>
      <c r="D73" s="729"/>
      <c r="E73" s="729"/>
      <c r="F73" s="745" t="s">
        <v>88</v>
      </c>
      <c r="G73" s="64"/>
      <c r="H73" s="717"/>
      <c r="I73" s="41"/>
      <c r="J73" s="30"/>
      <c r="M73" s="2"/>
      <c r="R73" s="997" t="s">
        <v>89</v>
      </c>
      <c r="S73" s="997"/>
      <c r="T73" s="1026" t="s">
        <v>164</v>
      </c>
      <c r="U73" s="1027"/>
      <c r="V73" s="1027"/>
      <c r="W73" s="1027"/>
      <c r="X73" s="1027"/>
      <c r="Y73" s="142"/>
    </row>
    <row r="74" spans="1:26" ht="63" customHeight="1" x14ac:dyDescent="0.25">
      <c r="A74" s="972" t="s">
        <v>89</v>
      </c>
      <c r="B74" s="972"/>
      <c r="C74" s="713"/>
      <c r="D74" s="713"/>
      <c r="E74" s="973" t="s">
        <v>90</v>
      </c>
      <c r="F74" s="974"/>
      <c r="G74" s="974"/>
      <c r="H74" s="974"/>
      <c r="I74" s="974"/>
      <c r="J74" s="18"/>
      <c r="M74" s="2"/>
      <c r="R74" s="1042" t="s">
        <v>91</v>
      </c>
      <c r="S74" s="1042"/>
      <c r="T74" s="186"/>
      <c r="U74" s="186"/>
      <c r="V74" s="186"/>
      <c r="W74" s="186"/>
      <c r="X74" s="186"/>
      <c r="Y74" s="186"/>
    </row>
    <row r="75" spans="1:26" ht="22.5" customHeight="1" x14ac:dyDescent="0.25">
      <c r="A75" s="958" t="s">
        <v>91</v>
      </c>
      <c r="B75" s="958"/>
      <c r="C75" s="712"/>
      <c r="D75" s="712"/>
      <c r="E75" s="65"/>
      <c r="F75" s="65"/>
      <c r="G75" s="65"/>
      <c r="H75" s="65"/>
      <c r="I75" s="65"/>
      <c r="J75" s="118"/>
      <c r="L75" s="66"/>
      <c r="M75" s="2"/>
      <c r="O75" s="745"/>
      <c r="P75" s="745"/>
      <c r="R75" s="1042" t="s">
        <v>92</v>
      </c>
      <c r="S75" s="1042"/>
      <c r="T75" s="186"/>
      <c r="U75" s="186"/>
      <c r="V75" s="186"/>
      <c r="W75" s="186"/>
      <c r="X75" s="186"/>
      <c r="Y75" s="186"/>
    </row>
    <row r="76" spans="1:26" ht="18.75" customHeight="1" x14ac:dyDescent="0.25">
      <c r="A76" s="958" t="s">
        <v>92</v>
      </c>
      <c r="B76" s="958"/>
      <c r="C76" s="712"/>
      <c r="D76" s="712"/>
      <c r="E76" s="65"/>
      <c r="F76" s="65"/>
      <c r="G76" s="65"/>
      <c r="H76" s="65"/>
      <c r="I76" s="65"/>
      <c r="J76" s="118"/>
      <c r="L76" s="67"/>
      <c r="M76" s="2"/>
      <c r="O76" s="745"/>
      <c r="P76" s="745"/>
      <c r="R76" s="1043" t="s">
        <v>93</v>
      </c>
      <c r="S76" s="1043"/>
      <c r="T76" s="187"/>
      <c r="U76" s="187"/>
      <c r="V76" s="187"/>
      <c r="W76" s="187"/>
      <c r="X76" s="187"/>
      <c r="Y76" s="186"/>
    </row>
    <row r="77" spans="1:26" ht="18.75" customHeight="1" x14ac:dyDescent="0.25">
      <c r="A77" s="976" t="s">
        <v>93</v>
      </c>
      <c r="B77" s="976"/>
      <c r="C77" s="715"/>
      <c r="D77" s="715"/>
      <c r="E77" s="68"/>
      <c r="F77" s="68"/>
      <c r="G77" s="68"/>
      <c r="H77" s="68"/>
      <c r="I77" s="68"/>
      <c r="J77" s="117"/>
      <c r="L77" s="67"/>
      <c r="M77" s="2"/>
      <c r="O77" s="745"/>
      <c r="P77" s="745"/>
      <c r="R77" s="737" t="s">
        <v>94</v>
      </c>
      <c r="S77" s="737"/>
      <c r="T77" s="186"/>
      <c r="U77" s="186"/>
      <c r="V77" s="186"/>
      <c r="W77" s="186"/>
      <c r="X77" s="186"/>
      <c r="Y77" s="186"/>
    </row>
    <row r="78" spans="1:26" ht="20.25" customHeight="1" x14ac:dyDescent="0.25">
      <c r="A78" s="712" t="s">
        <v>94</v>
      </c>
      <c r="B78" s="712"/>
      <c r="C78" s="712"/>
      <c r="D78" s="712"/>
      <c r="E78" s="65"/>
      <c r="F78" s="65"/>
      <c r="G78" s="65"/>
      <c r="H78" s="65"/>
      <c r="I78" s="65"/>
      <c r="J78" s="118"/>
      <c r="K78" s="70"/>
      <c r="L78" s="70"/>
      <c r="M78" s="71"/>
      <c r="N78" s="70"/>
      <c r="O78" s="70"/>
      <c r="P78" s="70"/>
      <c r="Q78" s="70"/>
      <c r="R78" s="1042" t="s">
        <v>95</v>
      </c>
      <c r="S78" s="1042"/>
      <c r="T78" s="186"/>
      <c r="U78" s="186"/>
      <c r="V78" s="186"/>
      <c r="W78" s="186"/>
      <c r="X78" s="186"/>
      <c r="Y78" s="186"/>
      <c r="Z78" s="72"/>
    </row>
    <row r="79" spans="1:26" ht="18.75" customHeight="1" x14ac:dyDescent="0.25">
      <c r="A79" s="958" t="s">
        <v>95</v>
      </c>
      <c r="B79" s="958"/>
      <c r="C79" s="712"/>
      <c r="D79" s="712"/>
      <c r="E79" s="65"/>
      <c r="F79" s="65"/>
      <c r="G79" s="65"/>
      <c r="H79" s="65"/>
      <c r="I79" s="65"/>
      <c r="J79" s="118"/>
      <c r="K79" s="70"/>
      <c r="L79" s="70"/>
      <c r="M79" s="71"/>
      <c r="N79" s="70"/>
      <c r="O79" s="70"/>
      <c r="P79" s="70"/>
      <c r="Q79" s="70"/>
      <c r="R79" s="1021" t="s">
        <v>96</v>
      </c>
      <c r="S79" s="1021"/>
      <c r="T79" s="189"/>
      <c r="U79" s="189"/>
      <c r="V79" s="189"/>
      <c r="W79" s="189"/>
      <c r="X79" s="189"/>
      <c r="Y79" s="186"/>
      <c r="Z79" s="72"/>
    </row>
    <row r="80" spans="1:26" ht="17.25" customHeight="1" x14ac:dyDescent="0.25">
      <c r="A80" s="977" t="s">
        <v>96</v>
      </c>
      <c r="B80" s="977"/>
      <c r="C80" s="716"/>
      <c r="D80" s="716"/>
      <c r="E80" s="73"/>
      <c r="F80" s="73"/>
      <c r="G80" s="73"/>
      <c r="H80" s="73"/>
      <c r="I80" s="73"/>
      <c r="J80" s="118">
        <v>0</v>
      </c>
      <c r="K80" s="70"/>
      <c r="L80" s="70"/>
      <c r="M80" s="71"/>
      <c r="N80" s="70"/>
      <c r="O80" s="70"/>
      <c r="P80" s="70"/>
      <c r="Q80" s="70"/>
      <c r="R80" s="733"/>
      <c r="S80" s="733"/>
      <c r="T80" s="733"/>
      <c r="U80" s="733"/>
      <c r="V80" s="153"/>
      <c r="W80" s="732"/>
      <c r="X80" s="732" t="s">
        <v>97</v>
      </c>
      <c r="Y80" s="190">
        <f>SUM(Y74:Y79)</f>
        <v>0</v>
      </c>
      <c r="Z80" s="72"/>
    </row>
    <row r="81" spans="1:26" ht="17.25" customHeight="1" x14ac:dyDescent="0.25">
      <c r="A81" s="734"/>
      <c r="B81" s="734"/>
      <c r="C81" s="734"/>
      <c r="D81" s="734"/>
      <c r="E81" s="734"/>
      <c r="F81" s="734"/>
      <c r="G81" s="31"/>
      <c r="H81" s="750"/>
      <c r="I81" s="750" t="s">
        <v>97</v>
      </c>
      <c r="J81" s="74">
        <f>SUM(J75:J80)</f>
        <v>0</v>
      </c>
      <c r="K81" s="70"/>
      <c r="L81" s="70"/>
      <c r="M81" s="71"/>
      <c r="N81" s="70"/>
      <c r="O81" s="70"/>
      <c r="P81" s="70"/>
      <c r="Q81" s="70"/>
      <c r="R81" s="733"/>
      <c r="S81" s="733"/>
      <c r="T81" s="733"/>
      <c r="U81" s="733"/>
      <c r="V81" s="153"/>
      <c r="W81" s="732"/>
      <c r="X81" s="732" t="s">
        <v>98</v>
      </c>
      <c r="Y81" s="190">
        <f>J82</f>
        <v>12903.05</v>
      </c>
      <c r="Z81" s="72"/>
    </row>
    <row r="82" spans="1:26" ht="18.75" customHeight="1" x14ac:dyDescent="0.25">
      <c r="A82" s="734"/>
      <c r="B82" s="734"/>
      <c r="C82" s="734"/>
      <c r="D82" s="734"/>
      <c r="E82" s="734"/>
      <c r="F82" s="734"/>
      <c r="G82" s="31"/>
      <c r="H82" s="750"/>
      <c r="I82" s="750" t="s">
        <v>98</v>
      </c>
      <c r="J82" s="74">
        <f>Consolidated!J$104</f>
        <v>12903.05</v>
      </c>
      <c r="K82" s="70"/>
      <c r="L82" s="70"/>
      <c r="M82" s="71"/>
      <c r="N82" s="70"/>
      <c r="O82" s="70"/>
      <c r="P82" s="70"/>
      <c r="Q82" s="70"/>
      <c r="R82" s="733"/>
      <c r="S82" s="733"/>
      <c r="T82" s="733"/>
      <c r="U82" s="733"/>
      <c r="V82" s="153"/>
      <c r="W82" s="732"/>
      <c r="X82" s="732"/>
      <c r="Y82" s="191"/>
      <c r="Z82" s="72"/>
    </row>
    <row r="83" spans="1:26" ht="15.75" customHeight="1" x14ac:dyDescent="0.25">
      <c r="A83" s="734"/>
      <c r="B83" s="734"/>
      <c r="C83" s="734"/>
      <c r="D83" s="734"/>
      <c r="E83" s="734"/>
      <c r="F83" s="734"/>
      <c r="G83" s="31"/>
      <c r="H83" s="750"/>
      <c r="I83" s="750"/>
      <c r="J83" s="75"/>
      <c r="K83" s="70"/>
      <c r="L83" s="70"/>
      <c r="M83" s="71"/>
      <c r="N83" s="70"/>
      <c r="O83" s="70"/>
      <c r="P83" s="70"/>
      <c r="Q83" s="70"/>
      <c r="R83" s="1006" t="s">
        <v>99</v>
      </c>
      <c r="S83" s="1006"/>
      <c r="T83" s="159"/>
      <c r="U83" s="159"/>
      <c r="V83" s="160">
        <f>G84</f>
        <v>58502790</v>
      </c>
      <c r="W83" s="720" t="s">
        <v>79</v>
      </c>
      <c r="X83" s="165">
        <f>IFERROR(ROUND(Y80/Y81,6),0)</f>
        <v>0</v>
      </c>
      <c r="Y83" s="212">
        <f>ROUND(V83*X83,2)</f>
        <v>0</v>
      </c>
      <c r="Z83" s="72"/>
    </row>
    <row r="84" spans="1:26" ht="21" customHeight="1" x14ac:dyDescent="0.25">
      <c r="A84" s="975" t="s">
        <v>99</v>
      </c>
      <c r="B84" s="975"/>
      <c r="C84" s="714"/>
      <c r="D84" s="714"/>
      <c r="G84" s="112">
        <f>Consolidated!F$106</f>
        <v>58502790</v>
      </c>
      <c r="H84" s="717" t="s">
        <v>79</v>
      </c>
      <c r="I84" s="41">
        <f>IFERROR(ROUND(J81/J82,6),0)</f>
        <v>0</v>
      </c>
      <c r="J84" s="62">
        <f>ROUND(G84*I84,2)</f>
        <v>0</v>
      </c>
      <c r="K84" s="70"/>
      <c r="L84" s="70"/>
      <c r="M84" s="71"/>
      <c r="N84" s="70"/>
      <c r="O84" s="70"/>
      <c r="P84" s="70"/>
      <c r="Q84" s="70"/>
      <c r="R84" s="1015" t="s">
        <v>165</v>
      </c>
      <c r="S84" s="1015"/>
      <c r="T84" s="1015"/>
      <c r="U84" s="740"/>
      <c r="V84" s="218"/>
      <c r="W84" s="720"/>
      <c r="X84" s="165"/>
      <c r="Y84" s="212"/>
    </row>
    <row r="85" spans="1:26" ht="17.25" customHeight="1" x14ac:dyDescent="0.25">
      <c r="A85" s="1012" t="s">
        <v>100</v>
      </c>
      <c r="B85" s="1012"/>
      <c r="C85" s="1012"/>
      <c r="D85" s="1012"/>
      <c r="E85" s="1012"/>
      <c r="F85" s="745" t="s">
        <v>101</v>
      </c>
      <c r="G85" s="112">
        <f>Consolidated!F$108</f>
        <v>283895192</v>
      </c>
      <c r="H85" s="717" t="s">
        <v>79</v>
      </c>
      <c r="I85" s="41">
        <f>I57</f>
        <v>0</v>
      </c>
      <c r="J85" s="127">
        <f>ROUND(G85*I85,2)</f>
        <v>0</v>
      </c>
      <c r="K85" s="70"/>
      <c r="L85" s="70"/>
      <c r="M85" s="71"/>
      <c r="N85" s="70"/>
      <c r="O85" s="70"/>
      <c r="P85" s="70"/>
      <c r="Q85" s="70"/>
      <c r="R85" s="1015" t="s">
        <v>166</v>
      </c>
      <c r="S85" s="1015"/>
      <c r="T85" s="1015"/>
      <c r="U85" s="740"/>
      <c r="V85" s="160">
        <f>G85</f>
        <v>283895192</v>
      </c>
      <c r="W85" s="720" t="s">
        <v>79</v>
      </c>
      <c r="X85" s="165">
        <f>X56</f>
        <v>0</v>
      </c>
      <c r="Y85" s="212">
        <f t="shared" ref="Y85:Y87" si="12">ROUND(V85*X85,2)</f>
        <v>0</v>
      </c>
    </row>
    <row r="86" spans="1:26" ht="14.25" customHeight="1" x14ac:dyDescent="0.25">
      <c r="A86" s="1012" t="s">
        <v>102</v>
      </c>
      <c r="B86" s="1012"/>
      <c r="C86" s="1012"/>
      <c r="D86" s="1012"/>
      <c r="E86" s="1012"/>
      <c r="F86" s="745" t="s">
        <v>101</v>
      </c>
      <c r="G86" s="128">
        <v>0</v>
      </c>
      <c r="H86" s="717" t="s">
        <v>79</v>
      </c>
      <c r="I86" s="41">
        <f>I57</f>
        <v>0</v>
      </c>
      <c r="J86" s="127">
        <f>ROUND(G86*I86,2)</f>
        <v>0</v>
      </c>
      <c r="K86" s="70"/>
      <c r="L86" s="71"/>
      <c r="M86" s="76"/>
      <c r="N86" s="76"/>
      <c r="O86" s="76"/>
      <c r="P86" s="76"/>
      <c r="Q86" s="70"/>
      <c r="R86" s="1015" t="s">
        <v>167</v>
      </c>
      <c r="S86" s="1015"/>
      <c r="T86" s="1015"/>
      <c r="U86" s="740"/>
      <c r="V86" s="192">
        <f>G86</f>
        <v>0</v>
      </c>
      <c r="W86" s="720" t="s">
        <v>79</v>
      </c>
      <c r="X86" s="165">
        <f>X56</f>
        <v>0</v>
      </c>
      <c r="Y86" s="212">
        <f t="shared" si="12"/>
        <v>0</v>
      </c>
    </row>
    <row r="87" spans="1:26" ht="18" customHeight="1" x14ac:dyDescent="0.25">
      <c r="A87" s="1012" t="s">
        <v>103</v>
      </c>
      <c r="B87" s="1012"/>
      <c r="C87" s="1012"/>
      <c r="D87" s="1012"/>
      <c r="E87" s="1012"/>
      <c r="F87" s="745" t="s">
        <v>82</v>
      </c>
      <c r="G87" s="128">
        <v>0</v>
      </c>
      <c r="H87" s="717" t="s">
        <v>79</v>
      </c>
      <c r="I87" s="41">
        <f>I54</f>
        <v>0</v>
      </c>
      <c r="J87" s="62">
        <f>ROUND(G87*I87,2)</f>
        <v>0</v>
      </c>
      <c r="K87" s="77"/>
      <c r="L87" s="70"/>
      <c r="M87" s="71"/>
      <c r="N87" s="70"/>
      <c r="O87" s="70"/>
      <c r="P87" s="70"/>
      <c r="Q87" s="70"/>
      <c r="R87" s="731" t="s">
        <v>168</v>
      </c>
      <c r="S87" s="731"/>
      <c r="T87" s="731"/>
      <c r="U87" s="740"/>
      <c r="V87" s="192">
        <f>G87</f>
        <v>0</v>
      </c>
      <c r="W87" s="720" t="s">
        <v>79</v>
      </c>
      <c r="X87" s="165">
        <f>X53</f>
        <v>0</v>
      </c>
      <c r="Y87" s="212">
        <f t="shared" si="12"/>
        <v>0</v>
      </c>
    </row>
    <row r="88" spans="1:26" ht="17.25" customHeight="1" x14ac:dyDescent="0.25">
      <c r="A88" s="1012" t="s">
        <v>104</v>
      </c>
      <c r="B88" s="1012"/>
      <c r="C88" s="1012"/>
      <c r="D88" s="1012"/>
      <c r="E88" s="1012"/>
      <c r="F88" s="1012"/>
      <c r="G88" s="1012"/>
      <c r="H88" s="1012"/>
      <c r="I88" s="1012"/>
      <c r="J88" s="1012"/>
      <c r="K88" s="70"/>
      <c r="L88" s="70"/>
      <c r="M88" s="71"/>
      <c r="N88" s="70"/>
      <c r="O88" s="70"/>
      <c r="P88" s="70"/>
      <c r="Q88" s="70"/>
      <c r="R88" s="1015" t="s">
        <v>169</v>
      </c>
      <c r="S88" s="1015"/>
      <c r="T88" s="1015"/>
      <c r="U88" s="1015"/>
      <c r="V88" s="1015"/>
      <c r="W88" s="1015"/>
      <c r="X88" s="1015"/>
      <c r="Y88" s="1015"/>
    </row>
    <row r="89" spans="1:26" ht="15.75" customHeight="1" x14ac:dyDescent="0.25">
      <c r="A89" s="78"/>
      <c r="B89" s="79" t="s">
        <v>105</v>
      </c>
      <c r="C89" s="79"/>
      <c r="D89" s="980" t="s">
        <v>106</v>
      </c>
      <c r="E89" s="980"/>
      <c r="F89" s="980"/>
      <c r="G89" s="1104" t="s">
        <v>107</v>
      </c>
      <c r="H89" s="1104"/>
      <c r="I89" s="1104"/>
      <c r="J89" s="1104"/>
      <c r="K89" s="70"/>
      <c r="L89" s="70"/>
      <c r="M89" s="71"/>
      <c r="N89" s="70"/>
      <c r="O89" s="70"/>
      <c r="P89" s="70"/>
      <c r="Q89" s="70"/>
      <c r="R89" s="1051" t="s">
        <v>105</v>
      </c>
      <c r="S89" s="1051"/>
      <c r="T89" s="988" t="s">
        <v>170</v>
      </c>
      <c r="U89" s="1052"/>
      <c r="V89" s="1053" t="s">
        <v>107</v>
      </c>
      <c r="W89" s="1053"/>
      <c r="X89" s="1053"/>
      <c r="Y89" s="1053"/>
    </row>
    <row r="90" spans="1:26" ht="18.75" customHeight="1" x14ac:dyDescent="0.25">
      <c r="A90" s="734" t="s">
        <v>108</v>
      </c>
      <c r="B90" s="718">
        <f>I12+I13+I18+I21+I24</f>
        <v>0</v>
      </c>
      <c r="C90" s="718"/>
      <c r="D90" s="981">
        <f>I6</f>
        <v>1.0309999999999999</v>
      </c>
      <c r="E90" s="981"/>
      <c r="F90" s="981"/>
      <c r="G90" s="113">
        <f>Consolidated!F$118</f>
        <v>961.57</v>
      </c>
      <c r="H90" s="47" t="s">
        <v>66</v>
      </c>
      <c r="I90" s="130">
        <f>ROUND(B90*D90*G90,2)</f>
        <v>0</v>
      </c>
      <c r="J90" s="81"/>
      <c r="K90" s="70"/>
      <c r="L90" s="70"/>
      <c r="M90" s="71"/>
      <c r="N90" s="70"/>
      <c r="O90" s="70"/>
      <c r="P90" s="70"/>
      <c r="Q90" s="70"/>
      <c r="R90" s="733" t="s">
        <v>108</v>
      </c>
      <c r="S90" s="738">
        <f>X12+X13+X18+X21+X24</f>
        <v>0</v>
      </c>
      <c r="T90" s="1044">
        <f>X6</f>
        <v>1.0309999999999999</v>
      </c>
      <c r="U90" s="1044"/>
      <c r="V90" s="113">
        <f>G90</f>
        <v>961.57</v>
      </c>
      <c r="W90" s="171" t="s">
        <v>66</v>
      </c>
      <c r="X90" s="216">
        <f>ROUND(S90*T90*V90,2)</f>
        <v>0</v>
      </c>
      <c r="Y90" s="194"/>
    </row>
    <row r="91" spans="1:26" ht="21" customHeight="1" x14ac:dyDescent="0.25">
      <c r="A91" s="82" t="s">
        <v>58</v>
      </c>
      <c r="B91" s="718">
        <f>I14+I15+I19+I22+I25</f>
        <v>0</v>
      </c>
      <c r="C91" s="718"/>
      <c r="D91" s="981">
        <f>I6</f>
        <v>1.0309999999999999</v>
      </c>
      <c r="E91" s="981"/>
      <c r="F91" s="981"/>
      <c r="G91" s="113">
        <f>Consolidated!F$119</f>
        <v>918.1</v>
      </c>
      <c r="H91" s="47" t="s">
        <v>66</v>
      </c>
      <c r="I91" s="129">
        <f>ROUND(B91*D91*G91,2)</f>
        <v>0</v>
      </c>
      <c r="K91" s="70"/>
      <c r="L91" s="70"/>
      <c r="M91" s="71"/>
      <c r="N91" s="70"/>
      <c r="O91" s="70"/>
      <c r="P91" s="70"/>
      <c r="Q91" s="70"/>
      <c r="R91" s="195" t="s">
        <v>58</v>
      </c>
      <c r="S91" s="738">
        <f>X14+X15+X19+X22+X25</f>
        <v>0</v>
      </c>
      <c r="T91" s="1044">
        <f>X6</f>
        <v>1.0309999999999999</v>
      </c>
      <c r="U91" s="1044"/>
      <c r="V91" s="113">
        <f>G91</f>
        <v>918.1</v>
      </c>
      <c r="W91" s="171" t="s">
        <v>66</v>
      </c>
      <c r="X91" s="216">
        <f>ROUND(S91*T91*V91,2)</f>
        <v>0</v>
      </c>
      <c r="Y91" s="159"/>
    </row>
    <row r="92" spans="1:26" ht="19.5" customHeight="1" thickBot="1" x14ac:dyDescent="0.3">
      <c r="A92" s="83" t="s">
        <v>59</v>
      </c>
      <c r="B92" s="718">
        <f>I16+I17+I20+I23+I26+I27</f>
        <v>0</v>
      </c>
      <c r="C92" s="718"/>
      <c r="D92" s="981">
        <f>I6</f>
        <v>1.0309999999999999</v>
      </c>
      <c r="E92" s="981"/>
      <c r="F92" s="981"/>
      <c r="G92" s="113">
        <f>Consolidated!F$120</f>
        <v>920.31</v>
      </c>
      <c r="H92" s="47" t="s">
        <v>66</v>
      </c>
      <c r="I92" s="532">
        <f>ROUND(B92*D92*G92,2)</f>
        <v>0</v>
      </c>
      <c r="K92" s="70"/>
      <c r="L92" s="70"/>
      <c r="M92" s="71"/>
      <c r="N92" s="70"/>
      <c r="O92" s="70"/>
      <c r="P92" s="70"/>
      <c r="Q92" s="70"/>
      <c r="R92" s="196" t="s">
        <v>59</v>
      </c>
      <c r="S92" s="197">
        <f>X16+X17+X20+X23+X26+X27</f>
        <v>0</v>
      </c>
      <c r="T92" s="1044">
        <f>X6</f>
        <v>1.0309999999999999</v>
      </c>
      <c r="U92" s="1044"/>
      <c r="V92" s="113">
        <f>G92</f>
        <v>920.31</v>
      </c>
      <c r="W92" s="171" t="s">
        <v>66</v>
      </c>
      <c r="X92" s="216">
        <f>ROUND(S92*T92*V92,2)</f>
        <v>0</v>
      </c>
      <c r="Y92" s="159"/>
    </row>
    <row r="93" spans="1:26" ht="18.75" customHeight="1" thickBot="1" x14ac:dyDescent="0.3">
      <c r="A93" s="744" t="s">
        <v>109</v>
      </c>
      <c r="B93" s="718">
        <f>SUM(B90:B92)</f>
        <v>0</v>
      </c>
      <c r="C93" s="718"/>
      <c r="D93" s="718"/>
      <c r="E93" s="1059" t="s">
        <v>110</v>
      </c>
      <c r="F93" s="1059"/>
      <c r="G93" s="1059"/>
      <c r="H93" s="1059"/>
      <c r="I93" s="1059"/>
      <c r="J93" s="116">
        <f>IF(A1=75,0,I92+I91+I90)</f>
        <v>0</v>
      </c>
      <c r="K93" s="70"/>
      <c r="L93" s="70"/>
      <c r="M93" s="71"/>
      <c r="N93" s="70"/>
      <c r="O93" s="70"/>
      <c r="P93" s="70"/>
      <c r="Q93" s="70"/>
      <c r="R93" s="739" t="s">
        <v>109</v>
      </c>
      <c r="S93" s="199">
        <f>SUM(S90:S92)</f>
        <v>0</v>
      </c>
      <c r="T93" s="1045" t="s">
        <v>110</v>
      </c>
      <c r="U93" s="1046"/>
      <c r="V93" s="1046"/>
      <c r="W93" s="1046"/>
      <c r="X93" s="1046"/>
      <c r="Y93" s="212">
        <f>IF(R1=75,0,X92+X91+X90)</f>
        <v>0</v>
      </c>
    </row>
    <row r="94" spans="1:26" ht="18" customHeight="1" x14ac:dyDescent="0.25">
      <c r="A94" s="1060" t="s">
        <v>111</v>
      </c>
      <c r="B94" s="1060"/>
      <c r="C94" s="1060"/>
      <c r="D94" s="1060"/>
      <c r="E94" s="1060"/>
      <c r="F94" s="1060"/>
      <c r="G94" s="1060"/>
      <c r="H94" s="1060"/>
      <c r="I94" s="1060"/>
      <c r="J94" s="1060"/>
      <c r="K94" s="70"/>
      <c r="L94" s="70"/>
      <c r="M94" s="71"/>
      <c r="N94" s="70"/>
      <c r="O94" s="70"/>
      <c r="P94" s="70"/>
      <c r="Q94" s="70"/>
      <c r="R94" s="1047" t="s">
        <v>111</v>
      </c>
      <c r="S94" s="1047"/>
      <c r="T94" s="1047"/>
      <c r="U94" s="1047"/>
      <c r="V94" s="1047"/>
      <c r="W94" s="1047"/>
      <c r="X94" s="1047"/>
      <c r="Y94" s="1047"/>
    </row>
    <row r="95" spans="1:26" ht="17.25" customHeight="1" x14ac:dyDescent="0.25">
      <c r="A95" s="1012" t="s">
        <v>112</v>
      </c>
      <c r="B95" s="1012"/>
      <c r="C95" s="1012"/>
      <c r="D95" s="1012"/>
      <c r="E95" s="1012"/>
      <c r="F95" s="745" t="s">
        <v>113</v>
      </c>
      <c r="G95" s="1061"/>
      <c r="H95" s="1061"/>
      <c r="I95" s="1061"/>
      <c r="J95" s="1061"/>
      <c r="K95" s="70"/>
      <c r="L95" s="70"/>
      <c r="M95" s="71"/>
      <c r="N95" s="70"/>
      <c r="O95" s="70"/>
      <c r="P95" s="70"/>
      <c r="Q95" s="70"/>
      <c r="R95" s="1015" t="s">
        <v>171</v>
      </c>
      <c r="S95" s="1015"/>
      <c r="T95" s="1015"/>
      <c r="U95" s="740"/>
      <c r="V95" s="1048"/>
      <c r="W95" s="1048"/>
      <c r="X95" s="1048"/>
      <c r="Y95" s="1048"/>
    </row>
    <row r="96" spans="1:26" ht="15" customHeight="1" x14ac:dyDescent="0.25">
      <c r="B96" s="729"/>
      <c r="C96" s="114" t="s">
        <v>591</v>
      </c>
      <c r="D96" s="114" t="s">
        <v>592</v>
      </c>
      <c r="E96" s="984" t="s">
        <v>155</v>
      </c>
      <c r="F96" s="984"/>
      <c r="G96" s="984"/>
      <c r="H96" s="745"/>
      <c r="I96" s="745"/>
      <c r="J96" s="745"/>
      <c r="K96" s="70"/>
      <c r="L96" s="70"/>
      <c r="M96" s="71"/>
      <c r="N96" s="70"/>
      <c r="O96" s="70"/>
      <c r="P96" s="70"/>
      <c r="Q96" s="70"/>
      <c r="R96" s="1049" t="s">
        <v>114</v>
      </c>
      <c r="S96" s="1049"/>
      <c r="T96" s="1050">
        <f>IF(I111=1,E97,0)</f>
        <v>0</v>
      </c>
      <c r="U96" s="1050"/>
      <c r="V96" s="1050"/>
      <c r="W96" s="721" t="s">
        <v>115</v>
      </c>
      <c r="X96" s="201">
        <f>I97</f>
        <v>583</v>
      </c>
      <c r="Y96" s="212">
        <f>ROUND(X96*T96,2)</f>
        <v>0</v>
      </c>
    </row>
    <row r="97" spans="1:25" ht="17.25" customHeight="1" x14ac:dyDescent="0.25">
      <c r="A97" s="1030" t="s">
        <v>114</v>
      </c>
      <c r="B97" s="1030"/>
      <c r="C97" s="755">
        <v>0</v>
      </c>
      <c r="D97" s="755">
        <v>0</v>
      </c>
      <c r="E97" s="1103">
        <f>IF(D97&gt;0,(C97+D97)/2,C97)</f>
        <v>0</v>
      </c>
      <c r="F97" s="982"/>
      <c r="G97" s="982"/>
      <c r="H97" s="751" t="s">
        <v>115</v>
      </c>
      <c r="I97" s="119">
        <f>Consolidated!G$127</f>
        <v>583</v>
      </c>
      <c r="J97" s="127">
        <f>ROUND(I97*E97,2)</f>
        <v>0</v>
      </c>
      <c r="K97" s="70"/>
      <c r="L97" s="70"/>
      <c r="M97" s="71"/>
      <c r="N97" s="70"/>
      <c r="O97" s="70"/>
      <c r="P97" s="70"/>
      <c r="Q97" s="70"/>
      <c r="R97" s="1049" t="s">
        <v>116</v>
      </c>
      <c r="S97" s="1049"/>
      <c r="T97" s="1050">
        <f>IF(I112=1,E98,0)</f>
        <v>0</v>
      </c>
      <c r="U97" s="1050"/>
      <c r="V97" s="1050"/>
      <c r="W97" s="721" t="s">
        <v>115</v>
      </c>
      <c r="X97" s="201">
        <f>I98</f>
        <v>1806</v>
      </c>
      <c r="Y97" s="212">
        <f>ROUND(X97*T97,2)</f>
        <v>0</v>
      </c>
    </row>
    <row r="98" spans="1:25" ht="17.25" customHeight="1" x14ac:dyDescent="0.25">
      <c r="A98" s="1030" t="s">
        <v>116</v>
      </c>
      <c r="B98" s="1030"/>
      <c r="C98" s="223">
        <v>0</v>
      </c>
      <c r="D98" s="223">
        <v>0</v>
      </c>
      <c r="E98" s="1109">
        <f>(C98+D98)/2</f>
        <v>0</v>
      </c>
      <c r="F98" s="1109"/>
      <c r="G98" s="1109"/>
      <c r="H98" s="751" t="s">
        <v>115</v>
      </c>
      <c r="I98" s="119">
        <f>Consolidated!G$128</f>
        <v>1806</v>
      </c>
      <c r="J98" s="62">
        <f>ROUND(I98*E98,2)</f>
        <v>0</v>
      </c>
      <c r="K98" s="70"/>
      <c r="L98" s="70"/>
      <c r="M98" s="71"/>
      <c r="N98" s="70"/>
      <c r="O98" s="70"/>
      <c r="P98" s="70"/>
      <c r="Q98" s="70"/>
      <c r="R98" s="741"/>
      <c r="S98" s="741"/>
      <c r="T98" s="219"/>
      <c r="U98" s="219"/>
      <c r="V98" s="219"/>
      <c r="W98" s="721"/>
      <c r="X98" s="201"/>
      <c r="Y98" s="215"/>
    </row>
    <row r="99" spans="1:25" ht="27.75" customHeight="1" x14ac:dyDescent="0.25">
      <c r="A99" s="734"/>
      <c r="B99" s="734"/>
      <c r="C99" s="106"/>
      <c r="D99" s="106"/>
      <c r="E99" s="719"/>
      <c r="F99" s="719"/>
      <c r="G99" s="719"/>
      <c r="H99" s="751"/>
      <c r="I99" s="86"/>
      <c r="J99" s="30"/>
      <c r="K99" s="70"/>
      <c r="L99" s="70"/>
      <c r="M99" s="71"/>
      <c r="N99" s="70"/>
      <c r="O99" s="70"/>
      <c r="P99" s="70"/>
      <c r="Q99" s="70"/>
      <c r="R99" s="741"/>
      <c r="S99" s="741"/>
      <c r="T99" s="219"/>
      <c r="U99" s="219"/>
      <c r="V99" s="219"/>
      <c r="W99" s="721"/>
      <c r="X99" s="201"/>
      <c r="Y99" s="215"/>
    </row>
    <row r="100" spans="1:25" ht="14.25" customHeight="1" x14ac:dyDescent="0.25">
      <c r="A100" s="1012" t="s">
        <v>117</v>
      </c>
      <c r="B100" s="1012"/>
      <c r="C100" s="1012"/>
      <c r="D100" s="1012"/>
      <c r="E100" s="1012"/>
      <c r="F100" s="717" t="s">
        <v>118</v>
      </c>
      <c r="G100" s="980"/>
      <c r="H100" s="980"/>
      <c r="I100" s="980"/>
      <c r="J100" s="980"/>
      <c r="K100" s="70"/>
      <c r="L100" s="70"/>
      <c r="M100" s="71"/>
      <c r="N100" s="70"/>
      <c r="O100" s="70"/>
      <c r="P100" s="70"/>
      <c r="Q100" s="70"/>
      <c r="R100" s="1015" t="s">
        <v>172</v>
      </c>
      <c r="S100" s="1015"/>
      <c r="T100" s="1015"/>
      <c r="U100" s="720"/>
      <c r="V100" s="988"/>
      <c r="W100" s="988"/>
      <c r="X100" s="988"/>
      <c r="Y100" s="988"/>
    </row>
    <row r="101" spans="1:25" ht="44.25" customHeight="1" x14ac:dyDescent="0.25">
      <c r="A101" s="1068" t="s">
        <v>119</v>
      </c>
      <c r="B101" s="1068"/>
      <c r="C101" s="748"/>
      <c r="D101" s="982" t="s">
        <v>120</v>
      </c>
      <c r="E101" s="982"/>
      <c r="F101" s="982"/>
      <c r="G101" s="1069" t="s">
        <v>121</v>
      </c>
      <c r="H101" s="1069"/>
      <c r="I101" s="749" t="s">
        <v>122</v>
      </c>
      <c r="J101" s="748" t="s">
        <v>123</v>
      </c>
      <c r="K101" s="70"/>
      <c r="L101" s="70"/>
      <c r="M101" s="70"/>
      <c r="N101" s="70"/>
      <c r="O101" s="70"/>
      <c r="P101" s="70"/>
      <c r="Q101" s="70"/>
      <c r="R101" s="1056" t="s">
        <v>119</v>
      </c>
      <c r="S101" s="1056"/>
      <c r="T101" s="1057" t="s">
        <v>120</v>
      </c>
      <c r="U101" s="1057"/>
      <c r="V101" s="1058" t="s">
        <v>121</v>
      </c>
      <c r="W101" s="1058"/>
      <c r="X101" s="743" t="s">
        <v>122</v>
      </c>
      <c r="Y101" s="742" t="s">
        <v>123</v>
      </c>
    </row>
    <row r="102" spans="1:25" ht="16.5" customHeight="1" x14ac:dyDescent="0.25">
      <c r="A102" s="975" t="s">
        <v>124</v>
      </c>
      <c r="B102" s="975"/>
      <c r="C102" s="714"/>
      <c r="D102" s="217"/>
      <c r="E102" s="217"/>
      <c r="F102" s="217"/>
      <c r="G102" s="1039">
        <v>0</v>
      </c>
      <c r="H102" s="1039"/>
      <c r="I102" s="88">
        <v>0</v>
      </c>
      <c r="J102" s="62">
        <f>ROUND((I102+G102)*E102,0)</f>
        <v>0</v>
      </c>
      <c r="L102" s="3"/>
      <c r="M102" s="2"/>
      <c r="Q102" s="4"/>
      <c r="R102" s="1006" t="s">
        <v>124</v>
      </c>
      <c r="S102" s="1006"/>
      <c r="T102" s="1054">
        <v>0</v>
      </c>
      <c r="U102" s="1054"/>
      <c r="V102" s="1055">
        <v>0</v>
      </c>
      <c r="W102" s="1055"/>
      <c r="X102" s="203">
        <v>0</v>
      </c>
      <c r="Y102" s="146">
        <f>ROUND((X102+V102)*T102,0)</f>
        <v>0</v>
      </c>
    </row>
    <row r="103" spans="1:25" ht="15.75" customHeight="1" x14ac:dyDescent="0.25">
      <c r="A103" s="975" t="s">
        <v>125</v>
      </c>
      <c r="B103" s="975"/>
      <c r="C103" s="714"/>
      <c r="D103" s="217"/>
      <c r="E103" s="217"/>
      <c r="F103" s="217"/>
      <c r="G103" s="1040">
        <f>ROUND(G102/2,2)</f>
        <v>0</v>
      </c>
      <c r="H103" s="1040"/>
      <c r="I103" s="88">
        <v>0</v>
      </c>
      <c r="J103" s="62">
        <f>ROUND((I103+G103)*E103,0)</f>
        <v>0</v>
      </c>
      <c r="R103" s="1006" t="s">
        <v>125</v>
      </c>
      <c r="S103" s="1006"/>
      <c r="T103" s="1054">
        <v>0</v>
      </c>
      <c r="U103" s="1054"/>
      <c r="V103" s="1070">
        <f>ROUND(V102/2,2)</f>
        <v>0</v>
      </c>
      <c r="W103" s="1070"/>
      <c r="X103" s="203">
        <v>0</v>
      </c>
      <c r="Y103" s="146">
        <f>ROUND((X103+V103)*T103,0)</f>
        <v>0</v>
      </c>
    </row>
    <row r="104" spans="1:25" ht="15.75" customHeight="1" thickBot="1" x14ac:dyDescent="0.3">
      <c r="A104" s="977" t="s">
        <v>126</v>
      </c>
      <c r="B104" s="977"/>
      <c r="C104" s="716"/>
      <c r="D104" s="222"/>
      <c r="E104" s="222"/>
      <c r="F104" s="222"/>
      <c r="G104" s="1033"/>
      <c r="H104" s="1033"/>
      <c r="I104" s="89">
        <v>0</v>
      </c>
      <c r="J104" s="30">
        <f>ROUND(I104*E104,0)</f>
        <v>0</v>
      </c>
      <c r="R104" s="1021" t="s">
        <v>126</v>
      </c>
      <c r="S104" s="1021"/>
      <c r="T104" s="1054">
        <v>0</v>
      </c>
      <c r="U104" s="1054"/>
      <c r="V104" s="1056"/>
      <c r="W104" s="1056"/>
      <c r="X104" s="204">
        <v>0</v>
      </c>
      <c r="Y104" s="152">
        <f>ROUND(X104*T104,0)</f>
        <v>0</v>
      </c>
    </row>
    <row r="105" spans="1:25" ht="24.75" customHeight="1" thickBot="1" x14ac:dyDescent="0.3">
      <c r="A105" s="980" t="s">
        <v>123</v>
      </c>
      <c r="B105" s="980"/>
      <c r="C105" s="717"/>
      <c r="D105" s="717"/>
      <c r="E105" s="90"/>
      <c r="F105" s="90"/>
      <c r="G105" s="90"/>
      <c r="H105" s="90"/>
      <c r="I105" s="90"/>
      <c r="J105" s="91">
        <f>SUM(J102:J104)</f>
        <v>0</v>
      </c>
      <c r="R105" s="988" t="s">
        <v>123</v>
      </c>
      <c r="S105" s="988"/>
      <c r="T105" s="205"/>
      <c r="U105" s="205"/>
      <c r="V105" s="205"/>
      <c r="W105" s="205"/>
      <c r="X105" s="205"/>
      <c r="Y105" s="206">
        <f>SUM(Y102:Y104)</f>
        <v>0</v>
      </c>
    </row>
    <row r="106" spans="1:25" ht="26.25" customHeight="1" x14ac:dyDescent="0.25">
      <c r="A106" s="1012" t="s">
        <v>127</v>
      </c>
      <c r="B106" s="1012"/>
      <c r="C106" s="1012"/>
      <c r="D106" s="1012"/>
      <c r="E106" s="1012"/>
      <c r="F106" s="735" t="s">
        <v>128</v>
      </c>
      <c r="G106" s="1034"/>
      <c r="H106" s="1034"/>
      <c r="I106" s="1034"/>
      <c r="J106" s="93"/>
      <c r="K106" s="94"/>
      <c r="L106" s="94"/>
      <c r="M106" s="94"/>
      <c r="N106" s="94"/>
      <c r="O106" s="94"/>
      <c r="P106" s="94"/>
      <c r="Q106" s="94"/>
      <c r="R106" s="1015" t="s">
        <v>173</v>
      </c>
      <c r="S106" s="1015"/>
      <c r="T106" s="1015"/>
      <c r="U106" s="746"/>
      <c r="V106" s="1063"/>
      <c r="W106" s="1063"/>
      <c r="X106" s="1063"/>
      <c r="Y106" s="146">
        <v>0</v>
      </c>
    </row>
    <row r="107" spans="1:25" ht="30" customHeight="1" thickBot="1" x14ac:dyDescent="0.3">
      <c r="A107" s="1114" t="s">
        <v>123</v>
      </c>
      <c r="B107" s="1114"/>
      <c r="C107" s="1114"/>
      <c r="D107" s="1114"/>
      <c r="E107" s="1114"/>
      <c r="F107" s="1114"/>
      <c r="G107" s="1114"/>
      <c r="H107" s="1114"/>
      <c r="I107" s="1114"/>
      <c r="J107" s="536">
        <f>SUM(J106,J105,J98,J97,J93,J86,J85,J71,J70,J68,J33,J72,J50,J87,J84)</f>
        <v>0</v>
      </c>
      <c r="L107" s="533"/>
      <c r="R107" s="1015" t="s">
        <v>123</v>
      </c>
      <c r="S107" s="1015"/>
      <c r="T107" s="1015"/>
      <c r="U107" s="1015"/>
      <c r="V107" s="1015"/>
      <c r="W107" s="1015"/>
      <c r="X107" s="1015"/>
      <c r="Y107" s="208">
        <f>SUM(Y106,Y105,Y97,Y96,Y93,Y86,Y85,Y84,Y70,Y69,Y67,Y33,Y71,Y50,Y87,Y83)</f>
        <v>0</v>
      </c>
    </row>
    <row r="108" spans="1:25" ht="15.75" customHeight="1" thickTop="1" x14ac:dyDescent="0.25">
      <c r="A108" s="1112"/>
      <c r="B108" s="1112"/>
      <c r="C108" s="1112"/>
      <c r="D108" s="1112"/>
      <c r="E108" s="1112"/>
      <c r="F108" s="1112"/>
      <c r="G108" s="1112"/>
      <c r="H108" s="1112"/>
      <c r="I108" s="1112"/>
      <c r="J108" s="1112"/>
      <c r="R108" s="988"/>
      <c r="S108" s="988"/>
      <c r="T108" s="988"/>
      <c r="U108" s="988"/>
      <c r="V108" s="988"/>
      <c r="W108" s="988"/>
      <c r="X108" s="988"/>
      <c r="Y108" s="988"/>
    </row>
    <row r="109" spans="1:25" ht="17.25" customHeight="1" thickBot="1" x14ac:dyDescent="0.3">
      <c r="A109" s="1113" t="s">
        <v>129</v>
      </c>
      <c r="B109" s="1113"/>
      <c r="C109" s="1113"/>
      <c r="D109" s="1113"/>
      <c r="E109" s="1113"/>
      <c r="F109" s="1112"/>
      <c r="G109" s="1112"/>
      <c r="H109" s="1112"/>
      <c r="I109" s="537" t="s">
        <v>130</v>
      </c>
      <c r="J109" s="538">
        <f>J107-J38</f>
        <v>0</v>
      </c>
      <c r="R109" s="159" t="s">
        <v>174</v>
      </c>
      <c r="S109" s="159"/>
      <c r="T109" s="159"/>
      <c r="U109" s="159"/>
      <c r="V109" s="159"/>
      <c r="W109" s="159"/>
      <c r="X109" s="159"/>
      <c r="Y109" s="209">
        <f>Y107-Y38</f>
        <v>0</v>
      </c>
    </row>
    <row r="110" spans="1:25" ht="18.75" customHeight="1" thickTop="1" x14ac:dyDescent="0.25">
      <c r="A110" s="1113" t="s">
        <v>131</v>
      </c>
      <c r="B110" s="1113"/>
      <c r="C110" s="1113"/>
      <c r="D110" s="1113"/>
      <c r="E110" s="1113"/>
      <c r="F110" s="1113"/>
      <c r="G110" s="1113"/>
      <c r="H110" s="1113"/>
      <c r="I110" s="754" t="s">
        <v>132</v>
      </c>
      <c r="J110" s="537"/>
      <c r="R110" s="1072" t="s">
        <v>134</v>
      </c>
      <c r="S110" s="1072"/>
      <c r="T110" s="1072"/>
      <c r="U110" s="1072"/>
      <c r="V110" s="1072"/>
      <c r="W110" s="1072"/>
      <c r="X110" s="1072"/>
      <c r="Y110" s="1072"/>
    </row>
    <row r="111" spans="1:25" ht="15.75" customHeight="1" x14ac:dyDescent="0.25">
      <c r="A111" s="1115" t="s">
        <v>133</v>
      </c>
      <c r="B111" s="1115"/>
      <c r="C111" s="1115"/>
      <c r="D111" s="1115"/>
      <c r="E111" s="1115"/>
      <c r="F111" s="1115"/>
      <c r="G111" s="1115"/>
      <c r="H111" s="1115"/>
      <c r="I111" s="541">
        <v>0</v>
      </c>
      <c r="J111" s="126">
        <f>Y109</f>
        <v>0</v>
      </c>
      <c r="R111" s="1071" t="s">
        <v>175</v>
      </c>
      <c r="S111" s="1071"/>
      <c r="T111" s="1071"/>
      <c r="U111" s="1071"/>
      <c r="V111" s="1071"/>
      <c r="W111" s="1071"/>
      <c r="X111" s="1071"/>
      <c r="Y111" s="1071"/>
    </row>
    <row r="112" spans="1:25" ht="15.75" customHeight="1" x14ac:dyDescent="0.25">
      <c r="A112" s="730"/>
      <c r="B112" s="730"/>
      <c r="C112" s="730"/>
      <c r="D112" s="730"/>
      <c r="E112" s="730"/>
      <c r="F112" s="730"/>
      <c r="G112" s="730"/>
      <c r="H112" s="730"/>
      <c r="I112" s="90"/>
      <c r="J112" s="72"/>
      <c r="R112" s="1072" t="s">
        <v>176</v>
      </c>
      <c r="S112" s="1072"/>
      <c r="T112" s="1072"/>
      <c r="U112" s="1072"/>
      <c r="V112" s="1072"/>
      <c r="W112" s="1072"/>
      <c r="X112" s="1072"/>
      <c r="Y112" s="1072"/>
    </row>
    <row r="113" spans="1:26" ht="16.5" customHeight="1" x14ac:dyDescent="0.25">
      <c r="A113" s="730"/>
      <c r="B113" s="730"/>
      <c r="C113" s="730"/>
      <c r="D113" s="730"/>
      <c r="E113" s="730"/>
      <c r="F113" s="730"/>
      <c r="G113" s="730"/>
      <c r="H113" s="232"/>
      <c r="I113" s="730"/>
      <c r="J113" s="90"/>
      <c r="K113" s="72"/>
      <c r="M113" s="2"/>
      <c r="N113" s="3"/>
      <c r="R113" s="2"/>
      <c r="S113" s="229"/>
      <c r="T113" s="229"/>
      <c r="U113" s="229"/>
      <c r="V113" s="229"/>
      <c r="W113" s="229"/>
      <c r="X113" s="229"/>
      <c r="Y113" s="229"/>
      <c r="Z113" s="229"/>
    </row>
    <row r="114" spans="1:26" x14ac:dyDescent="0.25">
      <c r="A114" s="230" t="s">
        <v>178</v>
      </c>
      <c r="B114" s="231"/>
      <c r="C114" s="231"/>
      <c r="D114" s="231"/>
      <c r="E114" s="231"/>
      <c r="F114" s="231"/>
      <c r="G114" s="231"/>
      <c r="I114" s="233">
        <f>IF(I111=1,J111,J109)</f>
        <v>0</v>
      </c>
      <c r="J114" s="234">
        <f>ROUND(IF(E28=0,0,IF(E28&gt;250,-(((250/E28)*I114)*IF(H113="H",0.02,0.05)),IF(H113="H",-0.02*I114,-0.05*I114))),2)</f>
        <v>0</v>
      </c>
      <c r="M114" s="2"/>
      <c r="N114" s="3"/>
      <c r="R114" s="2"/>
      <c r="T114" s="4"/>
      <c r="W114" s="2"/>
      <c r="X114" s="5"/>
    </row>
    <row r="115" spans="1:26" ht="16.5" customHeight="1" x14ac:dyDescent="0.25">
      <c r="A115" s="231"/>
      <c r="B115" s="231"/>
      <c r="C115" s="231"/>
      <c r="D115" s="231"/>
      <c r="E115" s="231"/>
      <c r="F115" s="231"/>
      <c r="G115" s="231"/>
      <c r="H115" s="231"/>
      <c r="I115" s="235"/>
      <c r="J115" s="236"/>
      <c r="K115" s="72"/>
      <c r="M115" s="2"/>
      <c r="N115" s="3"/>
      <c r="R115" s="2"/>
      <c r="S115" s="229"/>
      <c r="T115" s="229"/>
      <c r="U115" s="229"/>
      <c r="V115" s="229"/>
      <c r="W115" s="229"/>
      <c r="X115" s="229"/>
      <c r="Y115" s="229"/>
      <c r="Z115" s="229"/>
    </row>
    <row r="116" spans="1:26" ht="16.5" customHeight="1" x14ac:dyDescent="0.25">
      <c r="A116" s="237" t="s">
        <v>179</v>
      </c>
      <c r="B116" s="238"/>
      <c r="C116" s="238"/>
      <c r="D116" s="238"/>
      <c r="E116" s="238"/>
      <c r="F116" s="238"/>
      <c r="G116" s="238"/>
      <c r="H116" s="238"/>
      <c r="I116" s="239"/>
      <c r="J116" s="240">
        <f>J107+J114</f>
        <v>0</v>
      </c>
      <c r="K116" s="72"/>
      <c r="M116" s="2"/>
      <c r="N116" s="3"/>
      <c r="R116" s="2"/>
      <c r="S116" s="229"/>
      <c r="T116" s="229"/>
      <c r="U116" s="229"/>
      <c r="V116" s="229"/>
      <c r="W116" s="229"/>
      <c r="X116" s="229"/>
      <c r="Y116" s="229"/>
      <c r="Z116" s="229"/>
    </row>
    <row r="117" spans="1:26" ht="16.5" customHeight="1" x14ac:dyDescent="0.25">
      <c r="A117" s="231"/>
      <c r="B117" s="231"/>
      <c r="C117" s="231"/>
      <c r="D117" s="231"/>
      <c r="E117" s="231"/>
      <c r="F117" s="231"/>
      <c r="G117" s="231"/>
      <c r="H117" s="231"/>
      <c r="I117" s="235"/>
      <c r="J117" s="236"/>
      <c r="K117" s="72"/>
      <c r="M117" s="2"/>
      <c r="N117" s="3"/>
      <c r="R117" s="2"/>
      <c r="S117" s="229"/>
      <c r="T117" s="229"/>
      <c r="U117" s="229"/>
      <c r="V117" s="229"/>
      <c r="W117" s="229"/>
      <c r="X117" s="229"/>
      <c r="Y117" s="229"/>
      <c r="Z117" s="229"/>
    </row>
    <row r="118" spans="1:26" ht="16.5" customHeight="1" x14ac:dyDescent="0.25">
      <c r="A118" s="230" t="s">
        <v>180</v>
      </c>
      <c r="B118" s="231"/>
      <c r="C118" s="241"/>
      <c r="D118" s="231"/>
      <c r="E118" s="230"/>
      <c r="F118" s="230"/>
      <c r="G118" s="231"/>
      <c r="H118" s="231"/>
      <c r="I118" s="235"/>
      <c r="J118" s="242">
        <f>-'Cumulative Payments'!R123*0</f>
        <v>0</v>
      </c>
      <c r="K118" s="72"/>
      <c r="M118" s="2"/>
      <c r="N118" s="3"/>
      <c r="R118" s="2"/>
      <c r="S118" s="229"/>
      <c r="T118" s="229"/>
      <c r="U118" s="229"/>
      <c r="V118" s="229"/>
      <c r="W118" s="229"/>
      <c r="X118" s="229"/>
      <c r="Y118" s="229"/>
      <c r="Z118" s="229"/>
    </row>
    <row r="119" spans="1:26" ht="16.5" customHeight="1" x14ac:dyDescent="0.25">
      <c r="A119" s="231"/>
      <c r="B119" s="231"/>
      <c r="C119" s="231"/>
      <c r="D119" s="231"/>
      <c r="E119" s="231"/>
      <c r="F119" s="231"/>
      <c r="G119" s="231"/>
      <c r="H119" s="231"/>
      <c r="I119" s="235"/>
      <c r="J119" s="236"/>
      <c r="K119" s="72"/>
      <c r="M119" s="2"/>
      <c r="N119" s="3"/>
      <c r="R119" s="2"/>
      <c r="S119" s="229"/>
      <c r="T119" s="229"/>
      <c r="U119" s="229"/>
      <c r="V119" s="229"/>
      <c r="W119" s="229"/>
      <c r="X119" s="229"/>
      <c r="Y119" s="229"/>
      <c r="Z119" s="229"/>
    </row>
    <row r="120" spans="1:26" ht="16.5" customHeight="1" x14ac:dyDescent="0.25">
      <c r="A120" s="230" t="s">
        <v>181</v>
      </c>
      <c r="B120" s="231"/>
      <c r="C120" s="231"/>
      <c r="D120" s="231"/>
      <c r="E120" s="231"/>
      <c r="F120" s="231"/>
      <c r="G120" s="231"/>
      <c r="H120" s="231"/>
      <c r="I120" s="235"/>
      <c r="J120" s="236">
        <f>(J116+J118)*0</f>
        <v>0</v>
      </c>
      <c r="K120" s="72"/>
      <c r="M120" s="2"/>
      <c r="N120" s="3"/>
      <c r="R120" s="2"/>
      <c r="S120" s="229"/>
      <c r="T120" s="229"/>
      <c r="U120" s="229"/>
      <c r="V120" s="229"/>
      <c r="W120" s="229"/>
      <c r="X120" s="229"/>
      <c r="Y120" s="229"/>
      <c r="Z120" s="229"/>
    </row>
    <row r="121" spans="1:26" ht="16.5" customHeight="1" x14ac:dyDescent="0.25">
      <c r="A121" s="230"/>
      <c r="B121" s="231"/>
      <c r="C121" s="231"/>
      <c r="D121" s="231"/>
      <c r="E121" s="231"/>
      <c r="F121" s="231"/>
      <c r="G121" s="231"/>
      <c r="H121" s="231"/>
      <c r="I121" s="235"/>
      <c r="J121" s="236"/>
      <c r="K121" s="72"/>
      <c r="M121" s="2"/>
      <c r="N121" s="3"/>
      <c r="R121" s="2"/>
      <c r="S121" s="229"/>
      <c r="T121" s="229"/>
      <c r="U121" s="229"/>
      <c r="V121" s="229"/>
      <c r="W121" s="229"/>
      <c r="X121" s="229"/>
      <c r="Y121" s="229"/>
      <c r="Z121" s="229"/>
    </row>
    <row r="122" spans="1:26" ht="16.5" customHeight="1" x14ac:dyDescent="0.25">
      <c r="A122" s="230" t="s">
        <v>182</v>
      </c>
      <c r="B122" s="231"/>
      <c r="C122" s="231"/>
      <c r="D122" s="231"/>
      <c r="E122" s="231"/>
      <c r="F122" s="231"/>
      <c r="G122" s="231"/>
      <c r="H122" s="231"/>
      <c r="I122" s="235"/>
      <c r="J122" s="648">
        <f>Consolidated!I$157</f>
        <v>10</v>
      </c>
      <c r="K122" s="72"/>
      <c r="M122" s="2"/>
      <c r="N122" s="3"/>
      <c r="R122" s="2"/>
      <c r="S122" s="229"/>
      <c r="T122" s="229"/>
      <c r="U122" s="229"/>
      <c r="V122" s="229"/>
      <c r="W122" s="229"/>
      <c r="X122" s="229"/>
      <c r="Y122" s="229"/>
      <c r="Z122" s="229"/>
    </row>
    <row r="123" spans="1:26" ht="16.5" customHeight="1" x14ac:dyDescent="0.25">
      <c r="A123" s="231"/>
      <c r="B123" s="231"/>
      <c r="C123" s="231"/>
      <c r="D123" s="231"/>
      <c r="E123" s="231"/>
      <c r="F123" s="231"/>
      <c r="G123" s="231"/>
      <c r="H123" s="231"/>
      <c r="I123" s="235"/>
      <c r="J123" s="236"/>
      <c r="K123" s="72"/>
      <c r="M123" s="2"/>
      <c r="N123" s="3"/>
      <c r="R123" s="2"/>
      <c r="S123" s="229"/>
      <c r="T123" s="229"/>
      <c r="U123" s="229"/>
      <c r="V123" s="229"/>
      <c r="W123" s="229"/>
      <c r="X123" s="229"/>
      <c r="Y123" s="229"/>
      <c r="Z123" s="229"/>
    </row>
    <row r="124" spans="1:26" ht="16.5" customHeight="1" thickBot="1" x14ac:dyDescent="0.3">
      <c r="A124" s="230" t="s">
        <v>183</v>
      </c>
      <c r="B124" s="231"/>
      <c r="C124" s="231"/>
      <c r="D124" s="231"/>
      <c r="E124" s="231"/>
      <c r="F124" s="231"/>
      <c r="G124" s="231"/>
      <c r="H124" s="231"/>
      <c r="I124" s="235"/>
      <c r="J124" s="243">
        <f>ROUND(J120/J122,2)</f>
        <v>0</v>
      </c>
      <c r="K124" s="72"/>
      <c r="M124" s="2"/>
      <c r="N124" s="3"/>
      <c r="R124" s="2"/>
      <c r="S124" s="229"/>
      <c r="T124" s="229"/>
      <c r="U124" s="229"/>
      <c r="V124" s="229"/>
      <c r="W124" s="229"/>
      <c r="X124" s="229"/>
      <c r="Y124" s="229"/>
      <c r="Z124" s="229"/>
    </row>
    <row r="125" spans="1:26" ht="16.5" customHeight="1" thickTop="1" x14ac:dyDescent="0.25">
      <c r="A125" s="231"/>
      <c r="B125" s="231"/>
      <c r="C125" s="231"/>
      <c r="D125" s="231"/>
      <c r="E125" s="231"/>
      <c r="F125" s="231"/>
      <c r="G125" s="231"/>
      <c r="H125" s="231"/>
      <c r="I125" s="235"/>
      <c r="J125" s="236"/>
      <c r="K125" s="72"/>
      <c r="M125" s="2"/>
      <c r="N125" s="3"/>
      <c r="R125" s="2"/>
      <c r="S125" s="229"/>
      <c r="T125" s="229"/>
      <c r="U125" s="229"/>
      <c r="V125" s="229"/>
      <c r="W125" s="229"/>
      <c r="X125" s="229"/>
      <c r="Y125" s="229"/>
      <c r="Z125" s="229"/>
    </row>
    <row r="126" spans="1:26" ht="16.5" customHeight="1" thickBot="1" x14ac:dyDescent="0.3">
      <c r="A126" s="230" t="s">
        <v>184</v>
      </c>
      <c r="B126" s="231"/>
      <c r="C126" s="231"/>
      <c r="D126" s="231"/>
      <c r="E126" s="231"/>
      <c r="F126" s="231"/>
      <c r="G126" s="231"/>
      <c r="H126" s="231"/>
      <c r="I126" s="235"/>
      <c r="J126" s="244">
        <f>ROUND(IF(H113="H",(I114*0.02)+J114,(I114*0.05)+J114),2)</f>
        <v>0</v>
      </c>
      <c r="K126" s="72"/>
      <c r="M126" s="2"/>
      <c r="N126" s="3"/>
      <c r="R126" s="2"/>
      <c r="S126" s="229"/>
      <c r="T126" s="229"/>
      <c r="U126" s="229"/>
      <c r="V126" s="229"/>
      <c r="W126" s="229"/>
      <c r="X126" s="229"/>
      <c r="Y126" s="229"/>
      <c r="Z126" s="229"/>
    </row>
    <row r="127" spans="1:26" ht="15.75" customHeight="1" thickTop="1" x14ac:dyDescent="0.25">
      <c r="A127" s="231"/>
      <c r="B127" s="231"/>
      <c r="C127" s="231"/>
      <c r="D127" s="231"/>
      <c r="E127" s="231"/>
      <c r="F127" s="231"/>
      <c r="G127" s="231"/>
      <c r="H127" s="235"/>
      <c r="I127" s="245"/>
      <c r="J127" s="72"/>
      <c r="R127" s="229"/>
      <c r="S127" s="229"/>
      <c r="T127" s="229"/>
      <c r="U127" s="229"/>
      <c r="V127" s="229"/>
      <c r="W127" s="229"/>
      <c r="X127" s="229"/>
      <c r="Y127" s="229"/>
    </row>
    <row r="128" spans="1:26" ht="26.25" customHeight="1" x14ac:dyDescent="0.25">
      <c r="A128" s="1011" t="s">
        <v>134</v>
      </c>
      <c r="B128" s="1011"/>
      <c r="C128" s="1011"/>
      <c r="D128" s="1011"/>
      <c r="E128" s="1011"/>
      <c r="F128" s="1011"/>
      <c r="G128" s="1011"/>
      <c r="H128" s="1011"/>
      <c r="I128" s="1011"/>
      <c r="J128" s="1011"/>
      <c r="W128" s="228"/>
    </row>
    <row r="129" spans="1:23" ht="26.25" customHeight="1" x14ac:dyDescent="0.25">
      <c r="A129" s="1008" t="s">
        <v>135</v>
      </c>
      <c r="B129" s="1008"/>
      <c r="C129" s="1008"/>
      <c r="D129" s="1008"/>
      <c r="E129" s="1008"/>
      <c r="F129" s="1008"/>
      <c r="G129" s="1008"/>
      <c r="H129" s="1008"/>
      <c r="I129" s="1008"/>
      <c r="J129" s="1008"/>
      <c r="W129" s="228"/>
    </row>
    <row r="130" spans="1:23" ht="15.75" customHeight="1" x14ac:dyDescent="0.25">
      <c r="A130" s="1011" t="s">
        <v>136</v>
      </c>
      <c r="B130" s="1011"/>
      <c r="C130" s="1011"/>
      <c r="D130" s="1011"/>
      <c r="E130" s="1011"/>
      <c r="F130" s="1011"/>
      <c r="G130" s="1011"/>
      <c r="H130" s="1011"/>
      <c r="I130" s="1011"/>
      <c r="J130" s="1011"/>
    </row>
    <row r="131" spans="1:23" ht="15.75" customHeight="1" x14ac:dyDescent="0.25">
      <c r="A131" s="1011" t="s">
        <v>137</v>
      </c>
      <c r="B131" s="1011"/>
      <c r="C131" s="1011"/>
      <c r="D131" s="1011"/>
      <c r="E131" s="1011"/>
      <c r="F131" s="1011"/>
      <c r="G131" s="1011"/>
      <c r="H131" s="1011"/>
      <c r="I131" s="1011"/>
      <c r="J131" s="1011"/>
    </row>
    <row r="132" spans="1:23" ht="19.5" customHeight="1" x14ac:dyDescent="0.25">
      <c r="A132" s="1011" t="s">
        <v>138</v>
      </c>
      <c r="B132" s="1011"/>
      <c r="C132" s="1011"/>
      <c r="D132" s="1011"/>
      <c r="E132" s="1011"/>
      <c r="F132" s="1011"/>
      <c r="G132" s="1011"/>
      <c r="H132" s="1011"/>
      <c r="I132" s="1011"/>
      <c r="J132" s="1011"/>
    </row>
    <row r="133" spans="1:23" x14ac:dyDescent="0.25">
      <c r="A133" s="1011" t="s">
        <v>139</v>
      </c>
      <c r="B133" s="1011"/>
      <c r="C133" s="1011"/>
      <c r="D133" s="1011"/>
      <c r="E133" s="1011"/>
      <c r="F133" s="1011"/>
      <c r="G133" s="1011"/>
      <c r="H133" s="1011"/>
      <c r="I133" s="1011"/>
      <c r="J133" s="1011"/>
    </row>
    <row r="134" spans="1:23" x14ac:dyDescent="0.25">
      <c r="A134" s="1011" t="s">
        <v>140</v>
      </c>
      <c r="B134" s="1011"/>
      <c r="C134" s="1011"/>
      <c r="D134" s="1011"/>
      <c r="E134" s="1011"/>
      <c r="F134" s="1011"/>
      <c r="G134" s="1011"/>
      <c r="H134" s="1011"/>
      <c r="I134" s="1011"/>
      <c r="J134" s="1011"/>
    </row>
    <row r="135" spans="1:23" ht="33" customHeight="1" x14ac:dyDescent="0.25">
      <c r="A135" s="1008" t="s">
        <v>141</v>
      </c>
      <c r="B135" s="1008"/>
      <c r="C135" s="1008"/>
      <c r="D135" s="1008"/>
      <c r="E135" s="1008"/>
      <c r="F135" s="1008"/>
      <c r="G135" s="1008"/>
      <c r="H135" s="1008"/>
      <c r="I135" s="1008"/>
      <c r="J135" s="1008"/>
    </row>
    <row r="136" spans="1:23" ht="31.5" customHeight="1" x14ac:dyDescent="0.25">
      <c r="A136" s="1008" t="s">
        <v>142</v>
      </c>
      <c r="B136" s="1008"/>
      <c r="C136" s="1008"/>
      <c r="D136" s="1008"/>
      <c r="E136" s="1008"/>
      <c r="F136" s="1008"/>
      <c r="G136" s="1008"/>
      <c r="H136" s="1008"/>
      <c r="I136" s="1008"/>
      <c r="J136" s="1008"/>
    </row>
    <row r="137" spans="1:23" x14ac:dyDescent="0.25">
      <c r="A137" s="1008" t="s">
        <v>143</v>
      </c>
      <c r="B137" s="1008"/>
      <c r="C137" s="1008"/>
      <c r="D137" s="1008"/>
      <c r="E137" s="1008"/>
      <c r="F137" s="1008"/>
      <c r="G137" s="1008"/>
      <c r="H137" s="1008"/>
      <c r="I137" s="1008"/>
      <c r="J137" s="1008"/>
    </row>
    <row r="138" spans="1:23" x14ac:dyDescent="0.25">
      <c r="A138" s="728" t="s">
        <v>144</v>
      </c>
      <c r="B138" s="728"/>
      <c r="C138" s="728"/>
      <c r="D138" s="728"/>
      <c r="E138" s="728"/>
      <c r="F138" s="728"/>
      <c r="G138" s="728"/>
      <c r="H138" s="728"/>
      <c r="I138" s="728"/>
      <c r="J138" s="728"/>
    </row>
    <row r="139" spans="1:23" ht="30.75" customHeight="1" x14ac:dyDescent="0.25">
      <c r="A139" s="1008" t="s">
        <v>145</v>
      </c>
      <c r="B139" s="1008"/>
      <c r="C139" s="1008"/>
      <c r="D139" s="1008"/>
      <c r="E139" s="1008"/>
      <c r="F139" s="1008"/>
      <c r="G139" s="1008"/>
      <c r="H139" s="1008"/>
      <c r="I139" s="1008"/>
      <c r="J139" s="1008"/>
    </row>
    <row r="140" spans="1:23" ht="30.75" customHeight="1" x14ac:dyDescent="0.25">
      <c r="A140" s="1008" t="s">
        <v>146</v>
      </c>
      <c r="B140" s="1008"/>
      <c r="C140" s="1008"/>
      <c r="D140" s="1008"/>
      <c r="E140" s="1008"/>
      <c r="F140" s="1008"/>
      <c r="G140" s="1008"/>
      <c r="H140" s="1008"/>
      <c r="I140" s="1008"/>
      <c r="J140" s="1008"/>
    </row>
    <row r="141" spans="1:23" x14ac:dyDescent="0.25">
      <c r="A141" s="1007" t="s">
        <v>147</v>
      </c>
      <c r="B141" s="1008"/>
      <c r="C141" s="1008"/>
      <c r="D141" s="1008"/>
      <c r="E141" s="1008"/>
      <c r="F141" s="1008"/>
      <c r="G141" s="1008"/>
      <c r="H141" s="1008"/>
      <c r="I141" s="1008"/>
      <c r="J141" s="1008"/>
    </row>
    <row r="142" spans="1:23" ht="60.75" customHeight="1" x14ac:dyDescent="0.25">
      <c r="A142" s="1009" t="s">
        <v>148</v>
      </c>
      <c r="B142" s="1009"/>
      <c r="C142" s="1009"/>
      <c r="D142" s="1009"/>
      <c r="E142" s="1009"/>
      <c r="F142" s="1009"/>
      <c r="G142" s="1009"/>
      <c r="H142" s="1009"/>
      <c r="I142" s="1009"/>
      <c r="J142" s="1009"/>
    </row>
    <row r="143" spans="1:23" ht="48" customHeight="1" x14ac:dyDescent="0.25">
      <c r="A143" s="1009" t="s">
        <v>149</v>
      </c>
      <c r="B143" s="1009"/>
      <c r="C143" s="1009"/>
      <c r="D143" s="1009"/>
      <c r="E143" s="1009"/>
      <c r="F143" s="1009"/>
      <c r="G143" s="1009"/>
      <c r="H143" s="1009"/>
      <c r="I143" s="1009"/>
      <c r="J143" s="1009"/>
    </row>
    <row r="144" spans="1:23" x14ac:dyDescent="0.25">
      <c r="A144" s="1007" t="s">
        <v>150</v>
      </c>
      <c r="B144" s="1007"/>
      <c r="C144" s="1007"/>
      <c r="D144" s="1007"/>
      <c r="E144" s="1007"/>
      <c r="F144" s="1007"/>
      <c r="G144" s="1007"/>
      <c r="H144" s="1007"/>
      <c r="I144" s="1007"/>
      <c r="J144" s="1007"/>
    </row>
    <row r="145" spans="1:10" ht="32.25" customHeight="1" x14ac:dyDescent="0.25">
      <c r="A145" s="1009" t="s">
        <v>151</v>
      </c>
      <c r="B145" s="1009"/>
      <c r="C145" s="1009"/>
      <c r="D145" s="1009"/>
      <c r="E145" s="1009"/>
      <c r="F145" s="1009"/>
      <c r="G145" s="1009"/>
      <c r="H145" s="1009"/>
      <c r="I145" s="1009"/>
      <c r="J145" s="1009"/>
    </row>
    <row r="146" spans="1:10" ht="23.25" customHeight="1" x14ac:dyDescent="0.25">
      <c r="A146" s="983" t="s">
        <v>152</v>
      </c>
      <c r="B146" s="983"/>
      <c r="C146" s="983"/>
      <c r="D146" s="983"/>
      <c r="E146" s="983"/>
      <c r="F146" s="983"/>
      <c r="G146" s="983"/>
      <c r="H146" s="983"/>
      <c r="I146" s="983"/>
      <c r="J146" s="983"/>
    </row>
    <row r="147" spans="1:10" x14ac:dyDescent="0.25">
      <c r="A147" s="983"/>
      <c r="B147" s="983"/>
      <c r="C147" s="983"/>
      <c r="D147" s="983"/>
      <c r="E147" s="983"/>
      <c r="F147" s="983"/>
      <c r="G147" s="983"/>
      <c r="H147" s="983"/>
      <c r="I147" s="983"/>
      <c r="J147" s="983"/>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2136</vt:i4>
      </vt:variant>
    </vt:vector>
  </HeadingPairs>
  <TitlesOfParts>
    <vt:vector size="2196" baseType="lpstr">
      <vt:lpstr>Surveys</vt:lpstr>
      <vt:lpstr>Net Payment</vt:lpstr>
      <vt:lpstr>Annual Rev &amp; Fees</vt:lpstr>
      <vt:lpstr>Charter Schools</vt:lpstr>
      <vt:lpstr>Cumulative Payments</vt:lpstr>
      <vt:lpstr>Consolidated</vt:lpstr>
      <vt:lpstr>ESE FTE</vt:lpstr>
      <vt:lpstr>Surv2-3</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4141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'4141'!_1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'4141'!_1.__2009_10_FEFP_State_and_Local_Funding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'4141'!_1.__2010_11_FEFP_State_and_Local_Funding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'4141'!_101_Basic_K_3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'4141'!_102_Basic_4_8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'4141'!_103_Basic_9_12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'4141'!_111_Basic_K_3_with_ESE_Services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'4141'!_112_Basic_4_8_with_ESE_Services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'4141'!_113_Basic_9_12_with_ESE_Services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'4141'!_130_ESOL__Grade_Level_4_8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'4141'!_130_ESOL__Grade_Level_9_12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'4141'!_130_ESOL__Grade_Level_PK_3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'4141'!_1A.___2023_24_FEFP_State_and_Local_Funding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'4141'!_2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'4141'!_2010_11_Base_Funding_WFTE_x_BSA_x_DCD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'4141'!_254_ESE_Level_4__Grade_Level_4_8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'4141'!_254_ESE_Level_4__Grade_Level_9_12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'4141'!_254_ESE_Level_4__Grade_Level_PK_3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'4141'!_255_ESE_Level_5__Grade_Level_4_8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'4141'!_255_ESE_Level_5__Grade_Level_9_12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'4141'!_255_ESE_Level_5__Grade_Level_PK_3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'4141'!_300_Career_Education__Grades_9_12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'4141'!_4_8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'4141'!_9_12</vt:lpstr>
      <vt:lpstr>_9_12</vt:lpstr>
      <vt:lpstr>a1M2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'4141'!Allocation_factors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'4141'!Base_Student_Allocation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'4141'!Based_on_the_Second_Calculation_of_the_FEFP_2010_11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'4141'!DCD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'4141'!District_Cost_Differential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'4141'!Number_of_FTE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'4141'!PK___3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'4141'!Print_Area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'4141'!Program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'4141'!Program______________________________Cost_Factor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'4141'!Revenue_Estimate_Worksheet_for___________Charter_School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'4141'!School_District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'4141'!Total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'4141'!Total_Class_Size_Reduction_Funds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'4141'!Totals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'4141'!Weighted_FTE____________b__x__c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'4141'!Weighted_FTE__From_Section_1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Jason Elliott</cp:lastModifiedBy>
  <cp:lastPrinted>2026-05-04T16:54:16Z</cp:lastPrinted>
  <dcterms:created xsi:type="dcterms:W3CDTF">2015-06-05T18:17:20Z</dcterms:created>
  <dcterms:modified xsi:type="dcterms:W3CDTF">2026-09-04T15:00:54Z</dcterms:modified>
</cp:coreProperties>
</file>