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imberly.langhann\Downloads\"/>
    </mc:Choice>
  </mc:AlternateContent>
  <xr:revisionPtr revIDLastSave="0" documentId="8_{BA81276C-0EFA-4FF9-B04F-F9FE2A8C7C92}" xr6:coauthVersionLast="47" xr6:coauthVersionMax="47" xr10:uidLastSave="{00000000-0000-0000-0000-000000000000}"/>
  <bookViews>
    <workbookView xWindow="2304" yWindow="2304" windowWidth="17280" windowHeight="10008" activeTab="4" xr2:uid="{00000000-000D-0000-FFFF-FFFF00000000}"/>
  </bookViews>
  <sheets>
    <sheet name="General Ed" sheetId="1" r:id="rId1"/>
    <sheet name="Food Service" sheetId="4" state="hidden" r:id="rId2"/>
    <sheet name="Food Service Fund" sheetId="3" r:id="rId3"/>
    <sheet name="Activity Fund" sheetId="5" r:id="rId4"/>
    <sheet name="Sinking Fund" sheetId="6" r:id="rId5"/>
  </sheets>
  <externalReferences>
    <externalReference r:id="rId6"/>
  </externalReferences>
  <definedNames>
    <definedName name="_xlnm.Print_Area" localSheetId="1">'Food Service'!$A$1:$N$40</definedName>
    <definedName name="_xlnm.Print_Area" localSheetId="2">'Food Service Fund'!$A$1:$Y$31</definedName>
    <definedName name="_xlnm.Print_Area" localSheetId="0">'General Ed'!$A$1:$T$45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4" i="6" l="1"/>
  <c r="S20" i="6"/>
  <c r="S12" i="6"/>
  <c r="S22" i="6" l="1"/>
  <c r="S9" i="5"/>
  <c r="S11" i="5" s="1"/>
  <c r="S17" i="5"/>
  <c r="Y12" i="3"/>
  <c r="Y10" i="3"/>
  <c r="Y23" i="3"/>
  <c r="T41" i="1"/>
  <c r="E45" i="1"/>
  <c r="T30" i="1"/>
  <c r="T19" i="1"/>
  <c r="T12" i="1"/>
  <c r="T10" i="1"/>
  <c r="T11" i="1"/>
  <c r="T15" i="1"/>
  <c r="T34" i="1"/>
  <c r="T33" i="1"/>
  <c r="T32" i="1"/>
  <c r="T29" i="1"/>
  <c r="T28" i="1"/>
  <c r="T27" i="1"/>
  <c r="T26" i="1"/>
  <c r="T25" i="1"/>
  <c r="T24" i="1"/>
  <c r="T23" i="1"/>
  <c r="T22" i="1"/>
  <c r="T20" i="1"/>
  <c r="S19" i="5" l="1"/>
  <c r="Y15" i="3"/>
  <c r="Y25" i="3" s="1"/>
  <c r="T37" i="1"/>
  <c r="T39" i="1" l="1"/>
  <c r="R18" i="6"/>
  <c r="R17" i="6"/>
  <c r="R20" i="6" s="1"/>
  <c r="R12" i="6"/>
  <c r="Q17" i="5"/>
  <c r="Q11" i="5"/>
  <c r="W23" i="3"/>
  <c r="W15" i="3"/>
  <c r="T43" i="1" l="1"/>
  <c r="T45" i="1" s="1"/>
  <c r="Q19" i="5"/>
  <c r="R22" i="6"/>
  <c r="R26" i="6" s="1"/>
  <c r="S24" i="6" s="1"/>
  <c r="S26" i="6" s="1"/>
  <c r="W25" i="3"/>
  <c r="R37" i="1"/>
  <c r="R15" i="1"/>
  <c r="R39" i="1" l="1"/>
  <c r="P9" i="6" l="1"/>
  <c r="M9" i="5" l="1"/>
  <c r="S20" i="3"/>
  <c r="S12" i="3"/>
  <c r="S11" i="3"/>
  <c r="S10" i="3"/>
  <c r="M13" i="1" l="1"/>
  <c r="M12" i="1"/>
  <c r="M11" i="1"/>
  <c r="M10" i="1"/>
  <c r="Q20" i="6" l="1"/>
  <c r="Q12" i="6"/>
  <c r="Q22" i="6" l="1"/>
  <c r="S23" i="3"/>
  <c r="S15" i="3"/>
  <c r="S25" i="3" l="1"/>
  <c r="M37" i="1"/>
  <c r="M15" i="1"/>
  <c r="P20" i="6"/>
  <c r="N20" i="6"/>
  <c r="M20" i="6"/>
  <c r="O20" i="6"/>
  <c r="P12" i="6"/>
  <c r="K9" i="5"/>
  <c r="K11" i="5" s="1"/>
  <c r="O17" i="5"/>
  <c r="O11" i="5"/>
  <c r="K20" i="6"/>
  <c r="G20" i="6"/>
  <c r="E20" i="6"/>
  <c r="I18" i="6"/>
  <c r="I20" i="6" s="1"/>
  <c r="O12" i="6"/>
  <c r="N12" i="6"/>
  <c r="M12" i="6"/>
  <c r="K12" i="6"/>
  <c r="I12" i="6"/>
  <c r="G12" i="6"/>
  <c r="E12" i="6"/>
  <c r="A1" i="6"/>
  <c r="M17" i="5"/>
  <c r="K17" i="5"/>
  <c r="I17" i="5"/>
  <c r="G17" i="5"/>
  <c r="E17" i="5"/>
  <c r="M11" i="5"/>
  <c r="I9" i="5"/>
  <c r="I11" i="5" s="1"/>
  <c r="G9" i="5"/>
  <c r="G11" i="5" s="1"/>
  <c r="E9" i="5"/>
  <c r="E11" i="5" s="1"/>
  <c r="O19" i="5" l="1"/>
  <c r="O22" i="6"/>
  <c r="N22" i="6"/>
  <c r="M39" i="1"/>
  <c r="E22" i="6"/>
  <c r="E26" i="6" s="1"/>
  <c r="K22" i="6"/>
  <c r="G22" i="6"/>
  <c r="G26" i="6" s="1"/>
  <c r="E19" i="5"/>
  <c r="E23" i="5" s="1"/>
  <c r="G21" i="5" s="1"/>
  <c r="G19" i="5"/>
  <c r="I19" i="5"/>
  <c r="M19" i="5"/>
  <c r="M22" i="6"/>
  <c r="P22" i="6"/>
  <c r="K19" i="5"/>
  <c r="I22" i="6"/>
  <c r="I26" i="6" s="1"/>
  <c r="K24" i="6" s="1"/>
  <c r="K26" i="6" s="1"/>
  <c r="M24" i="6" s="1"/>
  <c r="M26" i="6" s="1"/>
  <c r="N24" i="6" s="1"/>
  <c r="N26" i="6" l="1"/>
  <c r="O24" i="6" s="1"/>
  <c r="O26" i="6" s="1"/>
  <c r="P24" i="6" s="1"/>
  <c r="G23" i="5"/>
  <c r="I21" i="5" s="1"/>
  <c r="I23" i="5" s="1"/>
  <c r="K21" i="5" s="1"/>
  <c r="K23" i="5" s="1"/>
  <c r="P26" i="6"/>
  <c r="Q24" i="6" l="1"/>
  <c r="Q26" i="6" s="1"/>
  <c r="M21" i="5"/>
  <c r="M23" i="5" s="1"/>
  <c r="O21" i="5" s="1"/>
  <c r="O23" i="5" s="1"/>
  <c r="Q21" i="5" s="1"/>
  <c r="Q23" i="5" s="1"/>
  <c r="S21" i="5" s="1"/>
  <c r="S23" i="5" s="1"/>
  <c r="U23" i="3"/>
  <c r="U15" i="3"/>
  <c r="O15" i="1"/>
  <c r="O37" i="1"/>
  <c r="O39" i="1" l="1"/>
  <c r="U25" i="3"/>
  <c r="Q21" i="3"/>
  <c r="Q12" i="3"/>
  <c r="Q10" i="3"/>
  <c r="O12" i="3"/>
  <c r="M12" i="3"/>
  <c r="K10" i="3"/>
  <c r="I12" i="3" l="1"/>
  <c r="I11" i="3"/>
  <c r="I10" i="3"/>
  <c r="G12" i="1" l="1"/>
  <c r="E12" i="1" l="1"/>
  <c r="E11" i="1"/>
  <c r="E10" i="1"/>
  <c r="Q23" i="3" l="1"/>
  <c r="O23" i="3"/>
  <c r="M23" i="3"/>
  <c r="K23" i="3"/>
  <c r="G37" i="1" l="1"/>
  <c r="A1" i="3" l="1"/>
  <c r="I23" i="3" l="1"/>
  <c r="Q15" i="3"/>
  <c r="O15" i="3"/>
  <c r="M15" i="3"/>
  <c r="K15" i="3"/>
  <c r="I15" i="3"/>
  <c r="I25" i="3" l="1"/>
  <c r="M25" i="3"/>
  <c r="K25" i="3"/>
  <c r="O25" i="3"/>
  <c r="Q25" i="3"/>
  <c r="K37" i="1" l="1"/>
  <c r="I37" i="1"/>
  <c r="E37" i="1"/>
  <c r="K15" i="1"/>
  <c r="I15" i="1"/>
  <c r="G15" i="1"/>
  <c r="E15" i="1"/>
  <c r="I39" i="1" l="1"/>
  <c r="E39" i="1"/>
  <c r="G39" i="1"/>
  <c r="K39" i="1"/>
  <c r="E43" i="1" l="1"/>
  <c r="G41" i="1" l="1"/>
  <c r="G43" i="1" s="1"/>
  <c r="G45" i="1" l="1"/>
  <c r="I41" i="1"/>
  <c r="I43" i="1" s="1"/>
  <c r="I45" i="1" l="1"/>
  <c r="K41" i="1"/>
  <c r="K43" i="1" s="1"/>
  <c r="M41" i="1" s="1"/>
  <c r="M43" i="1" s="1"/>
  <c r="O41" i="1" l="1"/>
  <c r="O43" i="1" s="1"/>
  <c r="R41" i="1" s="1"/>
  <c r="R43" i="1" s="1"/>
  <c r="R45" i="1" s="1"/>
  <c r="M47" i="1"/>
  <c r="M45" i="1"/>
  <c r="K45" i="1"/>
  <c r="O45" i="1" l="1"/>
  <c r="O47" i="1"/>
  <c r="G23" i="3"/>
  <c r="G15" i="3"/>
  <c r="G25" i="3" s="1"/>
  <c r="G29" i="3" s="1"/>
  <c r="G31" i="3" l="1"/>
  <c r="I29" i="3"/>
  <c r="K27" i="3" l="1"/>
  <c r="K29" i="3" s="1"/>
  <c r="K31" i="3" s="1"/>
  <c r="I31" i="3"/>
  <c r="M27" i="3" l="1"/>
  <c r="M29" i="3" s="1"/>
  <c r="O27" i="3" s="1"/>
  <c r="O29" i="3" s="1"/>
  <c r="M31" i="3" l="1"/>
  <c r="Q27" i="3"/>
  <c r="Q29" i="3" s="1"/>
  <c r="S27" i="3" s="1"/>
  <c r="S29" i="3" s="1"/>
  <c r="O31" i="3"/>
  <c r="U27" i="3" l="1"/>
  <c r="U29" i="3" s="1"/>
  <c r="S31" i="3"/>
  <c r="Q31" i="3"/>
  <c r="U31" i="3" l="1"/>
  <c r="W27" i="3"/>
  <c r="W29" i="3" s="1"/>
  <c r="N32" i="4"/>
  <c r="N14" i="4"/>
  <c r="W31" i="3" l="1"/>
  <c r="Y27" i="3"/>
  <c r="Y29" i="3" s="1"/>
  <c r="Y31" i="3" s="1"/>
  <c r="N34" i="4"/>
  <c r="N38" i="4" s="1"/>
  <c r="L32" i="4" l="1"/>
  <c r="L14" i="4"/>
  <c r="J32" i="4"/>
  <c r="J14" i="4"/>
  <c r="L34" i="4" l="1"/>
  <c r="L38" i="4" s="1"/>
  <c r="L40" i="4" s="1"/>
  <c r="J34" i="4"/>
  <c r="J38" i="4" s="1"/>
  <c r="J40" i="4" s="1"/>
  <c r="H32" i="4" l="1"/>
  <c r="F32" i="4"/>
  <c r="E32" i="4"/>
  <c r="H14" i="4"/>
  <c r="F14" i="4"/>
  <c r="E14" i="4"/>
  <c r="E23" i="3"/>
  <c r="E15" i="3"/>
  <c r="H34" i="4" l="1"/>
  <c r="H38" i="4" s="1"/>
  <c r="H40" i="4" s="1"/>
  <c r="F34" i="4"/>
  <c r="F38" i="4" s="1"/>
  <c r="F40" i="4" s="1"/>
  <c r="E34" i="4"/>
  <c r="E38" i="4" s="1"/>
  <c r="E40" i="4" s="1"/>
  <c r="E25" i="3"/>
  <c r="E29" i="3" s="1"/>
  <c r="E31" i="3" s="1"/>
</calcChain>
</file>

<file path=xl/sharedStrings.xml><?xml version="1.0" encoding="utf-8"?>
<sst xmlns="http://schemas.openxmlformats.org/spreadsheetml/2006/main" count="210" uniqueCount="83">
  <si>
    <t>Hillsdale County ISD</t>
  </si>
  <si>
    <t>Local Sources</t>
  </si>
  <si>
    <t>State Sources</t>
  </si>
  <si>
    <t>Federal Sources</t>
  </si>
  <si>
    <t>Incoming Transfers &amp; Other Sources</t>
  </si>
  <si>
    <t>Revenue:</t>
  </si>
  <si>
    <t>Total Revenues</t>
  </si>
  <si>
    <t>Expenditures:</t>
  </si>
  <si>
    <t>Instruction</t>
  </si>
  <si>
    <t>Basic Instruction</t>
  </si>
  <si>
    <t>Added Needs Instruction</t>
  </si>
  <si>
    <t xml:space="preserve">Pupil Support </t>
  </si>
  <si>
    <t>Instructional Staff Support</t>
  </si>
  <si>
    <t>General Administration</t>
  </si>
  <si>
    <t>School Administration</t>
  </si>
  <si>
    <t>Business Services</t>
  </si>
  <si>
    <t>Operations &amp; Maintenance</t>
  </si>
  <si>
    <t>Pupil Transportation</t>
  </si>
  <si>
    <t>Central Support</t>
  </si>
  <si>
    <t>Community Services</t>
  </si>
  <si>
    <t>Outgoing Transfers &amp; Other Sources</t>
  </si>
  <si>
    <t>Total Expenditures</t>
  </si>
  <si>
    <t>Projected Surplus (Deficit)</t>
  </si>
  <si>
    <t>Fund Balance, July 1</t>
  </si>
  <si>
    <t>Fund Balance, June 30</t>
  </si>
  <si>
    <t>Percentage of Annual Expenditures</t>
  </si>
  <si>
    <t>2014-15</t>
  </si>
  <si>
    <t>Audited Final</t>
  </si>
  <si>
    <t>General Education Fund</t>
  </si>
  <si>
    <t>Support Services</t>
  </si>
  <si>
    <t>2015-16</t>
  </si>
  <si>
    <t>2016-17</t>
  </si>
  <si>
    <t>Audited Financial and Budget Information</t>
  </si>
  <si>
    <t>Food Service Fund</t>
  </si>
  <si>
    <t>2017-2018</t>
  </si>
  <si>
    <t>2018-19</t>
  </si>
  <si>
    <t>400-600</t>
  </si>
  <si>
    <t>2019-2020</t>
  </si>
  <si>
    <t>Adopted Budget (6.20.2019)</t>
  </si>
  <si>
    <t>Amended Budget (6.20.2019)</t>
  </si>
  <si>
    <t>2019-20</t>
  </si>
  <si>
    <t>2020-21</t>
  </si>
  <si>
    <t>2021-22</t>
  </si>
  <si>
    <t>2022-23</t>
  </si>
  <si>
    <t>2023-24</t>
  </si>
  <si>
    <t>Athletics</t>
  </si>
  <si>
    <t>Other Support Services</t>
  </si>
  <si>
    <t>Transportation</t>
  </si>
  <si>
    <t>LITCHFIELD COMMUITY SCHOOLS</t>
  </si>
  <si>
    <t>NORTH ADAMS-JEROME PUBLIC SCHOOS</t>
  </si>
  <si>
    <t>Activity Fund</t>
  </si>
  <si>
    <t>Activities</t>
  </si>
  <si>
    <t>Sinking Fund</t>
  </si>
  <si>
    <t>Transfer In</t>
  </si>
  <si>
    <t>Building Improvements Services</t>
  </si>
  <si>
    <t>Equipment</t>
  </si>
  <si>
    <t>2024-25</t>
  </si>
  <si>
    <t>Site Improvements</t>
  </si>
  <si>
    <t>2025-26</t>
  </si>
  <si>
    <t>Amended Budget (6.23.26)</t>
  </si>
  <si>
    <t>Other Financiag Services</t>
  </si>
  <si>
    <t>Debt Services</t>
  </si>
  <si>
    <t>Fund Modificatins</t>
  </si>
  <si>
    <t>Tax Write Off</t>
  </si>
  <si>
    <t>210-219</t>
  </si>
  <si>
    <t xml:space="preserve"> 220-229 </t>
  </si>
  <si>
    <t xml:space="preserve"> 230-239 </t>
  </si>
  <si>
    <t xml:space="preserve"> 240-249 </t>
  </si>
  <si>
    <t xml:space="preserve"> 250-259 </t>
  </si>
  <si>
    <t xml:space="preserve"> 260-269 </t>
  </si>
  <si>
    <t xml:space="preserve"> 270-279 </t>
  </si>
  <si>
    <t xml:space="preserve"> 280-289 </t>
  </si>
  <si>
    <t xml:space="preserve"> 290-299 </t>
  </si>
  <si>
    <t xml:space="preserve"> 300-399 </t>
  </si>
  <si>
    <t>400-499</t>
  </si>
  <si>
    <t xml:space="preserve"> 500-599 </t>
  </si>
  <si>
    <t xml:space="preserve"> 600-699 </t>
  </si>
  <si>
    <t>110-119</t>
  </si>
  <si>
    <t>120-129</t>
  </si>
  <si>
    <t>2024-2025</t>
  </si>
  <si>
    <t>2026-2027</t>
  </si>
  <si>
    <t>2026-27</t>
  </si>
  <si>
    <t>Budget (6.23.26)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</si>
</sst>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%"/>
    <numFmt numFmtId="166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42" fontId="0" fillId="0" borderId="0" xfId="0" applyNumberFormat="1"/>
    <xf numFmtId="41" fontId="0" fillId="0" borderId="0" xfId="0" applyNumberFormat="1"/>
    <xf numFmtId="41" fontId="0" fillId="0" borderId="1" xfId="0" applyNumberFormat="1" applyBorder="1"/>
    <xf numFmtId="164" fontId="0" fillId="0" borderId="0" xfId="0" applyNumberFormat="1"/>
    <xf numFmtId="164" fontId="0" fillId="0" borderId="1" xfId="0" applyNumberFormat="1" applyBorder="1"/>
    <xf numFmtId="164" fontId="0" fillId="0" borderId="2" xfId="0" applyNumberFormat="1" applyBorder="1"/>
    <xf numFmtId="165" fontId="0" fillId="0" borderId="3" xfId="0" applyNumberForma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1" fontId="2" fillId="0" borderId="0" xfId="0" applyNumberFormat="1" applyFont="1"/>
    <xf numFmtId="41" fontId="2" fillId="0" borderId="0" xfId="0" applyNumberFormat="1" applyFont="1" applyAlignment="1">
      <alignment horizontal="right"/>
    </xf>
    <xf numFmtId="165" fontId="0" fillId="0" borderId="0" xfId="0" applyNumberFormat="1"/>
    <xf numFmtId="42" fontId="0" fillId="0" borderId="1" xfId="0" applyNumberFormat="1" applyBorder="1"/>
    <xf numFmtId="42" fontId="2" fillId="0" borderId="0" xfId="0" applyNumberFormat="1" applyFont="1"/>
    <xf numFmtId="42" fontId="0" fillId="0" borderId="2" xfId="0" applyNumberFormat="1" applyBorder="1"/>
    <xf numFmtId="41" fontId="3" fillId="0" borderId="0" xfId="0" applyNumberFormat="1" applyFont="1"/>
    <xf numFmtId="41" fontId="4" fillId="0" borderId="0" xfId="0" applyNumberFormat="1" applyFont="1"/>
    <xf numFmtId="44" fontId="0" fillId="0" borderId="0" xfId="0" applyNumberFormat="1"/>
    <xf numFmtId="43" fontId="0" fillId="0" borderId="0" xfId="0" applyNumberFormat="1"/>
    <xf numFmtId="41" fontId="1" fillId="0" borderId="0" xfId="0" applyNumberFormat="1" applyFont="1" applyAlignment="1">
      <alignment horizontal="center"/>
    </xf>
    <xf numFmtId="41" fontId="1" fillId="0" borderId="0" xfId="0" applyNumberFormat="1" applyFont="1" applyAlignment="1">
      <alignment horizontal="center" wrapText="1"/>
    </xf>
    <xf numFmtId="41" fontId="0" fillId="0" borderId="2" xfId="0" applyNumberFormat="1" applyBorder="1"/>
    <xf numFmtId="41" fontId="1" fillId="0" borderId="0" xfId="0" applyNumberFormat="1" applyFont="1"/>
    <xf numFmtId="166" fontId="0" fillId="0" borderId="0" xfId="0" applyNumberFormat="1"/>
    <xf numFmtId="0" fontId="0" fillId="0" borderId="0" xfId="0" applyAlignment="1">
      <alignment horizontal="center"/>
    </xf>
    <xf numFmtId="10" fontId="0" fillId="0" borderId="3" xfId="0" applyNumberFormat="1" applyBorder="1"/>
    <xf numFmtId="10" fontId="0" fillId="0" borderId="0" xfId="0" applyNumberFormat="1"/>
    <xf numFmtId="41" fontId="2" fillId="0" borderId="0" xfId="0" applyNumberFormat="1" applyFont="1" applyAlignment="1">
      <alignment horizontal="center"/>
    </xf>
    <xf numFmtId="41" fontId="2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Shared%20drives\LCS\LCS\Budget\BUDGET%20TRANSPARENCY\23-24%20Budgets\Budget%20Summary%206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 Ed"/>
      <sheetName val="Food Service"/>
      <sheetName val="Food Service Fund"/>
      <sheetName val="Activity Fund"/>
      <sheetName val="Sinking Fund"/>
    </sheetNames>
    <sheetDataSet>
      <sheetData sheetId="0">
        <row r="1">
          <cell r="A1" t="str">
            <v>LITCHFIELD COMMUITY SCHOOLS</v>
          </cell>
          <cell r="B1"/>
          <cell r="C1"/>
          <cell r="D1"/>
          <cell r="E1"/>
          <cell r="F1"/>
          <cell r="G1"/>
          <cell r="H1"/>
          <cell r="I1"/>
          <cell r="J1"/>
          <cell r="K1"/>
          <cell r="L1"/>
          <cell r="M1"/>
        </row>
      </sheetData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V51"/>
  <sheetViews>
    <sheetView zoomScaleNormal="100" workbookViewId="0">
      <pane xSplit="4" ySplit="8" topLeftCell="E30" activePane="bottomRight" state="frozen"/>
      <selection pane="topRight" activeCell="E1" sqref="E1"/>
      <selection pane="bottomLeft" activeCell="A9" sqref="A9"/>
      <selection pane="bottomRight" activeCell="T8" sqref="T8"/>
    </sheetView>
  </sheetViews>
  <sheetFormatPr defaultRowHeight="14.4" x14ac:dyDescent="0.3"/>
  <cols>
    <col min="1" max="2" width="3.6640625" customWidth="1"/>
    <col min="3" max="3" width="32.6640625" customWidth="1"/>
    <col min="4" max="4" width="1.33203125" customWidth="1"/>
    <col min="5" max="5" width="13.33203125" style="3" bestFit="1" customWidth="1"/>
    <col min="6" max="6" width="1.88671875" customWidth="1"/>
    <col min="7" max="7" width="13.44140625" bestFit="1" customWidth="1"/>
    <col min="8" max="8" width="1.88671875" customWidth="1"/>
    <col min="9" max="9" width="12.6640625" customWidth="1"/>
    <col min="10" max="10" width="1.5546875" customWidth="1"/>
    <col min="11" max="11" width="15" bestFit="1" customWidth="1"/>
    <col min="12" max="12" width="1.33203125" customWidth="1"/>
    <col min="13" max="13" width="13.33203125" style="3" bestFit="1" customWidth="1"/>
    <col min="14" max="14" width="1.33203125" customWidth="1"/>
    <col min="15" max="15" width="13.33203125" style="3" bestFit="1" customWidth="1"/>
    <col min="16" max="16" width="9.109375" hidden="1" customWidth="1"/>
    <col min="17" max="17" width="1.88671875" customWidth="1"/>
    <col min="18" max="18" width="10.5546875" customWidth="1"/>
    <col min="19" max="19" width="1.77734375" customWidth="1"/>
    <col min="20" max="20" width="12.5546875" bestFit="1" customWidth="1"/>
    <col min="21" max="21" width="11.5546875" bestFit="1" customWidth="1"/>
    <col min="22" max="22" width="12.5546875" hidden="1" customWidth="1"/>
  </cols>
  <sheetData>
    <row r="1" spans="1:22" x14ac:dyDescent="0.3">
      <c r="A1" s="31" t="s">
        <v>48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</row>
    <row r="2" spans="1:22" x14ac:dyDescent="0.3">
      <c r="A2" s="31" t="s">
        <v>28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2" x14ac:dyDescent="0.3">
      <c r="A3" s="31" t="s">
        <v>80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</row>
    <row r="4" spans="1:22" x14ac:dyDescent="0.3">
      <c r="A4" s="32">
        <v>46196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</row>
    <row r="7" spans="1:22" s="1" customFormat="1" x14ac:dyDescent="0.3">
      <c r="E7" s="21" t="s">
        <v>40</v>
      </c>
      <c r="G7" s="9" t="s">
        <v>41</v>
      </c>
      <c r="H7" s="9"/>
      <c r="I7" s="9" t="s">
        <v>42</v>
      </c>
      <c r="J7" s="9"/>
      <c r="K7" s="9" t="s">
        <v>43</v>
      </c>
      <c r="L7" s="9"/>
      <c r="M7" s="21" t="s">
        <v>44</v>
      </c>
      <c r="N7" s="9"/>
      <c r="O7" s="21" t="s">
        <v>56</v>
      </c>
      <c r="R7" s="21" t="s">
        <v>58</v>
      </c>
      <c r="S7" s="21"/>
      <c r="T7" s="21" t="s">
        <v>81</v>
      </c>
    </row>
    <row r="8" spans="1:22" s="1" customFormat="1" ht="43.2" x14ac:dyDescent="0.3">
      <c r="E8" s="22" t="s">
        <v>27</v>
      </c>
      <c r="F8" s="10"/>
      <c r="G8" s="10" t="s">
        <v>27</v>
      </c>
      <c r="H8" s="10"/>
      <c r="I8" s="10" t="s">
        <v>27</v>
      </c>
      <c r="J8" s="10"/>
      <c r="K8" s="10" t="s">
        <v>27</v>
      </c>
      <c r="L8" s="10"/>
      <c r="M8" s="10" t="s">
        <v>27</v>
      </c>
      <c r="N8" s="10"/>
      <c r="O8" s="22" t="s">
        <v>27</v>
      </c>
      <c r="R8" s="10" t="s">
        <v>59</v>
      </c>
      <c r="S8" s="10"/>
      <c r="T8" s="10" t="s">
        <v>82</v>
      </c>
    </row>
    <row r="9" spans="1:22" x14ac:dyDescent="0.3">
      <c r="A9" s="1" t="s">
        <v>5</v>
      </c>
    </row>
    <row r="10" spans="1:22" x14ac:dyDescent="0.3">
      <c r="B10" t="s">
        <v>1</v>
      </c>
      <c r="E10" s="3">
        <f>496233.87+61.11+600+13043+844.93+14179.79+100+52172.23</f>
        <v>577234.92999999993</v>
      </c>
      <c r="F10" s="3"/>
      <c r="G10" s="3">
        <v>603673.96</v>
      </c>
      <c r="H10" s="3"/>
      <c r="I10" s="3">
        <v>677914.1</v>
      </c>
      <c r="J10" s="3"/>
      <c r="K10" s="3">
        <v>647231.62</v>
      </c>
      <c r="L10" s="3"/>
      <c r="M10" s="3">
        <f>638177.74+7142.55+19059.64+10283.71+2562.51+6050.51</f>
        <v>683276.66</v>
      </c>
      <c r="N10" s="3"/>
      <c r="O10" s="3">
        <v>785541.84</v>
      </c>
      <c r="P10" s="3"/>
      <c r="Q10" s="3"/>
      <c r="R10" s="3">
        <v>840442.65</v>
      </c>
      <c r="S10" s="3"/>
      <c r="T10" s="3">
        <f>755246+877.05+40000+3951+18111+24504.94+82713.44+4499</f>
        <v>929902.42999999993</v>
      </c>
    </row>
    <row r="11" spans="1:22" x14ac:dyDescent="0.3">
      <c r="B11" t="s">
        <v>2</v>
      </c>
      <c r="E11" s="3">
        <f>1777060.17+429067.24+70320.62</f>
        <v>2276448.0300000003</v>
      </c>
      <c r="F11" s="3"/>
      <c r="G11" s="3">
        <v>2339263.69</v>
      </c>
      <c r="H11" s="3"/>
      <c r="I11" s="3">
        <v>2436049.9300000002</v>
      </c>
      <c r="J11" s="3"/>
      <c r="K11" s="3">
        <v>2910725.72</v>
      </c>
      <c r="L11" s="3"/>
      <c r="M11" s="3">
        <f>1896929.36+873858.78</f>
        <v>2770788.14</v>
      </c>
      <c r="N11" s="3"/>
      <c r="O11" s="3">
        <v>2718418.93</v>
      </c>
      <c r="P11" s="3"/>
      <c r="Q11" s="3"/>
      <c r="R11" s="3">
        <v>2925605.21</v>
      </c>
      <c r="S11" s="3"/>
      <c r="T11" s="3">
        <f>1792700+908202.21+54134.96</f>
        <v>2755037.17</v>
      </c>
    </row>
    <row r="12" spans="1:22" x14ac:dyDescent="0.3">
      <c r="B12" t="s">
        <v>3</v>
      </c>
      <c r="E12" s="3">
        <f>4519.97+810783.23+546.55</f>
        <v>815849.75</v>
      </c>
      <c r="F12" s="3"/>
      <c r="G12" s="3">
        <f>5001.06+813324.68+14886.3+793.29</f>
        <v>834005.33000000019</v>
      </c>
      <c r="H12" s="3"/>
      <c r="I12" s="3">
        <v>1038690.8</v>
      </c>
      <c r="J12" s="3"/>
      <c r="K12" s="3">
        <v>1189321.42</v>
      </c>
      <c r="L12" s="3"/>
      <c r="M12" s="3">
        <f>317803.34+2391.85</f>
        <v>320195.19</v>
      </c>
      <c r="N12" s="3"/>
      <c r="O12" s="3">
        <v>352435.20000000001</v>
      </c>
      <c r="P12" s="3"/>
      <c r="Q12" s="3"/>
      <c r="R12" s="3">
        <v>227741.11</v>
      </c>
      <c r="S12" s="3"/>
      <c r="T12" s="3">
        <f>21995.24+210463.9+3500</f>
        <v>235959.13999999998</v>
      </c>
    </row>
    <row r="13" spans="1:22" x14ac:dyDescent="0.3">
      <c r="B13" t="s">
        <v>4</v>
      </c>
      <c r="E13" s="3">
        <v>0</v>
      </c>
      <c r="F13" s="3"/>
      <c r="G13" s="3">
        <v>9191.41</v>
      </c>
      <c r="H13" s="3"/>
      <c r="I13" s="3">
        <v>8457.41</v>
      </c>
      <c r="J13" s="3"/>
      <c r="K13" s="3">
        <v>4451.32</v>
      </c>
      <c r="L13" s="3"/>
      <c r="M13" s="3">
        <f>532.34+376841+15000</f>
        <v>392373.34</v>
      </c>
      <c r="N13" s="3"/>
      <c r="O13" s="3">
        <v>33601.9</v>
      </c>
      <c r="P13" s="3"/>
      <c r="Q13" s="3"/>
      <c r="R13" s="3">
        <v>340180.14</v>
      </c>
      <c r="S13" s="3"/>
      <c r="T13" s="3">
        <v>2500</v>
      </c>
    </row>
    <row r="14" spans="1:22" ht="6" customHeight="1" x14ac:dyDescent="0.3">
      <c r="E14" s="4"/>
      <c r="F14" s="3"/>
      <c r="G14" s="4"/>
      <c r="H14" s="3"/>
      <c r="I14" s="4"/>
      <c r="J14" s="3"/>
      <c r="K14" s="4"/>
      <c r="L14" s="3"/>
      <c r="M14" s="4"/>
      <c r="N14" s="3"/>
      <c r="O14" s="4"/>
      <c r="P14" s="3"/>
      <c r="Q14" s="3"/>
      <c r="R14" s="4"/>
      <c r="S14" s="4"/>
      <c r="T14" s="4"/>
    </row>
    <row r="15" spans="1:22" x14ac:dyDescent="0.3">
      <c r="B15" t="s">
        <v>6</v>
      </c>
      <c r="E15" s="3">
        <f>SUM(E10:E14)</f>
        <v>3669532.71</v>
      </c>
      <c r="F15" s="3"/>
      <c r="G15" s="3">
        <f>SUM(G10:G14)</f>
        <v>3786134.39</v>
      </c>
      <c r="H15" s="3"/>
      <c r="I15" s="3">
        <f>SUM(I10:I14)</f>
        <v>4161112.24</v>
      </c>
      <c r="J15" s="3"/>
      <c r="K15" s="3">
        <f>SUM(K10:K14)</f>
        <v>4751730.08</v>
      </c>
      <c r="L15" s="3"/>
      <c r="M15" s="3">
        <f>SUM(M10:M14)</f>
        <v>4166633.33</v>
      </c>
      <c r="N15" s="3"/>
      <c r="O15" s="3">
        <f>SUM(O10:O14)</f>
        <v>3889997.87</v>
      </c>
      <c r="P15" s="3"/>
      <c r="Q15" s="3"/>
      <c r="R15" s="3">
        <f>SUM(R10:R14)</f>
        <v>4333969.1099999994</v>
      </c>
      <c r="S15" s="3"/>
      <c r="T15" s="3">
        <f>SUM(T10:T14)</f>
        <v>3923398.7399999998</v>
      </c>
      <c r="V15" s="20"/>
    </row>
    <row r="16" spans="1:22" x14ac:dyDescent="0.3">
      <c r="F16" s="3"/>
      <c r="G16" s="3"/>
      <c r="H16" s="3"/>
      <c r="I16" s="3"/>
      <c r="J16" s="3"/>
      <c r="K16" s="3"/>
      <c r="L16" s="3"/>
      <c r="N16" s="3"/>
      <c r="P16" s="3"/>
      <c r="Q16" s="3"/>
      <c r="R16" s="3"/>
      <c r="S16" s="3"/>
      <c r="T16" s="3"/>
    </row>
    <row r="17" spans="1:22" x14ac:dyDescent="0.3">
      <c r="A17" s="1" t="s">
        <v>7</v>
      </c>
      <c r="F17" s="3"/>
      <c r="G17" s="3"/>
      <c r="H17" s="3"/>
      <c r="I17" s="3"/>
      <c r="J17" s="3"/>
      <c r="K17" s="3"/>
      <c r="L17" s="3"/>
      <c r="N17" s="3"/>
      <c r="P17" s="3"/>
      <c r="Q17" s="3"/>
      <c r="R17" s="3"/>
      <c r="S17" s="3"/>
      <c r="T17" s="3"/>
    </row>
    <row r="18" spans="1:22" x14ac:dyDescent="0.3">
      <c r="B18" t="s">
        <v>8</v>
      </c>
      <c r="F18" s="3"/>
      <c r="G18" s="3"/>
      <c r="H18" s="3"/>
      <c r="I18" s="3"/>
      <c r="J18" s="3"/>
      <c r="K18" s="3"/>
      <c r="L18" s="3"/>
      <c r="N18" s="3"/>
      <c r="P18" s="3"/>
      <c r="Q18" s="3"/>
      <c r="R18" s="3"/>
      <c r="S18" s="3"/>
      <c r="T18" s="3"/>
    </row>
    <row r="19" spans="1:22" x14ac:dyDescent="0.3">
      <c r="C19" t="s">
        <v>9</v>
      </c>
      <c r="E19" s="3">
        <v>1543063.4</v>
      </c>
      <c r="F19" s="3"/>
      <c r="G19" s="3">
        <v>1779459.74</v>
      </c>
      <c r="H19" s="3"/>
      <c r="I19" s="3">
        <v>1916455.55</v>
      </c>
      <c r="J19" s="3"/>
      <c r="K19" s="18">
        <v>1852882.8</v>
      </c>
      <c r="L19" s="3"/>
      <c r="M19" s="3">
        <v>1600470.69</v>
      </c>
      <c r="N19" s="3"/>
      <c r="O19" s="3">
        <v>1663126.3</v>
      </c>
      <c r="P19" s="11">
        <v>110</v>
      </c>
      <c r="Q19" s="11"/>
      <c r="R19" s="3">
        <v>1824485.78</v>
      </c>
      <c r="S19" s="3"/>
      <c r="T19" s="3">
        <f>762464.24+822145.95+239584.22</f>
        <v>1824194.41</v>
      </c>
      <c r="U19" s="26"/>
      <c r="V19" s="11" t="s">
        <v>77</v>
      </c>
    </row>
    <row r="20" spans="1:22" x14ac:dyDescent="0.3">
      <c r="C20" t="s">
        <v>10</v>
      </c>
      <c r="E20" s="3">
        <v>362726.1</v>
      </c>
      <c r="F20" s="3"/>
      <c r="G20" s="3">
        <v>299785.05</v>
      </c>
      <c r="H20" s="3"/>
      <c r="I20" s="3">
        <v>222201.19</v>
      </c>
      <c r="J20" s="3"/>
      <c r="K20" s="18">
        <v>540493.94999999995</v>
      </c>
      <c r="L20" s="3"/>
      <c r="M20" s="3">
        <v>450471.53</v>
      </c>
      <c r="N20" s="3"/>
      <c r="O20" s="3">
        <v>529091.88</v>
      </c>
      <c r="P20" s="11">
        <v>120</v>
      </c>
      <c r="Q20" s="11"/>
      <c r="R20" s="3">
        <v>654561.43999999994</v>
      </c>
      <c r="S20" s="3"/>
      <c r="T20" s="3">
        <f>297246+470753.91</f>
        <v>767999.90999999992</v>
      </c>
      <c r="U20" s="26"/>
      <c r="V20" s="11" t="s">
        <v>78</v>
      </c>
    </row>
    <row r="21" spans="1:22" x14ac:dyDescent="0.3">
      <c r="B21" t="s">
        <v>29</v>
      </c>
      <c r="F21" s="3"/>
      <c r="G21" s="3"/>
      <c r="H21" s="3"/>
      <c r="I21" s="3"/>
      <c r="J21" s="3"/>
      <c r="K21" s="17"/>
      <c r="L21" s="3"/>
      <c r="N21" s="3"/>
      <c r="P21" s="11"/>
      <c r="Q21" s="11"/>
      <c r="R21" s="3"/>
      <c r="S21" s="3"/>
      <c r="T21" s="3"/>
      <c r="V21" s="11"/>
    </row>
    <row r="22" spans="1:22" x14ac:dyDescent="0.3">
      <c r="C22" t="s">
        <v>11</v>
      </c>
      <c r="E22" s="3">
        <v>40185.53</v>
      </c>
      <c r="F22" s="3"/>
      <c r="G22" s="3">
        <v>40264.81</v>
      </c>
      <c r="H22" s="3"/>
      <c r="I22" s="3">
        <v>107323.3</v>
      </c>
      <c r="J22" s="3"/>
      <c r="K22" s="18">
        <v>116793.41</v>
      </c>
      <c r="L22" s="3"/>
      <c r="M22" s="3">
        <v>136615.98000000001</v>
      </c>
      <c r="N22" s="3"/>
      <c r="O22" s="3">
        <v>117366.92</v>
      </c>
      <c r="P22" s="11">
        <v>210</v>
      </c>
      <c r="Q22" s="11"/>
      <c r="R22" s="3">
        <v>126541.56</v>
      </c>
      <c r="S22" s="3"/>
      <c r="T22" s="3">
        <f>61834+54920</f>
        <v>116754</v>
      </c>
      <c r="U22" s="26"/>
      <c r="V22" s="30" t="s">
        <v>64</v>
      </c>
    </row>
    <row r="23" spans="1:22" x14ac:dyDescent="0.3">
      <c r="C23" t="s">
        <v>12</v>
      </c>
      <c r="E23" s="3">
        <v>250535.41</v>
      </c>
      <c r="F23" s="3"/>
      <c r="G23" s="3">
        <v>202896.79</v>
      </c>
      <c r="H23" s="3"/>
      <c r="I23" s="3">
        <v>131591.88</v>
      </c>
      <c r="J23" s="3"/>
      <c r="K23" s="18">
        <v>15917.06</v>
      </c>
      <c r="L23" s="3"/>
      <c r="M23" s="3">
        <v>72901.39</v>
      </c>
      <c r="N23" s="3"/>
      <c r="O23" s="3">
        <v>78726.75</v>
      </c>
      <c r="P23" s="11">
        <v>220</v>
      </c>
      <c r="Q23" s="11"/>
      <c r="R23" s="3">
        <v>51720.59</v>
      </c>
      <c r="S23" s="3"/>
      <c r="T23" s="3">
        <f>3740.66+22545.24+20409.35+2993</f>
        <v>49688.25</v>
      </c>
      <c r="U23" s="29"/>
      <c r="V23" s="30" t="s">
        <v>65</v>
      </c>
    </row>
    <row r="24" spans="1:22" x14ac:dyDescent="0.3">
      <c r="C24" t="s">
        <v>13</v>
      </c>
      <c r="E24" s="3">
        <v>238109.29</v>
      </c>
      <c r="F24" s="3"/>
      <c r="G24" s="3">
        <v>195850.73</v>
      </c>
      <c r="H24" s="3"/>
      <c r="I24" s="3">
        <v>239323.49</v>
      </c>
      <c r="J24" s="3"/>
      <c r="K24" s="18">
        <v>231629.18</v>
      </c>
      <c r="L24" s="3"/>
      <c r="M24" s="3">
        <v>175786.35</v>
      </c>
      <c r="N24" s="3"/>
      <c r="O24" s="3">
        <v>145886.98000000001</v>
      </c>
      <c r="P24" s="11">
        <v>230</v>
      </c>
      <c r="Q24" s="11"/>
      <c r="R24" s="3">
        <v>168134.81</v>
      </c>
      <c r="S24" s="3"/>
      <c r="T24" s="3">
        <f>29550+134879</f>
        <v>164429</v>
      </c>
      <c r="U24" s="29"/>
      <c r="V24" s="30" t="s">
        <v>66</v>
      </c>
    </row>
    <row r="25" spans="1:22" x14ac:dyDescent="0.3">
      <c r="C25" t="s">
        <v>14</v>
      </c>
      <c r="E25" s="3">
        <v>123109.24</v>
      </c>
      <c r="F25" s="3"/>
      <c r="G25" s="3">
        <v>138748.79999999999</v>
      </c>
      <c r="H25" s="3"/>
      <c r="I25" s="3">
        <v>165016.45000000001</v>
      </c>
      <c r="J25" s="3"/>
      <c r="K25" s="18">
        <v>206743.57</v>
      </c>
      <c r="L25" s="3"/>
      <c r="M25" s="3">
        <v>190715.65</v>
      </c>
      <c r="N25" s="3"/>
      <c r="O25" s="3">
        <v>190544.98</v>
      </c>
      <c r="P25" s="11">
        <v>240</v>
      </c>
      <c r="Q25" s="11"/>
      <c r="R25" s="3">
        <v>198652.55</v>
      </c>
      <c r="S25" s="3"/>
      <c r="T25" s="3">
        <f>180113+1200</f>
        <v>181313</v>
      </c>
      <c r="U25" s="29"/>
      <c r="V25" s="30" t="s">
        <v>67</v>
      </c>
    </row>
    <row r="26" spans="1:22" x14ac:dyDescent="0.3">
      <c r="C26" t="s">
        <v>15</v>
      </c>
      <c r="E26" s="3">
        <v>123609.99</v>
      </c>
      <c r="F26" s="3"/>
      <c r="G26" s="3">
        <v>123357.84</v>
      </c>
      <c r="H26" s="3"/>
      <c r="I26" s="3">
        <v>133669.29</v>
      </c>
      <c r="J26" s="3"/>
      <c r="K26" s="18">
        <v>133365.91</v>
      </c>
      <c r="L26" s="3"/>
      <c r="M26" s="3">
        <v>125851.73</v>
      </c>
      <c r="N26" s="3"/>
      <c r="O26" s="3">
        <v>138131.19</v>
      </c>
      <c r="P26" s="11">
        <v>250</v>
      </c>
      <c r="Q26" s="11"/>
      <c r="R26" s="3">
        <v>204250.18</v>
      </c>
      <c r="S26" s="3"/>
      <c r="T26" s="3">
        <f>160612+31200</f>
        <v>191812</v>
      </c>
      <c r="U26" s="29"/>
      <c r="V26" s="30" t="s">
        <v>68</v>
      </c>
    </row>
    <row r="27" spans="1:22" x14ac:dyDescent="0.3">
      <c r="C27" t="s">
        <v>16</v>
      </c>
      <c r="E27" s="3">
        <v>282056.59000000003</v>
      </c>
      <c r="F27" s="3"/>
      <c r="G27" s="3">
        <v>319099.2</v>
      </c>
      <c r="H27" s="3"/>
      <c r="I27" s="3">
        <v>332833.46999999997</v>
      </c>
      <c r="J27" s="3"/>
      <c r="K27" s="18">
        <v>457862.69</v>
      </c>
      <c r="L27" s="3"/>
      <c r="M27" s="3">
        <v>403207.14</v>
      </c>
      <c r="N27" s="3"/>
      <c r="O27" s="3">
        <v>412791.74</v>
      </c>
      <c r="P27" s="11">
        <v>260</v>
      </c>
      <c r="Q27" s="11"/>
      <c r="R27" s="3">
        <v>473824.44</v>
      </c>
      <c r="S27" s="3"/>
      <c r="T27" s="3">
        <f>526324+2800</f>
        <v>529124</v>
      </c>
      <c r="U27" s="29"/>
      <c r="V27" s="30" t="s">
        <v>69</v>
      </c>
    </row>
    <row r="28" spans="1:22" x14ac:dyDescent="0.3">
      <c r="C28" t="s">
        <v>17</v>
      </c>
      <c r="E28" s="3">
        <v>236836.86</v>
      </c>
      <c r="F28" s="3"/>
      <c r="G28" s="3">
        <v>211460.93</v>
      </c>
      <c r="H28" s="3"/>
      <c r="I28" s="3">
        <v>250402.48</v>
      </c>
      <c r="J28" s="3"/>
      <c r="K28" s="18">
        <v>200078.96</v>
      </c>
      <c r="L28" s="3"/>
      <c r="M28" s="3">
        <v>558035.51</v>
      </c>
      <c r="N28" s="3"/>
      <c r="O28" s="3">
        <v>176248.32000000001</v>
      </c>
      <c r="P28" s="11">
        <v>270</v>
      </c>
      <c r="Q28" s="11"/>
      <c r="R28" s="3">
        <v>435899.66</v>
      </c>
      <c r="S28" s="3"/>
      <c r="T28" s="3">
        <f>214713.93</f>
        <v>214713.93</v>
      </c>
      <c r="U28" s="29"/>
      <c r="V28" s="30" t="s">
        <v>70</v>
      </c>
    </row>
    <row r="29" spans="1:22" x14ac:dyDescent="0.3">
      <c r="C29" t="s">
        <v>18</v>
      </c>
      <c r="E29" s="3">
        <v>78967.179999999993</v>
      </c>
      <c r="F29" s="3"/>
      <c r="G29" s="3">
        <v>71739.839999999997</v>
      </c>
      <c r="H29" s="3"/>
      <c r="I29" s="3">
        <v>69435.37</v>
      </c>
      <c r="J29" s="3"/>
      <c r="K29" s="18">
        <v>75906.759999999995</v>
      </c>
      <c r="L29" s="3"/>
      <c r="M29" s="3">
        <v>90919.19</v>
      </c>
      <c r="N29" s="3"/>
      <c r="O29" s="3">
        <v>82765.73</v>
      </c>
      <c r="P29" s="12">
        <v>280</v>
      </c>
      <c r="Q29" s="12"/>
      <c r="R29" s="3">
        <v>101449.17</v>
      </c>
      <c r="S29" s="3"/>
      <c r="T29" s="3">
        <f>1000+1951.41+93114</f>
        <v>96065.41</v>
      </c>
      <c r="U29" s="29"/>
      <c r="V29" s="30" t="s">
        <v>71</v>
      </c>
    </row>
    <row r="30" spans="1:22" x14ac:dyDescent="0.3">
      <c r="C30" t="s">
        <v>45</v>
      </c>
      <c r="E30" s="3">
        <v>104705.25</v>
      </c>
      <c r="F30" s="3"/>
      <c r="G30" s="3">
        <v>98995.21</v>
      </c>
      <c r="H30" s="3"/>
      <c r="I30" s="3">
        <v>121269.41</v>
      </c>
      <c r="J30" s="3"/>
      <c r="K30" s="18">
        <v>137349.93</v>
      </c>
      <c r="L30" s="3"/>
      <c r="M30" s="3">
        <v>122941.77</v>
      </c>
      <c r="N30" s="3"/>
      <c r="O30" s="3">
        <v>133887.12</v>
      </c>
      <c r="P30" s="12">
        <v>290</v>
      </c>
      <c r="Q30" s="12"/>
      <c r="R30" s="3">
        <v>151993.95000000001</v>
      </c>
      <c r="S30" s="3"/>
      <c r="T30" s="3">
        <f>5430.61+135304+2334.44</f>
        <v>143069.04999999999</v>
      </c>
      <c r="U30" s="29"/>
      <c r="V30" s="30" t="s">
        <v>72</v>
      </c>
    </row>
    <row r="31" spans="1:22" x14ac:dyDescent="0.3">
      <c r="C31" t="s">
        <v>19</v>
      </c>
      <c r="E31" s="3">
        <v>35003.129999999997</v>
      </c>
      <c r="F31" s="3"/>
      <c r="G31" s="3">
        <v>28913.15</v>
      </c>
      <c r="H31" s="3"/>
      <c r="I31" s="3">
        <v>9420.42</v>
      </c>
      <c r="J31" s="3"/>
      <c r="K31" s="18">
        <v>5067.32</v>
      </c>
      <c r="L31" s="3"/>
      <c r="M31" s="3">
        <v>33296.61</v>
      </c>
      <c r="N31" s="3"/>
      <c r="O31" s="3">
        <v>14499.87</v>
      </c>
      <c r="P31" s="12">
        <v>300</v>
      </c>
      <c r="Q31" s="12"/>
      <c r="R31" s="3">
        <v>15584.13</v>
      </c>
      <c r="S31" s="3"/>
      <c r="T31" s="3">
        <v>9640.31</v>
      </c>
      <c r="U31" s="29"/>
      <c r="V31" s="30" t="s">
        <v>73</v>
      </c>
    </row>
    <row r="32" spans="1:22" x14ac:dyDescent="0.3">
      <c r="C32" t="s">
        <v>60</v>
      </c>
      <c r="F32" s="3"/>
      <c r="G32" s="3"/>
      <c r="H32" s="3"/>
      <c r="I32" s="3"/>
      <c r="J32" s="3"/>
      <c r="K32" s="18"/>
      <c r="L32" s="3"/>
      <c r="N32" s="3"/>
      <c r="O32" s="3">
        <v>85475.49</v>
      </c>
      <c r="P32" s="12"/>
      <c r="Q32" s="12"/>
      <c r="R32" s="3">
        <v>22332.18</v>
      </c>
      <c r="S32" s="3"/>
      <c r="T32" s="3">
        <f>7670</f>
        <v>7670</v>
      </c>
      <c r="U32" s="29"/>
      <c r="V32" s="30" t="s">
        <v>74</v>
      </c>
    </row>
    <row r="33" spans="1:22" x14ac:dyDescent="0.3">
      <c r="C33" t="s">
        <v>61</v>
      </c>
      <c r="F33" s="3"/>
      <c r="G33" s="3"/>
      <c r="H33" s="3"/>
      <c r="I33" s="3"/>
      <c r="J33" s="3"/>
      <c r="K33" s="18"/>
      <c r="L33" s="3"/>
      <c r="N33" s="3"/>
      <c r="O33" s="3">
        <v>99716</v>
      </c>
      <c r="P33" s="12"/>
      <c r="Q33" s="12"/>
      <c r="R33" s="3">
        <v>119385.84</v>
      </c>
      <c r="S33" s="3"/>
      <c r="T33" s="3">
        <f>134385.47</f>
        <v>134385.47</v>
      </c>
      <c r="U33" s="29"/>
      <c r="V33" s="30" t="s">
        <v>75</v>
      </c>
    </row>
    <row r="34" spans="1:22" x14ac:dyDescent="0.3">
      <c r="C34" t="s">
        <v>62</v>
      </c>
      <c r="F34" s="3"/>
      <c r="G34" s="3"/>
      <c r="H34" s="3"/>
      <c r="I34" s="3"/>
      <c r="J34" s="3"/>
      <c r="K34" s="18"/>
      <c r="L34" s="3"/>
      <c r="N34" s="3"/>
      <c r="O34" s="3">
        <v>1720</v>
      </c>
      <c r="P34" s="12"/>
      <c r="Q34" s="12"/>
      <c r="R34" s="3">
        <v>1760</v>
      </c>
      <c r="S34" s="3"/>
      <c r="T34" s="3">
        <f>-900+2000</f>
        <v>1100</v>
      </c>
      <c r="U34" s="29"/>
      <c r="V34" s="30" t="s">
        <v>76</v>
      </c>
    </row>
    <row r="35" spans="1:22" x14ac:dyDescent="0.3">
      <c r="C35" t="s">
        <v>20</v>
      </c>
      <c r="E35" s="3">
        <v>6248.91</v>
      </c>
      <c r="F35" s="3"/>
      <c r="G35" s="3">
        <v>27259.119999999999</v>
      </c>
      <c r="H35" s="3"/>
      <c r="I35" s="3">
        <v>15686.96</v>
      </c>
      <c r="J35" s="3"/>
      <c r="K35" s="18">
        <v>139911.04999999999</v>
      </c>
      <c r="L35" s="3"/>
      <c r="M35" s="3">
        <v>227451.17</v>
      </c>
      <c r="N35" s="3"/>
      <c r="P35" s="12" t="s">
        <v>36</v>
      </c>
      <c r="Q35" s="12"/>
      <c r="R35" s="3">
        <v>0</v>
      </c>
      <c r="S35" s="3"/>
      <c r="T35" s="3">
        <v>0</v>
      </c>
      <c r="U35" s="26"/>
      <c r="V35" s="30"/>
    </row>
    <row r="36" spans="1:22" ht="7.5" customHeight="1" x14ac:dyDescent="0.3">
      <c r="E36" s="4"/>
      <c r="F36" s="3"/>
      <c r="G36" s="4"/>
      <c r="H36" s="3"/>
      <c r="I36" s="4"/>
      <c r="J36" s="3"/>
      <c r="K36" s="4"/>
      <c r="L36" s="3"/>
      <c r="M36" s="4"/>
      <c r="N36" s="3"/>
      <c r="O36" s="4"/>
      <c r="P36" s="3"/>
      <c r="Q36" s="3"/>
      <c r="R36" s="4"/>
      <c r="S36" s="4"/>
      <c r="T36" s="4"/>
    </row>
    <row r="37" spans="1:22" x14ac:dyDescent="0.3">
      <c r="B37" t="s">
        <v>21</v>
      </c>
      <c r="E37" s="3">
        <f>SUM(E19:E36)</f>
        <v>3425156.8800000004</v>
      </c>
      <c r="F37" s="3"/>
      <c r="G37" s="3">
        <f>SUM(G19:G36)</f>
        <v>3537831.21</v>
      </c>
      <c r="H37" s="3"/>
      <c r="I37" s="3">
        <f>SUM(I19:I36)</f>
        <v>3714629.2600000002</v>
      </c>
      <c r="J37" s="3"/>
      <c r="K37" s="3">
        <f>SUM(K19:K36)</f>
        <v>4114002.59</v>
      </c>
      <c r="L37" s="3"/>
      <c r="M37" s="3">
        <f>SUM(M19:M36)</f>
        <v>4188664.7100000004</v>
      </c>
      <c r="N37" s="3"/>
      <c r="O37" s="3">
        <f>SUM(O19:O36)</f>
        <v>3869979.2700000005</v>
      </c>
      <c r="P37" s="3"/>
      <c r="Q37" s="3"/>
      <c r="R37" s="3">
        <f>SUM(R19:R36)</f>
        <v>4550576.2799999993</v>
      </c>
      <c r="S37" s="3"/>
      <c r="T37" s="3">
        <f>SUM(T19:T36)</f>
        <v>4431958.7399999993</v>
      </c>
      <c r="U37" s="20"/>
      <c r="V37" s="20"/>
    </row>
    <row r="38" spans="1:22" ht="8.25" customHeight="1" x14ac:dyDescent="0.3">
      <c r="F38" s="3"/>
      <c r="G38" s="3"/>
      <c r="H38" s="3"/>
      <c r="I38" s="3"/>
      <c r="J38" s="3"/>
      <c r="K38" s="3"/>
      <c r="L38" s="3"/>
      <c r="N38" s="3"/>
      <c r="P38" s="3"/>
      <c r="Q38" s="3"/>
      <c r="R38" s="3"/>
      <c r="S38" s="3"/>
      <c r="T38" s="3"/>
      <c r="V38" s="20"/>
    </row>
    <row r="39" spans="1:22" x14ac:dyDescent="0.3">
      <c r="A39" s="1" t="s">
        <v>22</v>
      </c>
      <c r="E39" s="3">
        <f>E15-E37</f>
        <v>244375.82999999961</v>
      </c>
      <c r="F39" s="3"/>
      <c r="G39" s="3">
        <f>G15-G37</f>
        <v>248303.18000000017</v>
      </c>
      <c r="H39" s="3"/>
      <c r="I39" s="3">
        <f>I15-I37</f>
        <v>446482.98</v>
      </c>
      <c r="J39" s="3"/>
      <c r="K39" s="3">
        <f>K15-K37</f>
        <v>637727.49000000022</v>
      </c>
      <c r="L39" s="3"/>
      <c r="M39" s="3">
        <f>M15-M37</f>
        <v>-22031.380000000354</v>
      </c>
      <c r="N39" s="3"/>
      <c r="O39" s="3">
        <f>O15-O37</f>
        <v>20018.599999999627</v>
      </c>
      <c r="P39" s="3"/>
      <c r="Q39" s="3"/>
      <c r="R39" s="3">
        <f>R15-R37</f>
        <v>-216607.16999999993</v>
      </c>
      <c r="S39" s="3"/>
      <c r="T39" s="3">
        <f>T15-T37</f>
        <v>-508559.99999999953</v>
      </c>
      <c r="U39" s="2"/>
      <c r="V39" s="20"/>
    </row>
    <row r="40" spans="1:22" ht="8.25" customHeight="1" x14ac:dyDescent="0.3">
      <c r="A40" s="1"/>
      <c r="F40" s="3"/>
      <c r="G40" s="3"/>
      <c r="H40" s="3"/>
      <c r="I40" s="3"/>
      <c r="J40" s="3"/>
      <c r="K40" s="3"/>
      <c r="L40" s="3"/>
      <c r="N40" s="3"/>
      <c r="P40" s="3"/>
      <c r="Q40" s="3"/>
      <c r="R40" s="3"/>
      <c r="S40" s="3"/>
      <c r="T40" s="3"/>
      <c r="V40" s="20"/>
    </row>
    <row r="41" spans="1:22" x14ac:dyDescent="0.3">
      <c r="A41" s="1" t="s">
        <v>23</v>
      </c>
      <c r="E41" s="3">
        <v>316791.78000000003</v>
      </c>
      <c r="F41" s="3"/>
      <c r="G41" s="3">
        <f>E43</f>
        <v>561167.60999999964</v>
      </c>
      <c r="H41" s="3"/>
      <c r="I41" s="3">
        <f>G43</f>
        <v>809470.7899999998</v>
      </c>
      <c r="J41" s="3"/>
      <c r="K41" s="3">
        <f>I43</f>
        <v>1255953.7699999998</v>
      </c>
      <c r="L41" s="3"/>
      <c r="M41" s="3">
        <f>K43</f>
        <v>1893681.26</v>
      </c>
      <c r="N41" s="3"/>
      <c r="O41" s="3">
        <f>M43</f>
        <v>1871649.8799999997</v>
      </c>
      <c r="P41" s="3"/>
      <c r="Q41" s="3"/>
      <c r="R41" s="3">
        <f>O43</f>
        <v>1891668.4799999993</v>
      </c>
      <c r="S41" s="3"/>
      <c r="T41" s="3">
        <f>R43</f>
        <v>1675061.3099999994</v>
      </c>
      <c r="V41" s="20"/>
    </row>
    <row r="42" spans="1:22" ht="6.75" customHeight="1" x14ac:dyDescent="0.3">
      <c r="A42" s="1"/>
      <c r="E42" s="4"/>
      <c r="F42" s="3"/>
      <c r="G42" s="4"/>
      <c r="H42" s="3"/>
      <c r="I42" s="4"/>
      <c r="J42" s="3"/>
      <c r="K42" s="4"/>
      <c r="L42" s="3"/>
      <c r="M42" s="4"/>
      <c r="N42" s="3"/>
      <c r="O42" s="4"/>
      <c r="P42" s="3"/>
      <c r="Q42" s="3"/>
      <c r="R42" s="4"/>
      <c r="S42" s="4"/>
      <c r="T42" s="4"/>
    </row>
    <row r="43" spans="1:22" ht="15" thickBot="1" x14ac:dyDescent="0.35">
      <c r="A43" s="1" t="s">
        <v>24</v>
      </c>
      <c r="E43" s="23">
        <f>E39+E41</f>
        <v>561167.60999999964</v>
      </c>
      <c r="F43" s="3"/>
      <c r="G43" s="23">
        <f>G39+G41</f>
        <v>809470.7899999998</v>
      </c>
      <c r="H43" s="3"/>
      <c r="I43" s="23">
        <f>I39+I41</f>
        <v>1255953.7699999998</v>
      </c>
      <c r="J43" s="3"/>
      <c r="K43" s="23">
        <f>K39+K41</f>
        <v>1893681.26</v>
      </c>
      <c r="L43" s="3"/>
      <c r="M43" s="23">
        <f>M39+M41</f>
        <v>1871649.8799999997</v>
      </c>
      <c r="N43" s="3"/>
      <c r="O43" s="23">
        <f>O39+O41</f>
        <v>1891668.4799999993</v>
      </c>
      <c r="P43" s="3"/>
      <c r="Q43" s="3"/>
      <c r="R43" s="23">
        <f>R39+R41</f>
        <v>1675061.3099999994</v>
      </c>
      <c r="S43" s="23"/>
      <c r="T43" s="23">
        <f>T39+T41</f>
        <v>1166501.3099999998</v>
      </c>
      <c r="V43" s="3"/>
    </row>
    <row r="44" spans="1:22" ht="15" thickTop="1" x14ac:dyDescent="0.3">
      <c r="A44" s="1"/>
      <c r="F44" s="5"/>
      <c r="G44" s="5"/>
      <c r="H44" s="5"/>
      <c r="I44" s="5"/>
      <c r="K44" s="5"/>
      <c r="N44" s="5"/>
      <c r="R44" s="3"/>
      <c r="S44" s="3"/>
      <c r="T44" s="3"/>
    </row>
    <row r="45" spans="1:22" ht="15" thickBot="1" x14ac:dyDescent="0.35">
      <c r="A45" s="1" t="s">
        <v>25</v>
      </c>
      <c r="E45" s="8">
        <f>E43/E37</f>
        <v>0.16383705320966191</v>
      </c>
      <c r="G45" s="8">
        <f>G43/G37</f>
        <v>0.22880424247260792</v>
      </c>
      <c r="H45" s="13"/>
      <c r="I45" s="8">
        <f>I43/I37</f>
        <v>0.33811012676942076</v>
      </c>
      <c r="K45" s="8">
        <f>K43/K37</f>
        <v>0.46030142630513027</v>
      </c>
      <c r="M45" s="27">
        <f>M43/M37</f>
        <v>0.44683688229607649</v>
      </c>
      <c r="N45" s="28"/>
      <c r="O45" s="27">
        <f>O43/O37</f>
        <v>0.4888058431382758</v>
      </c>
      <c r="R45" s="27">
        <f>R43/R37</f>
        <v>0.36809872133381744</v>
      </c>
      <c r="S45" s="27"/>
      <c r="T45" s="27">
        <f>T43/T37</f>
        <v>0.26320220435987179</v>
      </c>
    </row>
    <row r="46" spans="1:22" ht="15" thickTop="1" x14ac:dyDescent="0.3">
      <c r="A46" s="1"/>
    </row>
    <row r="47" spans="1:22" x14ac:dyDescent="0.3">
      <c r="A47" s="1"/>
      <c r="G47" s="2"/>
      <c r="I47" s="19"/>
      <c r="K47" s="19"/>
      <c r="M47" s="3">
        <f>1871649.88-M43</f>
        <v>0</v>
      </c>
      <c r="O47" s="20">
        <f>1891668.48-O43</f>
        <v>0</v>
      </c>
    </row>
    <row r="48" spans="1:22" x14ac:dyDescent="0.3">
      <c r="A48" s="1"/>
    </row>
    <row r="49" spans="1:7" x14ac:dyDescent="0.3">
      <c r="A49" s="1"/>
      <c r="G49" s="19"/>
    </row>
    <row r="50" spans="1:7" x14ac:dyDescent="0.3">
      <c r="A50" s="1"/>
    </row>
    <row r="51" spans="1:7" x14ac:dyDescent="0.3">
      <c r="A51" s="1"/>
    </row>
  </sheetData>
  <mergeCells count="4">
    <mergeCell ref="A1:T1"/>
    <mergeCell ref="A2:T2"/>
    <mergeCell ref="A3:T3"/>
    <mergeCell ref="A4:T4"/>
  </mergeCells>
  <pageMargins left="0.7" right="0.7" top="0.75" bottom="0.75" header="0.3" footer="0.3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</sheetPr>
  <dimension ref="A1:Q46"/>
  <sheetViews>
    <sheetView zoomScaleNormal="100" workbookViewId="0">
      <selection activeCell="L7" sqref="L7:N7"/>
    </sheetView>
  </sheetViews>
  <sheetFormatPr defaultRowHeight="14.4" x14ac:dyDescent="0.3"/>
  <cols>
    <col min="1" max="2" width="3.6640625" customWidth="1"/>
    <col min="3" max="3" width="32.6640625" customWidth="1"/>
    <col min="4" max="4" width="1.33203125" customWidth="1"/>
    <col min="5" max="5" width="12.6640625" hidden="1" customWidth="1"/>
    <col min="6" max="6" width="12.6640625" customWidth="1"/>
    <col min="7" max="7" width="2.6640625" customWidth="1"/>
    <col min="8" max="8" width="12.6640625" customWidth="1"/>
    <col min="9" max="9" width="1.5546875" customWidth="1"/>
    <col min="10" max="10" width="12.6640625" customWidth="1"/>
    <col min="11" max="11" width="1.88671875" customWidth="1"/>
    <col min="12" max="12" width="12.6640625" customWidth="1"/>
    <col min="13" max="13" width="1.88671875" customWidth="1"/>
    <col min="14" max="14" width="12.6640625" customWidth="1"/>
  </cols>
  <sheetData>
    <row r="1" spans="1:14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x14ac:dyDescent="0.3">
      <c r="A2" s="31" t="s">
        <v>33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3">
      <c r="A3" s="31" t="s">
        <v>32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6" spans="1:14" s="1" customFormat="1" x14ac:dyDescent="0.3">
      <c r="E6" s="9" t="s">
        <v>26</v>
      </c>
      <c r="F6" s="9" t="s">
        <v>30</v>
      </c>
      <c r="H6" s="9" t="s">
        <v>31</v>
      </c>
      <c r="J6" s="9" t="s">
        <v>34</v>
      </c>
      <c r="L6" s="9" t="s">
        <v>35</v>
      </c>
      <c r="M6" s="9"/>
      <c r="N6" s="9" t="s">
        <v>37</v>
      </c>
    </row>
    <row r="7" spans="1:14" s="1" customFormat="1" ht="43.2" x14ac:dyDescent="0.3">
      <c r="E7" s="9" t="s">
        <v>27</v>
      </c>
      <c r="F7" s="9" t="s">
        <v>27</v>
      </c>
      <c r="H7" s="10" t="s">
        <v>27</v>
      </c>
      <c r="J7" s="10" t="s">
        <v>27</v>
      </c>
      <c r="L7" s="10" t="s">
        <v>39</v>
      </c>
      <c r="M7" s="10"/>
      <c r="N7" s="10" t="s">
        <v>38</v>
      </c>
    </row>
    <row r="8" spans="1:14" x14ac:dyDescent="0.3">
      <c r="A8" s="1" t="s">
        <v>5</v>
      </c>
    </row>
    <row r="9" spans="1:14" x14ac:dyDescent="0.3">
      <c r="B9" t="s">
        <v>1</v>
      </c>
      <c r="E9" s="2">
        <v>1013</v>
      </c>
      <c r="F9" s="2">
        <v>1246</v>
      </c>
      <c r="G9" s="2"/>
      <c r="H9" s="2">
        <v>977</v>
      </c>
      <c r="I9" s="2"/>
      <c r="J9" s="2">
        <v>819</v>
      </c>
      <c r="K9" s="2"/>
      <c r="L9" s="2">
        <v>368</v>
      </c>
      <c r="M9" s="2"/>
      <c r="N9" s="2">
        <v>0</v>
      </c>
    </row>
    <row r="10" spans="1:14" x14ac:dyDescent="0.3">
      <c r="B10" t="s">
        <v>2</v>
      </c>
      <c r="E10" s="3">
        <v>0</v>
      </c>
      <c r="F10" s="3">
        <v>0</v>
      </c>
      <c r="G10" s="3"/>
      <c r="H10" s="3">
        <v>0</v>
      </c>
      <c r="I10" s="3"/>
      <c r="J10" s="3">
        <v>0</v>
      </c>
      <c r="K10" s="3"/>
      <c r="L10" s="3">
        <v>0</v>
      </c>
      <c r="M10" s="3"/>
      <c r="N10" s="3">
        <v>0</v>
      </c>
    </row>
    <row r="11" spans="1:14" x14ac:dyDescent="0.3">
      <c r="B11" t="s">
        <v>3</v>
      </c>
      <c r="E11" s="3">
        <v>26962</v>
      </c>
      <c r="F11" s="3">
        <v>22735</v>
      </c>
      <c r="G11" s="3"/>
      <c r="H11" s="3">
        <v>26962</v>
      </c>
      <c r="I11" s="3"/>
      <c r="J11" s="3">
        <v>18740</v>
      </c>
      <c r="K11" s="3"/>
      <c r="L11" s="3">
        <v>18760</v>
      </c>
      <c r="M11" s="3"/>
      <c r="N11" s="3">
        <v>0</v>
      </c>
    </row>
    <row r="12" spans="1:14" x14ac:dyDescent="0.3">
      <c r="B12" t="s">
        <v>4</v>
      </c>
      <c r="E12" s="3">
        <v>15250</v>
      </c>
      <c r="F12" s="3">
        <v>5500</v>
      </c>
      <c r="G12" s="3"/>
      <c r="H12" s="3">
        <v>10000</v>
      </c>
      <c r="I12" s="3"/>
      <c r="J12" s="3">
        <v>15346</v>
      </c>
      <c r="K12" s="3"/>
      <c r="L12" s="3">
        <v>8452</v>
      </c>
      <c r="M12" s="3"/>
      <c r="N12" s="3">
        <v>0</v>
      </c>
    </row>
    <row r="13" spans="1:14" x14ac:dyDescent="0.3">
      <c r="E13" s="4"/>
      <c r="F13" s="4"/>
      <c r="G13" s="3"/>
      <c r="H13" s="4"/>
      <c r="I13" s="3"/>
      <c r="J13" s="4"/>
      <c r="K13" s="3"/>
      <c r="L13" s="4"/>
      <c r="M13" s="3"/>
      <c r="N13" s="4"/>
    </row>
    <row r="14" spans="1:14" x14ac:dyDescent="0.3">
      <c r="B14" t="s">
        <v>6</v>
      </c>
      <c r="E14" s="2">
        <f>SUM(E9:E13)</f>
        <v>43225</v>
      </c>
      <c r="F14" s="2">
        <f>SUM(F9:F13)</f>
        <v>29481</v>
      </c>
      <c r="G14" s="2"/>
      <c r="H14" s="2">
        <f>SUM(H9:H13)</f>
        <v>37939</v>
      </c>
      <c r="I14" s="2"/>
      <c r="J14" s="2">
        <f>SUM(J9:J13)</f>
        <v>34905</v>
      </c>
      <c r="K14" s="2"/>
      <c r="L14" s="2">
        <f>SUM(L9:L13)</f>
        <v>27580</v>
      </c>
      <c r="M14" s="2"/>
      <c r="N14" s="2">
        <f>SUM(N9:N13)</f>
        <v>0</v>
      </c>
    </row>
    <row r="16" spans="1:14" x14ac:dyDescent="0.3">
      <c r="A16" s="1" t="s">
        <v>7</v>
      </c>
    </row>
    <row r="17" spans="2:17" x14ac:dyDescent="0.3">
      <c r="B17" t="s">
        <v>8</v>
      </c>
    </row>
    <row r="18" spans="2:17" x14ac:dyDescent="0.3">
      <c r="C18" t="s">
        <v>9</v>
      </c>
      <c r="E18" s="2">
        <v>0</v>
      </c>
      <c r="F18" s="2">
        <v>0</v>
      </c>
      <c r="G18" s="2"/>
      <c r="H18" s="2">
        <v>0</v>
      </c>
      <c r="I18" s="2"/>
      <c r="J18" s="2">
        <v>0</v>
      </c>
      <c r="K18" s="2"/>
      <c r="L18" s="2">
        <v>0</v>
      </c>
      <c r="M18" s="2"/>
      <c r="N18" s="2">
        <v>0</v>
      </c>
      <c r="O18" s="2"/>
    </row>
    <row r="19" spans="2:17" x14ac:dyDescent="0.3">
      <c r="C19" t="s">
        <v>10</v>
      </c>
      <c r="E19" s="3">
        <v>0</v>
      </c>
      <c r="F19" s="3">
        <v>0</v>
      </c>
      <c r="G19" s="3"/>
      <c r="H19" s="3">
        <v>0</v>
      </c>
      <c r="I19" s="3"/>
      <c r="J19" s="3">
        <v>0</v>
      </c>
      <c r="K19" s="3"/>
      <c r="L19" s="3">
        <v>0</v>
      </c>
      <c r="M19" s="3"/>
      <c r="N19" s="3">
        <v>0</v>
      </c>
      <c r="O19" s="3"/>
      <c r="P19" s="3"/>
      <c r="Q19" s="3"/>
    </row>
    <row r="20" spans="2:17" x14ac:dyDescent="0.3">
      <c r="B20" t="s">
        <v>29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2:17" x14ac:dyDescent="0.3">
      <c r="C21" t="s">
        <v>11</v>
      </c>
      <c r="E21" s="3">
        <v>0</v>
      </c>
      <c r="F21" s="3">
        <v>0</v>
      </c>
      <c r="G21" s="3"/>
      <c r="H21" s="3">
        <v>0</v>
      </c>
      <c r="I21" s="3"/>
      <c r="J21" s="3">
        <v>0</v>
      </c>
      <c r="K21" s="3"/>
      <c r="L21" s="3">
        <v>0</v>
      </c>
      <c r="M21" s="3"/>
      <c r="N21" s="3">
        <v>0</v>
      </c>
      <c r="O21" s="3"/>
      <c r="P21" s="3"/>
      <c r="Q21" s="3"/>
    </row>
    <row r="22" spans="2:17" x14ac:dyDescent="0.3">
      <c r="C22" t="s">
        <v>12</v>
      </c>
      <c r="E22" s="3">
        <v>0</v>
      </c>
      <c r="F22" s="3">
        <v>0</v>
      </c>
      <c r="G22" s="3"/>
      <c r="H22" s="3">
        <v>0</v>
      </c>
      <c r="I22" s="3"/>
      <c r="J22" s="3">
        <v>0</v>
      </c>
      <c r="K22" s="3"/>
      <c r="L22" s="3">
        <v>0</v>
      </c>
      <c r="M22" s="3"/>
      <c r="N22" s="3">
        <v>0</v>
      </c>
      <c r="O22" s="3"/>
      <c r="P22" s="3"/>
      <c r="Q22" s="3"/>
    </row>
    <row r="23" spans="2:17" x14ac:dyDescent="0.3">
      <c r="C23" t="s">
        <v>13</v>
      </c>
      <c r="E23" s="3">
        <v>0</v>
      </c>
      <c r="F23" s="3">
        <v>0</v>
      </c>
      <c r="G23" s="3"/>
      <c r="H23" s="3">
        <v>0</v>
      </c>
      <c r="I23" s="3"/>
      <c r="J23" s="3">
        <v>0</v>
      </c>
      <c r="K23" s="3"/>
      <c r="L23" s="3">
        <v>0</v>
      </c>
      <c r="M23" s="3"/>
      <c r="N23" s="3">
        <v>0</v>
      </c>
      <c r="O23" s="3"/>
      <c r="P23" s="3"/>
      <c r="Q23" s="3"/>
    </row>
    <row r="24" spans="2:17" x14ac:dyDescent="0.3">
      <c r="C24" t="s">
        <v>14</v>
      </c>
      <c r="E24" s="3">
        <v>0</v>
      </c>
      <c r="F24" s="3">
        <v>0</v>
      </c>
      <c r="G24" s="3"/>
      <c r="H24" s="3">
        <v>0</v>
      </c>
      <c r="I24" s="3"/>
      <c r="J24" s="3">
        <v>0</v>
      </c>
      <c r="K24" s="3"/>
      <c r="L24" s="3">
        <v>0</v>
      </c>
      <c r="M24" s="3"/>
      <c r="N24" s="3">
        <v>0</v>
      </c>
      <c r="O24" s="3"/>
      <c r="P24" s="3"/>
      <c r="Q24" s="3"/>
    </row>
    <row r="25" spans="2:17" x14ac:dyDescent="0.3">
      <c r="C25" t="s">
        <v>15</v>
      </c>
      <c r="E25" s="3">
        <v>0</v>
      </c>
      <c r="F25" s="3">
        <v>27</v>
      </c>
      <c r="G25" s="3"/>
      <c r="H25" s="3">
        <v>0</v>
      </c>
      <c r="I25" s="3"/>
      <c r="J25" s="3">
        <v>28</v>
      </c>
      <c r="K25" s="3"/>
      <c r="L25" s="3">
        <v>29</v>
      </c>
      <c r="M25" s="3"/>
      <c r="N25" s="3">
        <v>0</v>
      </c>
      <c r="O25" s="3"/>
      <c r="P25" s="3"/>
      <c r="Q25" s="3"/>
    </row>
    <row r="26" spans="2:17" x14ac:dyDescent="0.3">
      <c r="C26" t="s">
        <v>16</v>
      </c>
      <c r="E26" s="3">
        <v>0</v>
      </c>
      <c r="F26" s="3">
        <v>0</v>
      </c>
      <c r="G26" s="3"/>
      <c r="H26" s="3">
        <v>0</v>
      </c>
      <c r="I26" s="3"/>
      <c r="J26" s="3">
        <v>0</v>
      </c>
      <c r="K26" s="3"/>
      <c r="L26" s="3">
        <v>0</v>
      </c>
      <c r="M26" s="3"/>
      <c r="N26" s="3">
        <v>0</v>
      </c>
      <c r="O26" s="3"/>
      <c r="P26" s="3"/>
      <c r="Q26" s="3"/>
    </row>
    <row r="27" spans="2:17" x14ac:dyDescent="0.3">
      <c r="C27" t="s">
        <v>17</v>
      </c>
      <c r="E27" s="3">
        <v>0</v>
      </c>
      <c r="F27" s="3">
        <v>0</v>
      </c>
      <c r="G27" s="3"/>
      <c r="H27" s="3">
        <v>0</v>
      </c>
      <c r="I27" s="3"/>
      <c r="J27" s="3">
        <v>0</v>
      </c>
      <c r="K27" s="3"/>
      <c r="L27" s="3">
        <v>0</v>
      </c>
      <c r="M27" s="3"/>
      <c r="N27" s="3">
        <v>0</v>
      </c>
      <c r="O27" s="3"/>
      <c r="P27" s="3"/>
      <c r="Q27" s="3"/>
    </row>
    <row r="28" spans="2:17" x14ac:dyDescent="0.3">
      <c r="C28" t="s">
        <v>18</v>
      </c>
      <c r="E28" s="3">
        <v>0</v>
      </c>
      <c r="F28" s="3">
        <v>0</v>
      </c>
      <c r="G28" s="3"/>
      <c r="H28" s="3">
        <v>0</v>
      </c>
      <c r="I28" s="3"/>
      <c r="J28" s="3">
        <v>0</v>
      </c>
      <c r="K28" s="3"/>
      <c r="L28" s="3">
        <v>0</v>
      </c>
      <c r="M28" s="3"/>
      <c r="N28" s="3">
        <v>0</v>
      </c>
      <c r="O28" s="3"/>
      <c r="P28" s="3"/>
      <c r="Q28" s="3"/>
    </row>
    <row r="29" spans="2:17" x14ac:dyDescent="0.3">
      <c r="C29" t="s">
        <v>19</v>
      </c>
      <c r="E29" s="3">
        <v>0</v>
      </c>
      <c r="F29" s="3">
        <v>0</v>
      </c>
      <c r="G29" s="3"/>
      <c r="H29" s="3">
        <v>0</v>
      </c>
      <c r="I29" s="3"/>
      <c r="J29" s="3">
        <v>0</v>
      </c>
      <c r="K29" s="3"/>
      <c r="L29" s="3">
        <v>0</v>
      </c>
      <c r="M29" s="3"/>
      <c r="N29" s="3">
        <v>0</v>
      </c>
      <c r="O29" s="3"/>
      <c r="P29" s="3"/>
      <c r="Q29" s="3"/>
    </row>
    <row r="30" spans="2:17" x14ac:dyDescent="0.3">
      <c r="C30" t="s">
        <v>20</v>
      </c>
      <c r="E30" s="3">
        <v>39688</v>
      </c>
      <c r="F30" s="3">
        <v>30880</v>
      </c>
      <c r="G30" s="3"/>
      <c r="H30" s="3">
        <v>41265</v>
      </c>
      <c r="I30" s="3"/>
      <c r="J30" s="3">
        <v>29060</v>
      </c>
      <c r="K30" s="3"/>
      <c r="L30" s="3">
        <v>41889</v>
      </c>
      <c r="M30" s="3"/>
      <c r="N30" s="3">
        <v>0</v>
      </c>
      <c r="O30" s="3"/>
      <c r="P30" s="3"/>
      <c r="Q30" s="3"/>
    </row>
    <row r="31" spans="2:17" ht="7.5" customHeight="1" x14ac:dyDescent="0.3">
      <c r="E31" s="4"/>
      <c r="F31" s="4"/>
      <c r="G31" s="3"/>
      <c r="H31" s="4"/>
      <c r="I31" s="3"/>
      <c r="J31" s="4"/>
      <c r="K31" s="3"/>
      <c r="L31" s="4"/>
      <c r="M31" s="3"/>
      <c r="N31" s="4"/>
      <c r="O31" s="3"/>
      <c r="P31" s="3"/>
      <c r="Q31" s="3"/>
    </row>
    <row r="32" spans="2:17" x14ac:dyDescent="0.3">
      <c r="B32" t="s">
        <v>21</v>
      </c>
      <c r="E32" s="2">
        <f>SUM(E18:E31)</f>
        <v>39688</v>
      </c>
      <c r="F32" s="2">
        <f>SUM(F18:F31)</f>
        <v>30907</v>
      </c>
      <c r="H32" s="2">
        <f>SUM(H18:H31)</f>
        <v>41265</v>
      </c>
      <c r="J32" s="2">
        <f>SUM(J18:J31)</f>
        <v>29088</v>
      </c>
      <c r="L32" s="2">
        <f>SUM(L18:L31)</f>
        <v>41918</v>
      </c>
      <c r="M32" s="2"/>
      <c r="N32" s="2">
        <f>SUM(N18:N31)</f>
        <v>0</v>
      </c>
    </row>
    <row r="34" spans="1:16" x14ac:dyDescent="0.3">
      <c r="A34" s="1" t="s">
        <v>22</v>
      </c>
      <c r="E34" s="2">
        <f>E14-E32</f>
        <v>3537</v>
      </c>
      <c r="F34" s="2">
        <f>F14-F32</f>
        <v>-1426</v>
      </c>
      <c r="H34" s="2">
        <f>H14-H32</f>
        <v>-3326</v>
      </c>
      <c r="J34" s="2">
        <f>J14-J32</f>
        <v>5817</v>
      </c>
      <c r="L34" s="2">
        <f>L14-L32</f>
        <v>-14338</v>
      </c>
      <c r="M34" s="2"/>
      <c r="N34" s="2">
        <f>N14-N32</f>
        <v>0</v>
      </c>
    </row>
    <row r="35" spans="1:16" x14ac:dyDescent="0.3">
      <c r="A35" s="1"/>
    </row>
    <row r="36" spans="1:16" x14ac:dyDescent="0.3">
      <c r="A36" s="1" t="s">
        <v>23</v>
      </c>
      <c r="E36" s="5">
        <v>6119</v>
      </c>
      <c r="F36" s="5">
        <v>9656</v>
      </c>
      <c r="G36" s="5"/>
      <c r="H36" s="5">
        <v>11866</v>
      </c>
      <c r="I36" s="5"/>
      <c r="J36" s="5">
        <v>8521</v>
      </c>
      <c r="K36" s="5"/>
      <c r="L36" s="5">
        <v>14338</v>
      </c>
      <c r="M36" s="5"/>
      <c r="N36" s="5">
        <v>0</v>
      </c>
      <c r="O36" s="5"/>
      <c r="P36" s="5"/>
    </row>
    <row r="37" spans="1:16" x14ac:dyDescent="0.3">
      <c r="A37" s="1"/>
      <c r="E37" s="6"/>
      <c r="F37" s="6"/>
      <c r="G37" s="5"/>
      <c r="H37" s="6"/>
      <c r="I37" s="5"/>
      <c r="J37" s="6"/>
      <c r="K37" s="5"/>
      <c r="L37" s="6"/>
      <c r="M37" s="5"/>
      <c r="N37" s="6"/>
      <c r="O37" s="5"/>
      <c r="P37" s="5"/>
    </row>
    <row r="38" spans="1:16" ht="15" thickBot="1" x14ac:dyDescent="0.35">
      <c r="A38" s="1" t="s">
        <v>24</v>
      </c>
      <c r="E38" s="7">
        <f>E34+E36</f>
        <v>9656</v>
      </c>
      <c r="F38" s="7">
        <f>F34+F36</f>
        <v>8230</v>
      </c>
      <c r="G38" s="5"/>
      <c r="H38" s="7">
        <f>H34+H36</f>
        <v>8540</v>
      </c>
      <c r="I38" s="5"/>
      <c r="J38" s="7">
        <f>J34+J36</f>
        <v>14338</v>
      </c>
      <c r="K38" s="5"/>
      <c r="L38" s="7">
        <f>L34+L36</f>
        <v>0</v>
      </c>
      <c r="M38" s="5"/>
      <c r="N38" s="7">
        <f>N34+N36</f>
        <v>0</v>
      </c>
      <c r="O38" s="5"/>
      <c r="P38" s="5"/>
    </row>
    <row r="39" spans="1:16" ht="15" thickTop="1" x14ac:dyDescent="0.3">
      <c r="A39" s="1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1:16" ht="15" thickBot="1" x14ac:dyDescent="0.35">
      <c r="A40" s="1" t="s">
        <v>25</v>
      </c>
      <c r="E40" s="8">
        <f>E38/E32</f>
        <v>0.24329772223342069</v>
      </c>
      <c r="F40" s="8">
        <f>F38/F32</f>
        <v>0.26628271912511731</v>
      </c>
      <c r="H40" s="8">
        <f>H38/H32</f>
        <v>0.20695504664970313</v>
      </c>
      <c r="J40" s="8">
        <f>J38/J32</f>
        <v>0.49291804180418042</v>
      </c>
      <c r="L40" s="8">
        <f>L38/L32</f>
        <v>0</v>
      </c>
      <c r="M40" s="13"/>
      <c r="N40" s="8">
        <v>0</v>
      </c>
    </row>
    <row r="41" spans="1:16" ht="15" thickTop="1" x14ac:dyDescent="0.3">
      <c r="A41" s="1"/>
    </row>
    <row r="42" spans="1:16" x14ac:dyDescent="0.3">
      <c r="A42" s="1"/>
    </row>
    <row r="43" spans="1:16" x14ac:dyDescent="0.3">
      <c r="A43" s="1"/>
    </row>
    <row r="44" spans="1:16" x14ac:dyDescent="0.3">
      <c r="A44" s="1"/>
    </row>
    <row r="45" spans="1:16" x14ac:dyDescent="0.3">
      <c r="A45" s="1"/>
    </row>
    <row r="46" spans="1:16" x14ac:dyDescent="0.3">
      <c r="A46" s="1"/>
    </row>
  </sheetData>
  <mergeCells count="3">
    <mergeCell ref="A1:N1"/>
    <mergeCell ref="A2:N2"/>
    <mergeCell ref="A3:N3"/>
  </mergeCells>
  <pageMargins left="0.7" right="0.7" top="0.75" bottom="0.75" header="0.3" footer="0.3"/>
  <pageSetup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</sheetPr>
  <dimension ref="A1:Y37"/>
  <sheetViews>
    <sheetView zoomScaleNormal="100" workbookViewId="0">
      <pane xSplit="8" ySplit="8" topLeftCell="I9" activePane="bottomRight" state="frozen"/>
      <selection pane="topRight" activeCell="I1" sqref="I1"/>
      <selection pane="bottomLeft" activeCell="A9" sqref="A9"/>
      <selection pane="bottomRight" activeCell="Y7" sqref="Y7:Y8"/>
    </sheetView>
  </sheetViews>
  <sheetFormatPr defaultRowHeight="14.4" x14ac:dyDescent="0.3"/>
  <cols>
    <col min="1" max="2" width="3.6640625" customWidth="1"/>
    <col min="3" max="3" width="32.6640625" customWidth="1"/>
    <col min="4" max="4" width="1.33203125" hidden="1" customWidth="1"/>
    <col min="5" max="5" width="12.6640625" hidden="1" customWidth="1"/>
    <col min="6" max="6" width="1.88671875" hidden="1" customWidth="1"/>
    <col min="7" max="7" width="12.6640625" hidden="1" customWidth="1"/>
    <col min="8" max="8" width="1.6640625" hidden="1" customWidth="1"/>
    <col min="9" max="9" width="12.6640625" style="3" hidden="1" customWidth="1"/>
    <col min="10" max="10" width="1.6640625" style="3" customWidth="1"/>
    <col min="11" max="11" width="12.6640625" style="3" customWidth="1"/>
    <col min="12" max="12" width="2" customWidth="1"/>
    <col min="13" max="13" width="12.6640625" customWidth="1"/>
    <col min="14" max="14" width="1.88671875" customWidth="1"/>
    <col min="15" max="15" width="12.6640625" customWidth="1"/>
    <col min="16" max="16" width="1.33203125" customWidth="1"/>
    <col min="17" max="17" width="12.6640625" customWidth="1"/>
    <col min="18" max="18" width="1.33203125" customWidth="1"/>
    <col min="19" max="19" width="12.6640625" style="3" customWidth="1"/>
    <col min="20" max="20" width="1.21875" style="3" customWidth="1"/>
    <col min="21" max="21" width="12.6640625" style="3" customWidth="1"/>
    <col min="22" max="22" width="1.44140625" style="3" customWidth="1"/>
    <col min="23" max="23" width="10.5546875" bestFit="1" customWidth="1"/>
    <col min="24" max="24" width="1.109375" customWidth="1"/>
    <col min="25" max="25" width="10.5546875" bestFit="1" customWidth="1"/>
  </cols>
  <sheetData>
    <row r="1" spans="1:25" x14ac:dyDescent="0.3">
      <c r="A1" s="31" t="str">
        <f>'General Ed'!A1:M1</f>
        <v>LITCHFIELD COMMUITY SCHOOLS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</row>
    <row r="2" spans="1:25" x14ac:dyDescent="0.3">
      <c r="A2" s="31" t="s">
        <v>33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</row>
    <row r="3" spans="1:25" x14ac:dyDescent="0.3">
      <c r="A3" s="31" t="s">
        <v>80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</row>
    <row r="4" spans="1:25" x14ac:dyDescent="0.3">
      <c r="A4" s="32">
        <v>46196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</row>
    <row r="7" spans="1:25" s="1" customFormat="1" x14ac:dyDescent="0.3">
      <c r="E7" s="9" t="s">
        <v>26</v>
      </c>
      <c r="G7" s="9" t="s">
        <v>31</v>
      </c>
      <c r="I7" s="21" t="s">
        <v>35</v>
      </c>
      <c r="J7" s="24"/>
      <c r="K7" s="21" t="s">
        <v>40</v>
      </c>
      <c r="M7" s="9" t="s">
        <v>41</v>
      </c>
      <c r="N7" s="9"/>
      <c r="O7" s="9" t="s">
        <v>42</v>
      </c>
      <c r="P7" s="9"/>
      <c r="Q7" s="9" t="s">
        <v>43</v>
      </c>
      <c r="R7" s="9"/>
      <c r="S7" s="21" t="s">
        <v>44</v>
      </c>
      <c r="T7" s="21"/>
      <c r="U7" s="21" t="s">
        <v>56</v>
      </c>
      <c r="V7" s="21"/>
      <c r="W7" s="21" t="s">
        <v>58</v>
      </c>
      <c r="X7" s="21"/>
      <c r="Y7" s="21" t="s">
        <v>81</v>
      </c>
    </row>
    <row r="8" spans="1:25" s="1" customFormat="1" ht="43.2" x14ac:dyDescent="0.3">
      <c r="E8" s="9" t="s">
        <v>27</v>
      </c>
      <c r="G8" s="9" t="s">
        <v>27</v>
      </c>
      <c r="I8" s="22" t="s">
        <v>27</v>
      </c>
      <c r="J8" s="22"/>
      <c r="K8" s="22" t="s">
        <v>27</v>
      </c>
      <c r="L8" s="10"/>
      <c r="M8" s="10" t="s">
        <v>27</v>
      </c>
      <c r="N8" s="10"/>
      <c r="O8" s="10" t="s">
        <v>27</v>
      </c>
      <c r="P8" s="10"/>
      <c r="Q8" s="10" t="s">
        <v>27</v>
      </c>
      <c r="R8" s="10"/>
      <c r="S8" s="10" t="s">
        <v>27</v>
      </c>
      <c r="T8" s="10"/>
      <c r="U8" s="10" t="s">
        <v>27</v>
      </c>
      <c r="V8" s="10"/>
      <c r="W8" s="10" t="s">
        <v>59</v>
      </c>
      <c r="X8" s="10"/>
      <c r="Y8" s="10" t="s">
        <v>82</v>
      </c>
    </row>
    <row r="9" spans="1:25" x14ac:dyDescent="0.3">
      <c r="A9" s="1" t="s">
        <v>5</v>
      </c>
      <c r="W9" s="3"/>
      <c r="X9" s="3"/>
      <c r="Y9" s="3"/>
    </row>
    <row r="10" spans="1:25" x14ac:dyDescent="0.3">
      <c r="B10" t="s">
        <v>1</v>
      </c>
      <c r="E10" s="2">
        <v>1223465</v>
      </c>
      <c r="F10" s="2"/>
      <c r="G10" s="2">
        <v>994500</v>
      </c>
      <c r="H10" s="2"/>
      <c r="I10" s="3">
        <f>18731.18+5152.9+2994+6707.27+1401.58</f>
        <v>34986.930000000008</v>
      </c>
      <c r="K10" s="3">
        <f>4266.25+1116.71+3483.53+389.54</f>
        <v>9256.0300000000007</v>
      </c>
      <c r="L10" s="2"/>
      <c r="M10" s="2">
        <v>3499.52</v>
      </c>
      <c r="N10" s="2"/>
      <c r="O10" s="2">
        <v>6986.58</v>
      </c>
      <c r="P10" s="2"/>
      <c r="Q10" s="2">
        <f>5118.11+409.42+2691.33+3186.25</f>
        <v>11405.11</v>
      </c>
      <c r="R10" s="2"/>
      <c r="S10" s="3">
        <f>7667.95+585.01+6082.12+3592.8</f>
        <v>17927.879999999997</v>
      </c>
      <c r="U10" s="3">
        <v>12604.88</v>
      </c>
      <c r="W10" s="3">
        <v>11651</v>
      </c>
      <c r="X10" s="3"/>
      <c r="Y10" s="3">
        <f>6100+175+3000+2200</f>
        <v>11475</v>
      </c>
    </row>
    <row r="11" spans="1:25" x14ac:dyDescent="0.3">
      <c r="B11" t="s">
        <v>2</v>
      </c>
      <c r="E11" s="3">
        <v>397406</v>
      </c>
      <c r="F11" s="3"/>
      <c r="G11" s="3">
        <v>434467</v>
      </c>
      <c r="H11" s="3"/>
      <c r="I11" s="3">
        <f>10210.93</f>
        <v>10210.93</v>
      </c>
      <c r="K11" s="3">
        <v>6062.03</v>
      </c>
      <c r="L11" s="3"/>
      <c r="M11" s="3">
        <v>9004.94</v>
      </c>
      <c r="N11" s="3"/>
      <c r="O11" s="3">
        <v>9349.25</v>
      </c>
      <c r="P11" s="3"/>
      <c r="Q11" s="3">
        <v>9020.32</v>
      </c>
      <c r="R11" s="3"/>
      <c r="S11" s="3">
        <f>11735.15</f>
        <v>11735.15</v>
      </c>
      <c r="U11" s="3">
        <v>10216.08</v>
      </c>
      <c r="W11" s="3">
        <v>14898.02</v>
      </c>
      <c r="X11" s="3"/>
      <c r="Y11" s="3">
        <v>11786</v>
      </c>
    </row>
    <row r="12" spans="1:25" x14ac:dyDescent="0.3">
      <c r="B12" t="s">
        <v>3</v>
      </c>
      <c r="E12" s="3">
        <v>617375</v>
      </c>
      <c r="F12" s="3"/>
      <c r="G12" s="3">
        <v>668546</v>
      </c>
      <c r="H12" s="3"/>
      <c r="I12" s="3">
        <f>109632.23+8112.82</f>
        <v>117745.04999999999</v>
      </c>
      <c r="K12" s="3">
        <v>229473.89</v>
      </c>
      <c r="L12" s="3"/>
      <c r="M12" s="3">
        <f>156601.68+10629.33+488.9</f>
        <v>167719.90999999997</v>
      </c>
      <c r="N12" s="3"/>
      <c r="O12" s="3">
        <f>216640.26+12206.27</f>
        <v>228846.53</v>
      </c>
      <c r="P12" s="3"/>
      <c r="Q12" s="3">
        <f>313625.43+13931.24+473.08</f>
        <v>328029.75</v>
      </c>
      <c r="R12" s="3"/>
      <c r="S12" s="3">
        <f>377949.55+15810.39</f>
        <v>393759.94</v>
      </c>
      <c r="U12" s="3">
        <v>406273.59</v>
      </c>
      <c r="W12" s="3">
        <v>352025</v>
      </c>
      <c r="X12" s="3"/>
      <c r="Y12" s="3">
        <f>350000+15845</f>
        <v>365845</v>
      </c>
    </row>
    <row r="13" spans="1:25" x14ac:dyDescent="0.3">
      <c r="B13" t="s">
        <v>4</v>
      </c>
      <c r="E13" s="3">
        <v>356877</v>
      </c>
      <c r="F13" s="3"/>
      <c r="G13" s="3">
        <v>0</v>
      </c>
      <c r="H13" s="3"/>
      <c r="I13" s="3">
        <v>19000</v>
      </c>
      <c r="K13" s="3">
        <v>1820</v>
      </c>
      <c r="L13" s="3"/>
      <c r="M13" s="3">
        <v>22230</v>
      </c>
      <c r="N13" s="3"/>
      <c r="O13" s="3">
        <v>1840</v>
      </c>
      <c r="P13" s="3"/>
      <c r="Q13" s="3">
        <v>1750</v>
      </c>
      <c r="R13" s="3"/>
      <c r="S13" s="3">
        <v>1750</v>
      </c>
      <c r="U13" s="3">
        <v>1720</v>
      </c>
      <c r="W13" s="3">
        <v>2000</v>
      </c>
      <c r="X13" s="3"/>
      <c r="Y13" s="3">
        <v>2000</v>
      </c>
    </row>
    <row r="14" spans="1:25" x14ac:dyDescent="0.3">
      <c r="E14" s="4"/>
      <c r="F14" s="3"/>
      <c r="G14" s="4"/>
      <c r="H14" s="3"/>
      <c r="I14" s="4"/>
      <c r="K14" s="4"/>
      <c r="L14" s="3"/>
      <c r="M14" s="4"/>
      <c r="N14" s="3"/>
      <c r="O14" s="4"/>
      <c r="P14" s="3"/>
      <c r="Q14" s="4"/>
      <c r="R14" s="3"/>
      <c r="S14" s="4"/>
      <c r="T14" s="4"/>
      <c r="U14" s="4"/>
      <c r="V14" s="4"/>
      <c r="W14" s="4"/>
      <c r="X14" s="4"/>
      <c r="Y14" s="4"/>
    </row>
    <row r="15" spans="1:25" x14ac:dyDescent="0.3">
      <c r="B15" t="s">
        <v>6</v>
      </c>
      <c r="E15" s="2">
        <f>SUM(E10:E14)</f>
        <v>2595123</v>
      </c>
      <c r="F15" s="2"/>
      <c r="G15" s="2">
        <f>SUM(G10:G14)</f>
        <v>2097513</v>
      </c>
      <c r="H15" s="2"/>
      <c r="I15" s="3">
        <f>SUM(I10:I14)</f>
        <v>181942.91</v>
      </c>
      <c r="K15" s="3">
        <f>SUM(K10:K14)</f>
        <v>246611.95</v>
      </c>
      <c r="L15" s="2"/>
      <c r="M15" s="2">
        <f>SUM(M10:M14)</f>
        <v>202454.36999999997</v>
      </c>
      <c r="N15" s="2"/>
      <c r="O15" s="2">
        <f>SUM(O10:O14)</f>
        <v>247022.36</v>
      </c>
      <c r="P15" s="2"/>
      <c r="Q15" s="2">
        <f>SUM(Q10:Q14)</f>
        <v>350205.18</v>
      </c>
      <c r="R15" s="2"/>
      <c r="S15" s="3">
        <f>SUM(S10:S14)</f>
        <v>425172.97</v>
      </c>
      <c r="U15" s="3">
        <f>SUM(U10:U14)</f>
        <v>430814.55000000005</v>
      </c>
      <c r="W15" s="3">
        <f>SUM(W10:W14)</f>
        <v>380574.02</v>
      </c>
      <c r="X15" s="3"/>
      <c r="Y15" s="3">
        <f>SUM(Y10:Y14)</f>
        <v>391106</v>
      </c>
    </row>
    <row r="16" spans="1:25" x14ac:dyDescent="0.3">
      <c r="W16" s="3"/>
      <c r="X16" s="3"/>
      <c r="Y16" s="3"/>
    </row>
    <row r="17" spans="1:25" x14ac:dyDescent="0.3">
      <c r="A17" s="1" t="s">
        <v>7</v>
      </c>
      <c r="W17" s="3"/>
      <c r="X17" s="3"/>
      <c r="Y17" s="3"/>
    </row>
    <row r="18" spans="1:25" x14ac:dyDescent="0.3">
      <c r="W18" s="3"/>
      <c r="X18" s="3"/>
      <c r="Y18" s="3"/>
    </row>
    <row r="19" spans="1:25" x14ac:dyDescent="0.3">
      <c r="C19" t="s">
        <v>47</v>
      </c>
      <c r="I19" s="3">
        <v>0</v>
      </c>
      <c r="K19" s="3">
        <v>1187.3399999999999</v>
      </c>
      <c r="M19" s="2">
        <v>0</v>
      </c>
      <c r="O19" s="2">
        <v>0</v>
      </c>
      <c r="Q19" s="2">
        <v>0</v>
      </c>
      <c r="W19" s="3"/>
      <c r="X19" s="3"/>
      <c r="Y19" s="3"/>
    </row>
    <row r="20" spans="1:25" x14ac:dyDescent="0.3">
      <c r="C20" t="s">
        <v>46</v>
      </c>
      <c r="E20" s="2">
        <v>0</v>
      </c>
      <c r="F20" s="2"/>
      <c r="G20" s="2">
        <v>0</v>
      </c>
      <c r="H20" s="2"/>
      <c r="I20" s="3">
        <v>173922.75</v>
      </c>
      <c r="K20" s="3">
        <v>203943.29</v>
      </c>
      <c r="L20" s="20"/>
      <c r="M20" s="20">
        <v>236906.81</v>
      </c>
      <c r="N20" s="20"/>
      <c r="O20" s="20">
        <v>244782.14</v>
      </c>
      <c r="P20" s="20"/>
      <c r="Q20" s="20">
        <v>305407.46999999997</v>
      </c>
      <c r="R20" s="20"/>
      <c r="S20" s="3">
        <f>333934.3+790.2</f>
        <v>334724.5</v>
      </c>
      <c r="U20" s="3">
        <v>378412.7</v>
      </c>
      <c r="W20" s="3">
        <v>464362</v>
      </c>
      <c r="X20" s="3"/>
      <c r="Y20" s="3">
        <v>433522</v>
      </c>
    </row>
    <row r="21" spans="1:25" x14ac:dyDescent="0.3">
      <c r="C21" t="s">
        <v>20</v>
      </c>
      <c r="E21" s="2"/>
      <c r="F21" s="2"/>
      <c r="G21" s="2"/>
      <c r="H21" s="2"/>
      <c r="I21" s="3">
        <v>-1620</v>
      </c>
      <c r="K21" s="3">
        <v>0</v>
      </c>
      <c r="L21" s="20"/>
      <c r="M21" s="20"/>
      <c r="N21" s="20"/>
      <c r="O21" s="20"/>
      <c r="P21" s="20"/>
      <c r="Q21" s="20">
        <f>15715.1</f>
        <v>15715.1</v>
      </c>
      <c r="R21" s="20"/>
      <c r="S21" s="3">
        <v>15000</v>
      </c>
      <c r="U21" s="3">
        <v>0</v>
      </c>
      <c r="W21" s="3">
        <v>15000</v>
      </c>
      <c r="X21" s="3"/>
      <c r="Y21" s="3">
        <v>0</v>
      </c>
    </row>
    <row r="22" spans="1:25" ht="7.5" customHeight="1" x14ac:dyDescent="0.3">
      <c r="E22" s="4"/>
      <c r="F22" s="3"/>
      <c r="G22" s="4"/>
      <c r="H22" s="3"/>
      <c r="I22" s="4"/>
      <c r="J22" s="11"/>
      <c r="K22" s="4"/>
      <c r="L22" s="11"/>
      <c r="M22" s="4"/>
      <c r="N22" s="3"/>
      <c r="O22" s="4"/>
      <c r="P22" s="3"/>
      <c r="Q22" s="4"/>
      <c r="R22" s="3"/>
      <c r="S22" s="4"/>
      <c r="T22" s="4"/>
      <c r="U22" s="4"/>
      <c r="V22" s="4"/>
      <c r="W22" s="4"/>
      <c r="X22" s="4"/>
      <c r="Y22" s="4"/>
    </row>
    <row r="23" spans="1:25" x14ac:dyDescent="0.3">
      <c r="B23" t="s">
        <v>21</v>
      </c>
      <c r="E23" s="2">
        <f>SUM(E20:E22)</f>
        <v>0</v>
      </c>
      <c r="G23" s="2">
        <f>SUM(G20:G22)</f>
        <v>0</v>
      </c>
      <c r="I23" s="3">
        <f>SUM(I20:I22)</f>
        <v>172302.75</v>
      </c>
      <c r="J23" s="11"/>
      <c r="K23" s="3">
        <f>SUM(K19:K22)</f>
        <v>205130.63</v>
      </c>
      <c r="L23" s="11"/>
      <c r="M23" s="2">
        <f>SUM(M19:M22)</f>
        <v>236906.81</v>
      </c>
      <c r="N23" s="2"/>
      <c r="O23" s="2">
        <f>SUM(O19:O22)</f>
        <v>244782.14</v>
      </c>
      <c r="P23" s="2"/>
      <c r="Q23" s="2">
        <f>SUM(Q19:Q22)</f>
        <v>321122.56999999995</v>
      </c>
      <c r="R23" s="2"/>
      <c r="S23" s="3">
        <f>SUM(S19:S22)</f>
        <v>349724.5</v>
      </c>
      <c r="U23" s="3">
        <f>SUM(U19:U22)</f>
        <v>378412.7</v>
      </c>
      <c r="W23" s="3">
        <f>SUM(W19:W22)</f>
        <v>479362</v>
      </c>
      <c r="X23" s="3"/>
      <c r="Y23" s="3">
        <f>SUM(Y19:Y22)</f>
        <v>433522</v>
      </c>
    </row>
    <row r="24" spans="1:25" x14ac:dyDescent="0.3">
      <c r="W24" s="3"/>
      <c r="X24" s="3"/>
      <c r="Y24" s="3"/>
    </row>
    <row r="25" spans="1:25" x14ac:dyDescent="0.3">
      <c r="A25" s="1" t="s">
        <v>22</v>
      </c>
      <c r="E25" s="2">
        <f>E15-E23</f>
        <v>2595123</v>
      </c>
      <c r="G25" s="2">
        <f>G15-G23</f>
        <v>2097513</v>
      </c>
      <c r="I25" s="3">
        <f>I15-I23</f>
        <v>9640.1600000000035</v>
      </c>
      <c r="K25" s="3">
        <f>K15-K23</f>
        <v>41481.320000000007</v>
      </c>
      <c r="M25" s="2">
        <f>M15-M23</f>
        <v>-34452.440000000031</v>
      </c>
      <c r="N25" s="2"/>
      <c r="O25" s="2">
        <f>O15-O23</f>
        <v>2240.2199999999721</v>
      </c>
      <c r="P25" s="2"/>
      <c r="Q25" s="2">
        <f>Q15-Q23</f>
        <v>29082.610000000044</v>
      </c>
      <c r="R25" s="2"/>
      <c r="S25" s="3">
        <f>S15-S23</f>
        <v>75448.469999999972</v>
      </c>
      <c r="U25" s="3">
        <f>U15-U23</f>
        <v>52401.850000000035</v>
      </c>
      <c r="W25" s="3">
        <f>W15-W23</f>
        <v>-98787.979999999981</v>
      </c>
      <c r="X25" s="3"/>
      <c r="Y25" s="3">
        <f>Y15-Y23</f>
        <v>-42416</v>
      </c>
    </row>
    <row r="26" spans="1:25" x14ac:dyDescent="0.3">
      <c r="A26" s="1"/>
      <c r="W26" s="3"/>
      <c r="X26" s="3"/>
      <c r="Y26" s="3"/>
    </row>
    <row r="27" spans="1:25" x14ac:dyDescent="0.3">
      <c r="A27" s="1" t="s">
        <v>23</v>
      </c>
      <c r="E27" s="5">
        <v>334696</v>
      </c>
      <c r="F27" s="5"/>
      <c r="G27" s="2">
        <v>283044</v>
      </c>
      <c r="H27" s="2"/>
      <c r="I27" s="3">
        <v>9759.5</v>
      </c>
      <c r="K27" s="3">
        <f>I29</f>
        <v>19399.660000000003</v>
      </c>
      <c r="L27" s="2"/>
      <c r="M27" s="2">
        <f>K29</f>
        <v>60880.98000000001</v>
      </c>
      <c r="N27" s="2"/>
      <c r="O27" s="2">
        <f>M29</f>
        <v>26428.539999999979</v>
      </c>
      <c r="P27" s="2"/>
      <c r="Q27" s="2">
        <f>O29</f>
        <v>28668.759999999951</v>
      </c>
      <c r="R27" s="2"/>
      <c r="S27" s="3">
        <f>Q29</f>
        <v>57751.369999999995</v>
      </c>
      <c r="U27" s="3">
        <f>S29</f>
        <v>133199.83999999997</v>
      </c>
      <c r="W27" s="3">
        <f>U29</f>
        <v>185601.69</v>
      </c>
      <c r="X27" s="3"/>
      <c r="Y27" s="3">
        <f>W29</f>
        <v>86813.710000000021</v>
      </c>
    </row>
    <row r="28" spans="1:25" x14ac:dyDescent="0.3">
      <c r="A28" s="1"/>
      <c r="E28" s="6"/>
      <c r="F28" s="5"/>
      <c r="G28" s="14"/>
      <c r="H28" s="2"/>
      <c r="I28" s="4"/>
      <c r="J28" s="11"/>
      <c r="K28" s="4"/>
      <c r="L28" s="15"/>
      <c r="M28" s="14"/>
      <c r="N28" s="2"/>
      <c r="O28" s="14"/>
      <c r="P28" s="2"/>
      <c r="Q28" s="14"/>
      <c r="R28" s="2"/>
      <c r="S28" s="4"/>
      <c r="T28" s="4"/>
      <c r="U28" s="4"/>
      <c r="V28" s="4"/>
      <c r="W28" s="4"/>
      <c r="X28" s="4"/>
      <c r="Y28" s="4"/>
    </row>
    <row r="29" spans="1:25" ht="15" thickBot="1" x14ac:dyDescent="0.35">
      <c r="A29" s="1" t="s">
        <v>24</v>
      </c>
      <c r="E29" s="7">
        <f>E25+E27</f>
        <v>2929819</v>
      </c>
      <c r="F29" s="5"/>
      <c r="G29" s="16">
        <f>G25+G27</f>
        <v>2380557</v>
      </c>
      <c r="H29" s="2"/>
      <c r="I29" s="23">
        <f>I25+I27</f>
        <v>19399.660000000003</v>
      </c>
      <c r="K29" s="23">
        <f>K25+K27</f>
        <v>60880.98000000001</v>
      </c>
      <c r="L29" s="2"/>
      <c r="M29" s="16">
        <f>M25+M27</f>
        <v>26428.539999999979</v>
      </c>
      <c r="N29" s="2"/>
      <c r="O29" s="16">
        <f>O25+O27</f>
        <v>28668.759999999951</v>
      </c>
      <c r="P29" s="2"/>
      <c r="Q29" s="16">
        <f>Q25+Q27</f>
        <v>57751.369999999995</v>
      </c>
      <c r="R29" s="2"/>
      <c r="S29" s="23">
        <f>S25+S27</f>
        <v>133199.83999999997</v>
      </c>
      <c r="T29" s="23"/>
      <c r="U29" s="23">
        <f>U25+U27</f>
        <v>185601.69</v>
      </c>
      <c r="V29" s="23"/>
      <c r="W29" s="23">
        <f>W25+W27</f>
        <v>86813.710000000021</v>
      </c>
      <c r="X29" s="23"/>
      <c r="Y29" s="23">
        <f>Y25+Y27</f>
        <v>44397.710000000021</v>
      </c>
    </row>
    <row r="30" spans="1:25" ht="15" thickTop="1" x14ac:dyDescent="0.3">
      <c r="A30" s="1"/>
      <c r="E30" s="5"/>
      <c r="F30" s="5"/>
      <c r="G30" s="5"/>
      <c r="H30" s="5"/>
      <c r="L30" s="5"/>
      <c r="M30" s="5"/>
      <c r="N30" s="5"/>
      <c r="O30" s="5"/>
      <c r="P30" s="5"/>
      <c r="Q30" s="5"/>
      <c r="R30" s="5"/>
      <c r="W30" s="3"/>
      <c r="X30" s="3"/>
      <c r="Y30" s="3"/>
    </row>
    <row r="31" spans="1:25" ht="15" thickBot="1" x14ac:dyDescent="0.35">
      <c r="A31" s="1" t="s">
        <v>25</v>
      </c>
      <c r="E31" s="8" t="e">
        <f>E29/E23</f>
        <v>#DIV/0!</v>
      </c>
      <c r="G31" s="8" t="e">
        <f>G29/G23</f>
        <v>#DIV/0!</v>
      </c>
      <c r="I31" s="8">
        <f>I29/I23</f>
        <v>0.11259054193853553</v>
      </c>
      <c r="K31" s="8">
        <f>K29/K23</f>
        <v>0.29679126905621073</v>
      </c>
      <c r="M31" s="8">
        <f>M29/M23</f>
        <v>0.11155669184857953</v>
      </c>
      <c r="N31" s="13"/>
      <c r="O31" s="8">
        <f>O29/O23</f>
        <v>0.11711949245970293</v>
      </c>
      <c r="P31" s="13"/>
      <c r="Q31" s="8">
        <f>Q29/Q23</f>
        <v>0.17984213940490076</v>
      </c>
      <c r="R31" s="13"/>
      <c r="S31" s="8">
        <f>S29/S23</f>
        <v>0.38087077113556517</v>
      </c>
      <c r="T31" s="8"/>
      <c r="U31" s="8">
        <f>U29/U23</f>
        <v>0.49047426262384958</v>
      </c>
      <c r="V31" s="8"/>
      <c r="W31" s="8">
        <f>W29/W23</f>
        <v>0.18110261138763611</v>
      </c>
      <c r="X31" s="8"/>
      <c r="Y31" s="8">
        <f>Y29/Y23</f>
        <v>0.10241166538261039</v>
      </c>
    </row>
    <row r="32" spans="1:25" ht="15" thickTop="1" x14ac:dyDescent="0.3">
      <c r="A32" s="1"/>
    </row>
    <row r="33" spans="1:17" x14ac:dyDescent="0.3">
      <c r="A33" s="1"/>
      <c r="M33" s="19"/>
      <c r="O33" s="19"/>
      <c r="Q33" s="19"/>
    </row>
    <row r="34" spans="1:17" x14ac:dyDescent="0.3">
      <c r="A34" s="1"/>
    </row>
    <row r="35" spans="1:17" x14ac:dyDescent="0.3">
      <c r="A35" s="1"/>
    </row>
    <row r="36" spans="1:17" x14ac:dyDescent="0.3">
      <c r="A36" s="1"/>
    </row>
    <row r="37" spans="1:17" x14ac:dyDescent="0.3">
      <c r="A37" s="1"/>
    </row>
  </sheetData>
  <mergeCells count="4">
    <mergeCell ref="A1:Y1"/>
    <mergeCell ref="A2:Y2"/>
    <mergeCell ref="A3:Y3"/>
    <mergeCell ref="A4:Y4"/>
  </mergeCells>
  <pageMargins left="0.7" right="0.7" top="0.75" bottom="0.75" header="0.3" footer="0.3"/>
  <pageSetup scale="7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0BA20-F279-457E-B702-C3CE7AA8F9DB}">
  <sheetPr>
    <tabColor rgb="FFC00000"/>
  </sheetPr>
  <dimension ref="A1:S30"/>
  <sheetViews>
    <sheetView zoomScaleNormal="100" workbookViewId="0">
      <selection activeCell="S6" sqref="S6:S7"/>
    </sheetView>
  </sheetViews>
  <sheetFormatPr defaultRowHeight="14.4" x14ac:dyDescent="0.3"/>
  <cols>
    <col min="1" max="2" width="3.6640625" customWidth="1"/>
    <col min="3" max="3" width="32.6640625" customWidth="1"/>
    <col min="4" max="4" width="2" customWidth="1"/>
    <col min="5" max="5" width="12" customWidth="1"/>
    <col min="6" max="6" width="0.6640625" customWidth="1"/>
    <col min="7" max="7" width="12.6640625" customWidth="1"/>
    <col min="8" max="8" width="1" customWidth="1"/>
    <col min="9" max="9" width="11.109375" customWidth="1"/>
    <col min="10" max="10" width="0.5546875" customWidth="1"/>
    <col min="11" max="11" width="12" customWidth="1"/>
    <col min="12" max="12" width="1.44140625" customWidth="1"/>
    <col min="13" max="13" width="10.5546875" customWidth="1"/>
    <col min="14" max="14" width="1.5546875" customWidth="1"/>
    <col min="15" max="15" width="10" bestFit="1" customWidth="1"/>
    <col min="16" max="16" width="1.21875" customWidth="1"/>
    <col min="17" max="17" width="10.5546875" customWidth="1"/>
    <col min="18" max="18" width="1.5546875" customWidth="1"/>
    <col min="19" max="19" width="10.5546875" customWidth="1"/>
  </cols>
  <sheetData>
    <row r="1" spans="1:19" x14ac:dyDescent="0.3">
      <c r="A1" s="31" t="s">
        <v>49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x14ac:dyDescent="0.3">
      <c r="A2" s="31" t="s">
        <v>50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x14ac:dyDescent="0.3">
      <c r="A3" s="31" t="s">
        <v>80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x14ac:dyDescent="0.3">
      <c r="A4" s="32">
        <v>46196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6" spans="1:19" s="1" customFormat="1" x14ac:dyDescent="0.3">
      <c r="E6" s="9" t="s">
        <v>40</v>
      </c>
      <c r="F6" s="9"/>
      <c r="G6" s="9" t="s">
        <v>41</v>
      </c>
      <c r="I6" s="9" t="s">
        <v>42</v>
      </c>
      <c r="K6" s="9" t="s">
        <v>43</v>
      </c>
      <c r="L6" s="9"/>
      <c r="M6" s="9" t="s">
        <v>44</v>
      </c>
      <c r="N6" s="9"/>
      <c r="O6" s="21" t="s">
        <v>56</v>
      </c>
      <c r="P6" s="21"/>
      <c r="Q6" s="21" t="s">
        <v>58</v>
      </c>
      <c r="R6" s="21"/>
      <c r="S6" s="21" t="s">
        <v>81</v>
      </c>
    </row>
    <row r="7" spans="1:19" s="1" customFormat="1" ht="43.2" x14ac:dyDescent="0.3">
      <c r="E7" s="10" t="s">
        <v>27</v>
      </c>
      <c r="F7" s="10"/>
      <c r="G7" s="9" t="s">
        <v>27</v>
      </c>
      <c r="I7" s="10" t="s">
        <v>27</v>
      </c>
      <c r="K7" s="10" t="s">
        <v>27</v>
      </c>
      <c r="L7" s="10"/>
      <c r="M7" s="10" t="s">
        <v>27</v>
      </c>
      <c r="N7" s="10"/>
      <c r="O7" s="10" t="s">
        <v>27</v>
      </c>
      <c r="P7" s="10"/>
      <c r="Q7" s="10" t="s">
        <v>59</v>
      </c>
      <c r="R7" s="10"/>
      <c r="S7" s="10" t="s">
        <v>82</v>
      </c>
    </row>
    <row r="8" spans="1:19" x14ac:dyDescent="0.3">
      <c r="A8" s="1" t="s">
        <v>5</v>
      </c>
    </row>
    <row r="9" spans="1:19" x14ac:dyDescent="0.3">
      <c r="B9" t="s">
        <v>1</v>
      </c>
      <c r="E9" s="2">
        <f>67289.63+78890.14-37115.41</f>
        <v>109064.36000000002</v>
      </c>
      <c r="F9" s="2"/>
      <c r="G9" s="2">
        <f>10.87+51609.55</f>
        <v>51620.420000000006</v>
      </c>
      <c r="H9" s="2"/>
      <c r="I9" s="2">
        <f>10.7+63199.37</f>
        <v>63210.07</v>
      </c>
      <c r="J9" s="2"/>
      <c r="K9" s="2">
        <f>9.56+61013.04</f>
        <v>61022.6</v>
      </c>
      <c r="L9" s="2"/>
      <c r="M9" s="2">
        <f>131.43+44362.4</f>
        <v>44493.83</v>
      </c>
      <c r="N9" s="2"/>
      <c r="O9" s="5">
        <v>80541.3</v>
      </c>
      <c r="P9" s="5"/>
      <c r="Q9" s="5">
        <v>75000</v>
      </c>
      <c r="R9" s="5"/>
      <c r="S9" s="5">
        <f>1500+68500</f>
        <v>70000</v>
      </c>
    </row>
    <row r="10" spans="1:19" x14ac:dyDescent="0.3">
      <c r="E10" s="4"/>
      <c r="F10" s="3"/>
      <c r="G10" s="4"/>
      <c r="H10" s="3"/>
      <c r="I10" s="4"/>
      <c r="J10" s="3"/>
      <c r="K10" s="4"/>
      <c r="L10" s="3"/>
      <c r="M10" s="4"/>
      <c r="N10" s="4"/>
      <c r="O10" s="4"/>
      <c r="P10" s="4"/>
      <c r="Q10" s="4"/>
      <c r="R10" s="4"/>
      <c r="S10" s="4"/>
    </row>
    <row r="11" spans="1:19" x14ac:dyDescent="0.3">
      <c r="B11" t="s">
        <v>6</v>
      </c>
      <c r="E11" s="2">
        <f>SUM(E9:E10)</f>
        <v>109064.36000000002</v>
      </c>
      <c r="F11" s="2"/>
      <c r="G11" s="2">
        <f>SUM(G9:G10)</f>
        <v>51620.420000000006</v>
      </c>
      <c r="H11" s="2"/>
      <c r="I11" s="2">
        <f>SUM(I9:I10)</f>
        <v>63210.07</v>
      </c>
      <c r="J11" s="2"/>
      <c r="K11" s="2">
        <f>SUM(K9:K10)</f>
        <v>61022.6</v>
      </c>
      <c r="L11" s="2"/>
      <c r="M11" s="2">
        <f>SUM(M9:M10)</f>
        <v>44493.83</v>
      </c>
      <c r="N11" s="2"/>
      <c r="O11" s="2">
        <f>SUM(O9:O10)</f>
        <v>80541.3</v>
      </c>
      <c r="P11" s="2"/>
      <c r="Q11" s="2">
        <f>SUM(Q9:Q10)</f>
        <v>75000</v>
      </c>
      <c r="R11" s="2"/>
      <c r="S11" s="2">
        <f>SUM(S9:S10)</f>
        <v>70000</v>
      </c>
    </row>
    <row r="13" spans="1:19" x14ac:dyDescent="0.3">
      <c r="A13" s="1" t="s">
        <v>7</v>
      </c>
    </row>
    <row r="15" spans="1:19" x14ac:dyDescent="0.3">
      <c r="C15" t="s">
        <v>51</v>
      </c>
      <c r="E15" s="2">
        <v>46393.07</v>
      </c>
      <c r="F15" s="2"/>
      <c r="G15" s="2">
        <v>50247.45</v>
      </c>
      <c r="H15" s="2"/>
      <c r="I15" s="2">
        <v>64840.65</v>
      </c>
      <c r="J15" s="2"/>
      <c r="K15" s="2">
        <v>66018.559999999998</v>
      </c>
      <c r="L15" s="2"/>
      <c r="M15" s="2">
        <v>56235.23</v>
      </c>
      <c r="N15" s="2"/>
      <c r="O15" s="2">
        <v>79574.25</v>
      </c>
      <c r="P15" s="2"/>
      <c r="Q15" s="2">
        <v>158768</v>
      </c>
      <c r="R15" s="2"/>
      <c r="S15" s="2">
        <v>70000</v>
      </c>
    </row>
    <row r="16" spans="1:19" ht="7.5" customHeight="1" x14ac:dyDescent="0.3">
      <c r="E16" s="4"/>
      <c r="F16" s="3"/>
      <c r="G16" s="4"/>
      <c r="H16" s="3"/>
      <c r="I16" s="4"/>
      <c r="J16" s="3"/>
      <c r="K16" s="4"/>
      <c r="L16" s="3"/>
      <c r="M16" s="4"/>
      <c r="N16" s="4"/>
      <c r="O16" s="4"/>
      <c r="P16" s="4"/>
      <c r="Q16" s="4"/>
      <c r="R16" s="4"/>
      <c r="S16" s="4"/>
    </row>
    <row r="17" spans="1:19" x14ac:dyDescent="0.3">
      <c r="B17" t="s">
        <v>21</v>
      </c>
      <c r="E17" s="2">
        <f>SUM(E15:E16)</f>
        <v>46393.07</v>
      </c>
      <c r="G17" s="2">
        <f>SUM(G15:G16)</f>
        <v>50247.45</v>
      </c>
      <c r="I17" s="2">
        <f>SUM(I15:I16)</f>
        <v>64840.65</v>
      </c>
      <c r="K17" s="2">
        <f>SUM(K15:K16)</f>
        <v>66018.559999999998</v>
      </c>
      <c r="M17" s="2">
        <f>SUM(M15:M16)</f>
        <v>56235.23</v>
      </c>
      <c r="N17" s="2"/>
      <c r="O17" s="2">
        <f>SUM(O15:O16)</f>
        <v>79574.25</v>
      </c>
      <c r="P17" s="2"/>
      <c r="Q17" s="2">
        <f>SUM(Q15:Q16)</f>
        <v>158768</v>
      </c>
      <c r="R17" s="2"/>
      <c r="S17" s="2">
        <f>SUM(S15:S16)</f>
        <v>70000</v>
      </c>
    </row>
    <row r="19" spans="1:19" x14ac:dyDescent="0.3">
      <c r="A19" s="1" t="s">
        <v>22</v>
      </c>
      <c r="E19" s="2">
        <f>E11-E17</f>
        <v>62671.290000000015</v>
      </c>
      <c r="G19" s="2">
        <f>G11-G17</f>
        <v>1372.9700000000084</v>
      </c>
      <c r="I19" s="2">
        <f>I11-I17</f>
        <v>-1630.5800000000017</v>
      </c>
      <c r="K19" s="2">
        <f>K11-K17</f>
        <v>-4995.9599999999991</v>
      </c>
      <c r="M19" s="2">
        <f>M11-M17</f>
        <v>-11741.400000000001</v>
      </c>
      <c r="N19" s="2"/>
      <c r="O19" s="2">
        <f>O11-O17</f>
        <v>967.05000000000291</v>
      </c>
      <c r="P19" s="2"/>
      <c r="Q19" s="2">
        <f>Q11-Q17</f>
        <v>-83768</v>
      </c>
      <c r="R19" s="2"/>
      <c r="S19" s="2">
        <f>S11-S17</f>
        <v>0</v>
      </c>
    </row>
    <row r="20" spans="1:19" x14ac:dyDescent="0.3">
      <c r="A20" s="1"/>
    </row>
    <row r="21" spans="1:19" x14ac:dyDescent="0.3">
      <c r="A21" s="1" t="s">
        <v>23</v>
      </c>
      <c r="E21" s="2">
        <v>37125</v>
      </c>
      <c r="F21" s="2"/>
      <c r="G21" s="5">
        <f>E23</f>
        <v>99796.290000000008</v>
      </c>
      <c r="H21" s="5"/>
      <c r="I21" s="5">
        <f>G23</f>
        <v>101169.26000000001</v>
      </c>
      <c r="J21" s="5"/>
      <c r="K21" s="5">
        <f>I23</f>
        <v>99538.680000000008</v>
      </c>
      <c r="L21" s="2"/>
      <c r="M21" s="2">
        <f>K23</f>
        <v>94542.720000000001</v>
      </c>
      <c r="N21" s="2"/>
      <c r="O21" s="2">
        <f>M23</f>
        <v>82801.320000000007</v>
      </c>
      <c r="P21" s="2"/>
      <c r="Q21" s="2">
        <f>O23</f>
        <v>83768.37000000001</v>
      </c>
      <c r="R21" s="2"/>
      <c r="S21" s="2">
        <f>Q23</f>
        <v>0.3700000000098953</v>
      </c>
    </row>
    <row r="22" spans="1:19" x14ac:dyDescent="0.3">
      <c r="A22" s="1"/>
      <c r="E22" s="14"/>
      <c r="F22" s="2"/>
      <c r="G22" s="6"/>
      <c r="H22" s="5"/>
      <c r="I22" s="6"/>
      <c r="J22" s="5"/>
      <c r="K22" s="14"/>
      <c r="L22" s="2"/>
      <c r="M22" s="14"/>
      <c r="N22" s="14"/>
      <c r="O22" s="14"/>
      <c r="P22" s="14"/>
      <c r="Q22" s="14"/>
      <c r="R22" s="14"/>
      <c r="S22" s="14"/>
    </row>
    <row r="23" spans="1:19" ht="15" thickBot="1" x14ac:dyDescent="0.35">
      <c r="A23" s="1" t="s">
        <v>24</v>
      </c>
      <c r="E23" s="16">
        <f>E19+E21</f>
        <v>99796.290000000008</v>
      </c>
      <c r="F23" s="2"/>
      <c r="G23" s="7">
        <f>G19+G21</f>
        <v>101169.26000000001</v>
      </c>
      <c r="H23" s="5"/>
      <c r="I23" s="7">
        <f>I19+I21</f>
        <v>99538.680000000008</v>
      </c>
      <c r="J23" s="5"/>
      <c r="K23" s="16">
        <f>K19+K21</f>
        <v>94542.720000000001</v>
      </c>
      <c r="L23" s="2"/>
      <c r="M23" s="16">
        <f>M19+M21</f>
        <v>82801.320000000007</v>
      </c>
      <c r="N23" s="16"/>
      <c r="O23" s="16">
        <f>O19+O21</f>
        <v>83768.37000000001</v>
      </c>
      <c r="P23" s="16"/>
      <c r="Q23" s="16">
        <f>Q19+Q21</f>
        <v>0.3700000000098953</v>
      </c>
      <c r="R23" s="16"/>
      <c r="S23" s="16">
        <f>S19+S21</f>
        <v>0.3700000000098953</v>
      </c>
    </row>
    <row r="24" spans="1:19" ht="15" thickTop="1" x14ac:dyDescent="0.3">
      <c r="A24" s="1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9" x14ac:dyDescent="0.3">
      <c r="A25" s="1"/>
      <c r="E25" s="19"/>
      <c r="G25" s="25"/>
      <c r="I25" s="25"/>
      <c r="K25" s="19"/>
    </row>
    <row r="26" spans="1:19" x14ac:dyDescent="0.3">
      <c r="A26" s="1"/>
    </row>
    <row r="27" spans="1:19" x14ac:dyDescent="0.3">
      <c r="A27" s="1"/>
    </row>
    <row r="28" spans="1:19" x14ac:dyDescent="0.3">
      <c r="A28" s="1"/>
    </row>
    <row r="29" spans="1:19" x14ac:dyDescent="0.3">
      <c r="A29" s="1"/>
    </row>
    <row r="30" spans="1:19" x14ac:dyDescent="0.3">
      <c r="A30" s="1"/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E0753-E708-4890-8D82-97A397C9AB8C}">
  <dimension ref="A1:S33"/>
  <sheetViews>
    <sheetView tabSelected="1" zoomScaleNormal="100" workbookViewId="0">
      <selection activeCell="A4" sqref="A4:S4"/>
    </sheetView>
  </sheetViews>
  <sheetFormatPr defaultRowHeight="14.4" x14ac:dyDescent="0.3"/>
  <cols>
    <col min="1" max="2" width="3.6640625" customWidth="1"/>
    <col min="3" max="3" width="32.6640625" customWidth="1"/>
    <col min="4" max="4" width="1.33203125" customWidth="1"/>
    <col min="5" max="5" width="12.6640625" hidden="1" customWidth="1"/>
    <col min="6" max="6" width="2.6640625" hidden="1" customWidth="1"/>
    <col min="7" max="7" width="12.6640625" hidden="1" customWidth="1"/>
    <col min="8" max="8" width="2.6640625" hidden="1" customWidth="1"/>
    <col min="9" max="9" width="12" customWidth="1"/>
    <col min="10" max="10" width="2" customWidth="1"/>
    <col min="11" max="11" width="12.33203125" customWidth="1"/>
    <col min="12" max="12" width="1.88671875" customWidth="1"/>
    <col min="13" max="13" width="10.6640625" customWidth="1"/>
    <col min="14" max="14" width="10.5546875" customWidth="1"/>
    <col min="15" max="15" width="10.44140625" customWidth="1"/>
    <col min="16" max="16" width="10.5546875" customWidth="1"/>
    <col min="17" max="17" width="11.109375" bestFit="1" customWidth="1"/>
    <col min="18" max="19" width="12.44140625" bestFit="1" customWidth="1"/>
  </cols>
  <sheetData>
    <row r="1" spans="1:19" x14ac:dyDescent="0.3">
      <c r="A1" s="31" t="str">
        <f>'[1]General Ed'!A1:M1</f>
        <v>LITCHFIELD COMMUITY SCHOOLS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</row>
    <row r="2" spans="1:19" x14ac:dyDescent="0.3">
      <c r="A2" s="31" t="s">
        <v>52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</row>
    <row r="3" spans="1:19" x14ac:dyDescent="0.3">
      <c r="A3" s="31" t="s">
        <v>80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</row>
    <row r="4" spans="1:19" x14ac:dyDescent="0.3">
      <c r="A4" s="32">
        <v>46196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</row>
    <row r="6" spans="1:19" s="1" customFormat="1" x14ac:dyDescent="0.3">
      <c r="E6" s="9" t="s">
        <v>26</v>
      </c>
      <c r="G6" s="9" t="s">
        <v>31</v>
      </c>
      <c r="I6" s="9" t="s">
        <v>35</v>
      </c>
      <c r="J6" s="9"/>
      <c r="K6" s="9" t="s">
        <v>40</v>
      </c>
      <c r="L6" s="9"/>
      <c r="M6" s="9" t="s">
        <v>41</v>
      </c>
      <c r="N6" s="9" t="s">
        <v>42</v>
      </c>
      <c r="O6" s="9" t="s">
        <v>43</v>
      </c>
      <c r="P6" s="9" t="s">
        <v>44</v>
      </c>
      <c r="Q6" s="9" t="s">
        <v>79</v>
      </c>
      <c r="R6" s="21" t="s">
        <v>58</v>
      </c>
      <c r="S6" s="21" t="s">
        <v>81</v>
      </c>
    </row>
    <row r="7" spans="1:19" s="1" customFormat="1" ht="43.2" x14ac:dyDescent="0.3">
      <c r="E7" s="9" t="s">
        <v>27</v>
      </c>
      <c r="G7" s="10" t="s">
        <v>27</v>
      </c>
      <c r="I7" s="10" t="s">
        <v>27</v>
      </c>
      <c r="J7" s="10"/>
      <c r="K7" s="10" t="s">
        <v>27</v>
      </c>
      <c r="L7" s="10"/>
      <c r="M7" s="10" t="s">
        <v>27</v>
      </c>
      <c r="N7" s="10" t="s">
        <v>27</v>
      </c>
      <c r="O7" s="10" t="s">
        <v>27</v>
      </c>
      <c r="P7" s="10" t="s">
        <v>27</v>
      </c>
      <c r="Q7" s="10" t="s">
        <v>27</v>
      </c>
      <c r="R7" s="10" t="s">
        <v>59</v>
      </c>
      <c r="S7" s="10" t="s">
        <v>82</v>
      </c>
    </row>
    <row r="8" spans="1:19" x14ac:dyDescent="0.3">
      <c r="A8" s="1" t="s">
        <v>5</v>
      </c>
    </row>
    <row r="9" spans="1:19" x14ac:dyDescent="0.3">
      <c r="B9" t="s">
        <v>1</v>
      </c>
      <c r="E9" s="2">
        <v>52603</v>
      </c>
      <c r="F9" s="2"/>
      <c r="G9" s="2">
        <v>21528</v>
      </c>
      <c r="H9" s="2"/>
      <c r="I9" s="3">
        <v>74924.12</v>
      </c>
      <c r="J9" s="3"/>
      <c r="K9" s="3">
        <v>74626.94</v>
      </c>
      <c r="L9" s="3"/>
      <c r="M9" s="3">
        <v>128828.25</v>
      </c>
      <c r="N9" s="3">
        <v>131940.92000000001</v>
      </c>
      <c r="O9" s="3">
        <v>137619.78</v>
      </c>
      <c r="P9" s="3">
        <f>151930.58</f>
        <v>151930.57999999999</v>
      </c>
      <c r="Q9" s="3">
        <v>165207.78</v>
      </c>
      <c r="R9" s="3">
        <v>166225</v>
      </c>
      <c r="S9" s="3">
        <v>172000</v>
      </c>
    </row>
    <row r="10" spans="1:19" x14ac:dyDescent="0.3">
      <c r="B10" t="s">
        <v>53</v>
      </c>
      <c r="E10" s="2"/>
      <c r="F10" s="2"/>
      <c r="G10" s="2"/>
      <c r="H10" s="2"/>
      <c r="I10" s="3">
        <v>7213.12</v>
      </c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 x14ac:dyDescent="0.3">
      <c r="E11" s="4"/>
      <c r="F11" s="3"/>
      <c r="G11" s="4"/>
      <c r="H11" s="3"/>
      <c r="I11" s="4"/>
      <c r="J11" s="3"/>
      <c r="K11" s="4"/>
      <c r="L11" s="3"/>
      <c r="M11" s="4"/>
      <c r="N11" s="4"/>
      <c r="O11" s="4"/>
      <c r="P11" s="4"/>
      <c r="Q11" s="4"/>
      <c r="R11" s="4"/>
      <c r="S11" s="4"/>
    </row>
    <row r="12" spans="1:19" x14ac:dyDescent="0.3">
      <c r="B12" t="s">
        <v>6</v>
      </c>
      <c r="E12" s="2">
        <f>SUM(E9:E11)</f>
        <v>52603</v>
      </c>
      <c r="F12" s="2"/>
      <c r="G12" s="2">
        <f>SUM(G9:G11)</f>
        <v>21528</v>
      </c>
      <c r="H12" s="2"/>
      <c r="I12" s="3">
        <f>SUM(I9:I11)</f>
        <v>82137.239999999991</v>
      </c>
      <c r="J12" s="3"/>
      <c r="K12" s="3">
        <f>SUM(K9:K11)</f>
        <v>74626.94</v>
      </c>
      <c r="L12" s="3"/>
      <c r="M12" s="3">
        <f t="shared" ref="M12:Q12" si="0">SUM(M9:M11)</f>
        <v>128828.25</v>
      </c>
      <c r="N12" s="3">
        <f t="shared" si="0"/>
        <v>131940.92000000001</v>
      </c>
      <c r="O12" s="3">
        <f t="shared" si="0"/>
        <v>137619.78</v>
      </c>
      <c r="P12" s="3">
        <f t="shared" si="0"/>
        <v>151930.57999999999</v>
      </c>
      <c r="Q12" s="3">
        <f t="shared" si="0"/>
        <v>165207.78</v>
      </c>
      <c r="R12" s="3">
        <f t="shared" ref="R12:S12" si="1">SUM(R9:R11)</f>
        <v>166225</v>
      </c>
      <c r="S12" s="3">
        <f t="shared" si="1"/>
        <v>172000</v>
      </c>
    </row>
    <row r="13" spans="1:19" x14ac:dyDescent="0.3"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 x14ac:dyDescent="0.3">
      <c r="A14" s="1" t="s">
        <v>7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 x14ac:dyDescent="0.3">
      <c r="A15" s="1"/>
      <c r="C15" t="s">
        <v>63</v>
      </c>
      <c r="I15" s="3"/>
      <c r="J15" s="3"/>
      <c r="K15" s="3"/>
      <c r="L15" s="3"/>
      <c r="M15" s="3"/>
      <c r="N15" s="3"/>
      <c r="O15" s="3"/>
      <c r="P15" s="3"/>
      <c r="Q15" s="3"/>
      <c r="R15" s="3">
        <v>345</v>
      </c>
      <c r="S15" s="3">
        <v>0</v>
      </c>
    </row>
    <row r="16" spans="1:19" x14ac:dyDescent="0.3">
      <c r="C16" t="s">
        <v>55</v>
      </c>
      <c r="I16" s="3"/>
      <c r="J16" s="3"/>
      <c r="K16" s="3"/>
      <c r="L16" s="3"/>
      <c r="M16" s="3">
        <v>0</v>
      </c>
      <c r="N16" s="3">
        <v>0</v>
      </c>
      <c r="O16" s="3">
        <v>0</v>
      </c>
      <c r="P16" s="3">
        <v>74304.3</v>
      </c>
      <c r="Q16" s="3">
        <v>0</v>
      </c>
      <c r="R16" s="3">
        <v>88118.71</v>
      </c>
      <c r="S16" s="3">
        <v>0</v>
      </c>
    </row>
    <row r="17" spans="1:19" x14ac:dyDescent="0.3">
      <c r="C17" t="s">
        <v>57</v>
      </c>
      <c r="E17" s="3">
        <v>0</v>
      </c>
      <c r="F17" s="3"/>
      <c r="G17" s="3">
        <v>0</v>
      </c>
      <c r="H17" s="3"/>
      <c r="I17" s="3"/>
      <c r="J17" s="3"/>
      <c r="K17" s="3">
        <v>0</v>
      </c>
      <c r="L17" s="3"/>
      <c r="M17" s="3">
        <v>15133.52</v>
      </c>
      <c r="N17" s="3">
        <v>5376.3</v>
      </c>
      <c r="O17" s="3">
        <v>0</v>
      </c>
      <c r="P17" s="3">
        <v>40524.160000000003</v>
      </c>
      <c r="Q17" s="3">
        <v>44815</v>
      </c>
      <c r="R17" s="3">
        <f>320356.74</f>
        <v>320356.74</v>
      </c>
      <c r="S17" s="3">
        <v>172000</v>
      </c>
    </row>
    <row r="18" spans="1:19" x14ac:dyDescent="0.3">
      <c r="C18" t="s">
        <v>54</v>
      </c>
      <c r="E18" s="3">
        <v>0</v>
      </c>
      <c r="F18" s="3"/>
      <c r="G18" s="3">
        <v>0</v>
      </c>
      <c r="H18" s="3"/>
      <c r="I18" s="3">
        <f>3000+29563.96</f>
        <v>32563.96</v>
      </c>
      <c r="J18" s="3"/>
      <c r="K18" s="3">
        <v>11250</v>
      </c>
      <c r="L18" s="3"/>
      <c r="M18" s="3">
        <v>65427</v>
      </c>
      <c r="N18" s="3">
        <v>68276.52</v>
      </c>
      <c r="O18" s="3">
        <v>146482.37</v>
      </c>
      <c r="P18" s="3">
        <v>2493.7600000000002</v>
      </c>
      <c r="Q18" s="3">
        <v>104417.11</v>
      </c>
      <c r="R18" s="3">
        <f>25000</f>
        <v>25000</v>
      </c>
      <c r="S18" s="3">
        <v>0</v>
      </c>
    </row>
    <row r="19" spans="1:19" ht="7.5" customHeight="1" x14ac:dyDescent="0.3">
      <c r="E19" s="4"/>
      <c r="F19" s="3"/>
      <c r="G19" s="4"/>
      <c r="H19" s="3"/>
      <c r="I19" s="4"/>
      <c r="J19" s="3"/>
      <c r="K19" s="4"/>
      <c r="L19" s="3"/>
      <c r="M19" s="4"/>
      <c r="N19" s="4"/>
      <c r="O19" s="4"/>
      <c r="P19" s="4"/>
      <c r="Q19" s="4"/>
      <c r="R19" s="4"/>
      <c r="S19" s="4"/>
    </row>
    <row r="20" spans="1:19" x14ac:dyDescent="0.3">
      <c r="B20" t="s">
        <v>21</v>
      </c>
      <c r="E20" s="2">
        <f>SUM(E17:E19)</f>
        <v>0</v>
      </c>
      <c r="G20" s="2">
        <f>SUM(G17:G19)</f>
        <v>0</v>
      </c>
      <c r="I20" s="3">
        <f>SUM(I17:I19)</f>
        <v>32563.96</v>
      </c>
      <c r="J20" s="3"/>
      <c r="K20" s="3">
        <f>SUM(K17:K19)</f>
        <v>11250</v>
      </c>
      <c r="L20" s="3"/>
      <c r="M20" s="3">
        <f t="shared" ref="M20:N20" si="2">SUM(M16:M18)</f>
        <v>80560.52</v>
      </c>
      <c r="N20" s="3">
        <f t="shared" si="2"/>
        <v>73652.820000000007</v>
      </c>
      <c r="O20" s="3">
        <f>SUM(O16:O18)</f>
        <v>146482.37</v>
      </c>
      <c r="P20" s="3">
        <f>SUM(P16:P18)</f>
        <v>117322.22</v>
      </c>
      <c r="Q20" s="3">
        <f>SUM(Q16:Q18)</f>
        <v>149232.10999999999</v>
      </c>
      <c r="R20" s="3">
        <f>SUM(R15:R19)</f>
        <v>433820.45</v>
      </c>
      <c r="S20" s="3">
        <f>SUM(S15:S19)</f>
        <v>172000</v>
      </c>
    </row>
    <row r="21" spans="1:19" x14ac:dyDescent="0.3"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x14ac:dyDescent="0.3">
      <c r="A22" s="1" t="s">
        <v>22</v>
      </c>
      <c r="E22" s="2">
        <f>E12-E20</f>
        <v>52603</v>
      </c>
      <c r="G22" s="2">
        <f>G12-G20</f>
        <v>21528</v>
      </c>
      <c r="I22" s="3">
        <f>I12-I20</f>
        <v>49573.279999999992</v>
      </c>
      <c r="J22" s="3"/>
      <c r="K22" s="3">
        <f>K12-K20</f>
        <v>63376.94</v>
      </c>
      <c r="L22" s="3"/>
      <c r="M22" s="3">
        <f t="shared" ref="M22:Q22" si="3">M12-M20</f>
        <v>48267.729999999996</v>
      </c>
      <c r="N22" s="3">
        <f t="shared" si="3"/>
        <v>58288.100000000006</v>
      </c>
      <c r="O22" s="3">
        <f t="shared" si="3"/>
        <v>-8862.5899999999965</v>
      </c>
      <c r="P22" s="3">
        <f t="shared" si="3"/>
        <v>34608.359999999986</v>
      </c>
      <c r="Q22" s="3">
        <f t="shared" si="3"/>
        <v>15975.670000000013</v>
      </c>
      <c r="R22" s="3">
        <f t="shared" ref="R22:S22" si="4">R12-R20</f>
        <v>-267595.45</v>
      </c>
      <c r="S22" s="3">
        <f t="shared" si="4"/>
        <v>0</v>
      </c>
    </row>
    <row r="23" spans="1:19" x14ac:dyDescent="0.3">
      <c r="A23" s="1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 x14ac:dyDescent="0.3">
      <c r="A24" s="1" t="s">
        <v>23</v>
      </c>
      <c r="E24" s="5">
        <v>104868</v>
      </c>
      <c r="F24" s="5"/>
      <c r="G24" s="5">
        <v>149593</v>
      </c>
      <c r="H24" s="5"/>
      <c r="I24" s="3">
        <v>6367.96</v>
      </c>
      <c r="J24" s="3"/>
      <c r="K24" s="3">
        <f>I26</f>
        <v>55941.239999999991</v>
      </c>
      <c r="L24" s="3"/>
      <c r="M24" s="3">
        <f>K26</f>
        <v>119318.18</v>
      </c>
      <c r="N24" s="3">
        <f t="shared" ref="N24:S24" si="5">M26</f>
        <v>167585.90999999997</v>
      </c>
      <c r="O24" s="3">
        <f t="shared" si="5"/>
        <v>225874.00999999998</v>
      </c>
      <c r="P24" s="3">
        <f t="shared" si="5"/>
        <v>217011.41999999998</v>
      </c>
      <c r="Q24" s="3">
        <f t="shared" si="5"/>
        <v>251619.77999999997</v>
      </c>
      <c r="R24" s="3">
        <f t="shared" si="5"/>
        <v>267595.44999999995</v>
      </c>
      <c r="S24" s="3">
        <f t="shared" si="5"/>
        <v>0</v>
      </c>
    </row>
    <row r="25" spans="1:19" x14ac:dyDescent="0.3">
      <c r="A25" s="1"/>
      <c r="E25" s="6"/>
      <c r="F25" s="5"/>
      <c r="G25" s="6"/>
      <c r="H25" s="5"/>
      <c r="I25" s="4"/>
      <c r="J25" s="3"/>
      <c r="K25" s="4"/>
      <c r="L25" s="3"/>
      <c r="M25" s="4"/>
      <c r="N25" s="4"/>
      <c r="O25" s="4"/>
      <c r="P25" s="4"/>
      <c r="Q25" s="4"/>
      <c r="R25" s="4"/>
      <c r="S25" s="4"/>
    </row>
    <row r="26" spans="1:19" ht="15" thickBot="1" x14ac:dyDescent="0.35">
      <c r="A26" s="1" t="s">
        <v>24</v>
      </c>
      <c r="E26" s="7">
        <f>E22+E24</f>
        <v>157471</v>
      </c>
      <c r="F26" s="5"/>
      <c r="G26" s="7">
        <f>G22+G24</f>
        <v>171121</v>
      </c>
      <c r="H26" s="5"/>
      <c r="I26" s="23">
        <f>I22+I24</f>
        <v>55941.239999999991</v>
      </c>
      <c r="J26" s="3"/>
      <c r="K26" s="23">
        <f>K22+K24</f>
        <v>119318.18</v>
      </c>
      <c r="L26" s="3"/>
      <c r="M26" s="23">
        <f t="shared" ref="M26:Q26" si="6">M22+M24</f>
        <v>167585.90999999997</v>
      </c>
      <c r="N26" s="23">
        <f t="shared" si="6"/>
        <v>225874.00999999998</v>
      </c>
      <c r="O26" s="23">
        <f t="shared" si="6"/>
        <v>217011.41999999998</v>
      </c>
      <c r="P26" s="23">
        <f t="shared" si="6"/>
        <v>251619.77999999997</v>
      </c>
      <c r="Q26" s="23">
        <f t="shared" si="6"/>
        <v>267595.44999999995</v>
      </c>
      <c r="R26" s="23">
        <f t="shared" ref="R26:S26" si="7">R22+R24</f>
        <v>0</v>
      </c>
      <c r="S26" s="23">
        <f t="shared" si="7"/>
        <v>0</v>
      </c>
    </row>
    <row r="27" spans="1:19" ht="15" thickTop="1" x14ac:dyDescent="0.3">
      <c r="A27" s="1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R27" s="20"/>
      <c r="S27" s="20"/>
    </row>
    <row r="28" spans="1:19" x14ac:dyDescent="0.3">
      <c r="A28" s="1"/>
      <c r="I28" s="19"/>
      <c r="K28" s="19"/>
      <c r="M28" s="19"/>
      <c r="N28" s="19"/>
      <c r="O28" s="19"/>
    </row>
    <row r="29" spans="1:19" x14ac:dyDescent="0.3">
      <c r="A29" s="1"/>
      <c r="O29" s="19"/>
    </row>
    <row r="30" spans="1:19" x14ac:dyDescent="0.3">
      <c r="A30" s="1"/>
    </row>
    <row r="31" spans="1:19" x14ac:dyDescent="0.3">
      <c r="A31" s="1"/>
      <c r="I31" s="19"/>
      <c r="J31" s="19"/>
      <c r="K31" s="19"/>
      <c r="L31" s="19"/>
      <c r="M31" s="19"/>
      <c r="N31" s="19"/>
      <c r="O31" s="19"/>
    </row>
    <row r="32" spans="1:19" x14ac:dyDescent="0.3">
      <c r="A32" s="1"/>
    </row>
    <row r="33" spans="1:1" x14ac:dyDescent="0.3">
      <c r="A33" s="1"/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General Ed</vt:lpstr>
      <vt:lpstr>Food Service</vt:lpstr>
      <vt:lpstr>Food Service Fund</vt:lpstr>
      <vt:lpstr>Activity Fund</vt:lpstr>
      <vt:lpstr>Sinking Fund</vt:lpstr>
      <vt:lpstr>'Food Service'!Print_Area</vt:lpstr>
      <vt:lpstr>'Food Service Fund'!Print_Area</vt:lpstr>
      <vt:lpstr>'General Ed'!Print_Area</vt:lpstr>
    </vt:vector>
  </TitlesOfParts>
  <Company>HCK12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Kimberly Langhann</cp:lastModifiedBy>
  <cp:lastPrinted>2026-08-18T02:59:38Z</cp:lastPrinted>
  <dcterms:created xsi:type="dcterms:W3CDTF">2016-11-08T13:07:46Z</dcterms:created>
  <dcterms:modified xsi:type="dcterms:W3CDTF">2026-08-18T03:00:27Z</dcterms:modified>
</cp:coreProperties>
</file>