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psstudents.sharepoint.com/teams/OfficeofInnovation/Shared Documents/Office of Charter &amp; Partner Schools/Financial Analyst/Office Docs/Budget and Allocation (Ignored Item Conflict)/FY27/"/>
    </mc:Choice>
  </mc:AlternateContent>
  <xr:revisionPtr revIDLastSave="2" documentId="8_{FD578547-0F82-4DC2-BE8C-56A77223CE2C}" xr6:coauthVersionLast="47" xr6:coauthVersionMax="47" xr10:uidLastSave="{953781E5-A2A5-4BB7-978A-87D3FBE0C737}"/>
  <bookViews>
    <workbookView xWindow="28680" yWindow="-120" windowWidth="29040" windowHeight="15720" xr2:uid="{33502F8D-505D-4118-B169-F4DD1EB3A445}"/>
  </bookViews>
  <sheets>
    <sheet name="FY2027 Charter GADOE upd" sheetId="1" r:id="rId1"/>
    <sheet name="FY2027 Partner with Carver upd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'FY2027 Charter GADOE upd'!$A$1:$AS$24</definedName>
    <definedName name="Charters" localSheetId="0">'FY2027 Charter GADOE upd'!$2:$18</definedName>
    <definedName name="Partners" localSheetId="1">'FY2027 Partner with Carver upd'!$2:$6</definedName>
    <definedName name="Schools" localSheetId="0">'FY2027 Charter GADOE upd'!$2:$18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2" l="1"/>
  <c r="B28" i="2" s="1"/>
  <c r="B25" i="2"/>
  <c r="B24" i="2"/>
  <c r="B23" i="2"/>
  <c r="B19" i="2"/>
  <c r="Q13" i="2"/>
  <c r="C7" i="2"/>
  <c r="AL6" i="2"/>
  <c r="AK6" i="2"/>
  <c r="AJ6" i="2"/>
  <c r="AI6" i="2"/>
  <c r="AH6" i="2"/>
  <c r="AG6" i="2"/>
  <c r="AF6" i="2"/>
  <c r="AE6" i="2"/>
  <c r="AD6" i="2"/>
  <c r="AC6" i="2"/>
  <c r="AA6" i="2"/>
  <c r="Z6" i="2"/>
  <c r="Y6" i="2"/>
  <c r="X6" i="2"/>
  <c r="W6" i="2"/>
  <c r="V6" i="2"/>
  <c r="U6" i="2"/>
  <c r="T6" i="2"/>
  <c r="G6" i="2"/>
  <c r="F6" i="2"/>
  <c r="E6" i="2"/>
  <c r="D6" i="2"/>
  <c r="H6" i="2" s="1"/>
  <c r="J6" i="2" s="1"/>
  <c r="AL5" i="2"/>
  <c r="AK5" i="2"/>
  <c r="AJ5" i="2"/>
  <c r="AI5" i="2"/>
  <c r="AH5" i="2"/>
  <c r="AG5" i="2"/>
  <c r="AF5" i="2"/>
  <c r="AE5" i="2"/>
  <c r="AD5" i="2"/>
  <c r="AC5" i="2"/>
  <c r="AA5" i="2"/>
  <c r="Z5" i="2"/>
  <c r="Y5" i="2"/>
  <c r="X5" i="2"/>
  <c r="W5" i="2"/>
  <c r="V5" i="2"/>
  <c r="U5" i="2"/>
  <c r="T5" i="2"/>
  <c r="N5" i="2"/>
  <c r="N7" i="2" s="1"/>
  <c r="G5" i="2"/>
  <c r="F5" i="2"/>
  <c r="E5" i="2"/>
  <c r="D5" i="2"/>
  <c r="H5" i="2" s="1"/>
  <c r="J5" i="2" s="1"/>
  <c r="AL4" i="2"/>
  <c r="AK4" i="2"/>
  <c r="AJ4" i="2"/>
  <c r="AI4" i="2"/>
  <c r="AH4" i="2"/>
  <c r="AG4" i="2"/>
  <c r="AF4" i="2"/>
  <c r="AE4" i="2"/>
  <c r="AD4" i="2"/>
  <c r="AC4" i="2"/>
  <c r="AA4" i="2"/>
  <c r="Z4" i="2"/>
  <c r="Y4" i="2"/>
  <c r="X4" i="2"/>
  <c r="AM4" i="2" s="1"/>
  <c r="W4" i="2"/>
  <c r="V4" i="2"/>
  <c r="U4" i="2"/>
  <c r="T4" i="2"/>
  <c r="H4" i="2"/>
  <c r="J4" i="2" s="1"/>
  <c r="G4" i="2"/>
  <c r="F4" i="2"/>
  <c r="E4" i="2"/>
  <c r="D4" i="2"/>
  <c r="AL3" i="2"/>
  <c r="AK3" i="2"/>
  <c r="AJ3" i="2"/>
  <c r="AI3" i="2"/>
  <c r="AH3" i="2"/>
  <c r="AG3" i="2"/>
  <c r="AF3" i="2"/>
  <c r="AE3" i="2"/>
  <c r="AD3" i="2"/>
  <c r="AC3" i="2"/>
  <c r="AA3" i="2"/>
  <c r="Z3" i="2"/>
  <c r="Y3" i="2"/>
  <c r="X3" i="2"/>
  <c r="W3" i="2"/>
  <c r="V3" i="2"/>
  <c r="U3" i="2"/>
  <c r="T3" i="2"/>
  <c r="G3" i="2"/>
  <c r="F3" i="2"/>
  <c r="E3" i="2"/>
  <c r="D3" i="2"/>
  <c r="H3" i="2" s="1"/>
  <c r="J3" i="2" s="1"/>
  <c r="AL2" i="2"/>
  <c r="AK2" i="2"/>
  <c r="AJ2" i="2"/>
  <c r="AI2" i="2"/>
  <c r="AH2" i="2"/>
  <c r="AG2" i="2"/>
  <c r="AF2" i="2"/>
  <c r="AE2" i="2"/>
  <c r="AD2" i="2"/>
  <c r="AC2" i="2"/>
  <c r="AA2" i="2"/>
  <c r="Z2" i="2"/>
  <c r="Y2" i="2"/>
  <c r="X2" i="2"/>
  <c r="W2" i="2"/>
  <c r="V2" i="2"/>
  <c r="U2" i="2"/>
  <c r="T2" i="2"/>
  <c r="I2" i="2"/>
  <c r="G2" i="2"/>
  <c r="F2" i="2"/>
  <c r="E2" i="2"/>
  <c r="H2" i="2" s="1"/>
  <c r="J2" i="2" s="1"/>
  <c r="D2" i="2"/>
  <c r="B43" i="1"/>
  <c r="B42" i="1"/>
  <c r="B41" i="1"/>
  <c r="G30" i="1"/>
  <c r="B29" i="1"/>
  <c r="B31" i="1" s="1"/>
  <c r="AA22" i="1"/>
  <c r="D22" i="1"/>
  <c r="W19" i="1"/>
  <c r="V19" i="1"/>
  <c r="U19" i="1"/>
  <c r="T19" i="1"/>
  <c r="S19" i="1"/>
  <c r="R19" i="1"/>
  <c r="Q19" i="1"/>
  <c r="P19" i="1"/>
  <c r="O19" i="1"/>
  <c r="E19" i="1"/>
  <c r="D19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K18" i="1"/>
  <c r="E18" i="1"/>
  <c r="L18" i="1" s="1"/>
  <c r="C18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E17" i="1"/>
  <c r="L17" i="1" s="1"/>
  <c r="C17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L16" i="1"/>
  <c r="K16" i="1"/>
  <c r="E16" i="1"/>
  <c r="C16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L15" i="1"/>
  <c r="E15" i="1"/>
  <c r="K15" i="1" s="1"/>
  <c r="C15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E14" i="1"/>
  <c r="L14" i="1" s="1"/>
  <c r="C14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L13" i="1"/>
  <c r="K13" i="1"/>
  <c r="E13" i="1"/>
  <c r="C13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L12" i="1"/>
  <c r="K12" i="1"/>
  <c r="E12" i="1"/>
  <c r="C12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AS11" i="1" s="1"/>
  <c r="K11" i="1"/>
  <c r="E11" i="1"/>
  <c r="L11" i="1" s="1"/>
  <c r="C11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E10" i="1"/>
  <c r="L10" i="1" s="1"/>
  <c r="C10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L9" i="1"/>
  <c r="K9" i="1"/>
  <c r="E9" i="1"/>
  <c r="C9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L8" i="1"/>
  <c r="E8" i="1"/>
  <c r="K8" i="1" s="1"/>
  <c r="C8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E7" i="1"/>
  <c r="L7" i="1" s="1"/>
  <c r="C7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L6" i="1"/>
  <c r="K6" i="1"/>
  <c r="E6" i="1"/>
  <c r="C6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L5" i="1"/>
  <c r="K5" i="1"/>
  <c r="E5" i="1"/>
  <c r="C5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K4" i="1"/>
  <c r="E4" i="1"/>
  <c r="L4" i="1" s="1"/>
  <c r="C4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E3" i="1"/>
  <c r="L3" i="1" s="1"/>
  <c r="L19" i="1" s="1"/>
  <c r="C3" i="1"/>
  <c r="C19" i="1" s="1"/>
  <c r="C39" i="1" s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L2" i="1"/>
  <c r="K2" i="1"/>
  <c r="E2" i="1"/>
  <c r="C2" i="1"/>
  <c r="AS9" i="1" l="1"/>
  <c r="AM6" i="2"/>
  <c r="AS7" i="1"/>
  <c r="AM3" i="2"/>
  <c r="AS17" i="1"/>
  <c r="AS13" i="1"/>
  <c r="AM5" i="2"/>
  <c r="AS4" i="1"/>
  <c r="AS2" i="1"/>
  <c r="AS19" i="1" s="1"/>
  <c r="AS8" i="1"/>
  <c r="AM2" i="2"/>
  <c r="AM7" i="2" s="1"/>
  <c r="AS5" i="1"/>
  <c r="AS15" i="1"/>
  <c r="AS18" i="1"/>
  <c r="AS12" i="1"/>
  <c r="AS14" i="1"/>
  <c r="AS16" i="1"/>
  <c r="AS3" i="1"/>
  <c r="AS10" i="1"/>
  <c r="AS6" i="1"/>
  <c r="F9" i="1"/>
  <c r="G9" i="1" s="1"/>
  <c r="M10" i="1"/>
  <c r="M18" i="1"/>
  <c r="M11" i="1"/>
  <c r="M4" i="1"/>
  <c r="M14" i="1"/>
  <c r="M7" i="1"/>
  <c r="M17" i="1"/>
  <c r="M3" i="1"/>
  <c r="M5" i="1"/>
  <c r="M16" i="1"/>
  <c r="M13" i="1"/>
  <c r="M6" i="1"/>
  <c r="M12" i="1"/>
  <c r="M2" i="1"/>
  <c r="M15" i="1"/>
  <c r="M8" i="1"/>
  <c r="M9" i="1"/>
  <c r="F17" i="1"/>
  <c r="G17" i="1" s="1"/>
  <c r="F3" i="1"/>
  <c r="G3" i="1" s="1"/>
  <c r="F12" i="1"/>
  <c r="G12" i="1" s="1"/>
  <c r="F5" i="1"/>
  <c r="G5" i="1" s="1"/>
  <c r="F15" i="1"/>
  <c r="G15" i="1" s="1"/>
  <c r="F10" i="1"/>
  <c r="G10" i="1" s="1"/>
  <c r="F8" i="1"/>
  <c r="G8" i="1" s="1"/>
  <c r="F13" i="1"/>
  <c r="G13" i="1" s="1"/>
  <c r="F6" i="1"/>
  <c r="G6" i="1" s="1"/>
  <c r="F2" i="1"/>
  <c r="F16" i="1"/>
  <c r="G16" i="1" s="1"/>
  <c r="K3" i="2"/>
  <c r="L3" i="2" s="1"/>
  <c r="K2" i="2"/>
  <c r="L2" i="2" s="1"/>
  <c r="K5" i="2"/>
  <c r="L5" i="2" s="1"/>
  <c r="K4" i="2"/>
  <c r="L4" i="2" s="1"/>
  <c r="K6" i="2"/>
  <c r="L6" i="2" s="1"/>
  <c r="K7" i="1"/>
  <c r="K14" i="1"/>
  <c r="K3" i="1"/>
  <c r="F4" i="1"/>
  <c r="G4" i="1" s="1"/>
  <c r="K10" i="1"/>
  <c r="F11" i="1"/>
  <c r="G11" i="1" s="1"/>
  <c r="K17" i="1"/>
  <c r="K19" i="1" s="1"/>
  <c r="F18" i="1"/>
  <c r="G18" i="1" s="1"/>
  <c r="F14" i="1"/>
  <c r="G14" i="1" s="1"/>
  <c r="F7" i="1"/>
  <c r="G7" i="1" s="1"/>
  <c r="O6" i="2" l="1"/>
  <c r="M6" i="2"/>
  <c r="P6" i="2" s="1"/>
  <c r="O5" i="2"/>
  <c r="Q5" i="2" s="1"/>
  <c r="R5" i="2" s="1"/>
  <c r="S5" i="2" s="1"/>
  <c r="M5" i="2"/>
  <c r="P5" i="2" s="1"/>
  <c r="O4" i="2"/>
  <c r="M4" i="2"/>
  <c r="P4" i="2" s="1"/>
  <c r="O3" i="2"/>
  <c r="M3" i="2"/>
  <c r="P3" i="2" s="1"/>
  <c r="O2" i="2"/>
  <c r="M2" i="2"/>
  <c r="P2" i="2" s="1"/>
  <c r="H5" i="1"/>
  <c r="J5" i="1" s="1"/>
  <c r="N5" i="1" s="1"/>
  <c r="H8" i="1"/>
  <c r="J8" i="1"/>
  <c r="N8" i="1" s="1"/>
  <c r="H10" i="1"/>
  <c r="J10" i="1"/>
  <c r="N10" i="1" s="1"/>
  <c r="H15" i="1"/>
  <c r="J15" i="1" s="1"/>
  <c r="N15" i="1" s="1"/>
  <c r="H18" i="1"/>
  <c r="J18" i="1"/>
  <c r="N18" i="1" s="1"/>
  <c r="H7" i="1"/>
  <c r="J7" i="1" s="1"/>
  <c r="N7" i="1" s="1"/>
  <c r="H16" i="1"/>
  <c r="J16" i="1" s="1"/>
  <c r="N16" i="1" s="1"/>
  <c r="H14" i="1"/>
  <c r="J14" i="1" s="1"/>
  <c r="N14" i="1" s="1"/>
  <c r="G2" i="1"/>
  <c r="F19" i="1"/>
  <c r="F22" i="1" s="1"/>
  <c r="H12" i="1"/>
  <c r="J12" i="1" s="1"/>
  <c r="N12" i="1" s="1"/>
  <c r="J3" i="1"/>
  <c r="N3" i="1" s="1"/>
  <c r="H3" i="1"/>
  <c r="H17" i="1"/>
  <c r="J17" i="1" s="1"/>
  <c r="N17" i="1" s="1"/>
  <c r="H11" i="1"/>
  <c r="J11" i="1" s="1"/>
  <c r="N11" i="1" s="1"/>
  <c r="H4" i="1"/>
  <c r="J4" i="1" s="1"/>
  <c r="N4" i="1" s="1"/>
  <c r="H6" i="1"/>
  <c r="J6" i="1" s="1"/>
  <c r="N6" i="1" s="1"/>
  <c r="M19" i="1"/>
  <c r="H13" i="1"/>
  <c r="J13" i="1" s="1"/>
  <c r="N13" i="1" s="1"/>
  <c r="H9" i="1"/>
  <c r="J9" i="1" s="1"/>
  <c r="N9" i="1" s="1"/>
  <c r="Z11" i="1" l="1"/>
  <c r="X11" i="1"/>
  <c r="Y11" i="1" s="1"/>
  <c r="Z17" i="1"/>
  <c r="X17" i="1"/>
  <c r="Y17" i="1" s="1"/>
  <c r="X5" i="1"/>
  <c r="Y5" i="1" s="1"/>
  <c r="Z5" i="1"/>
  <c r="Z12" i="1"/>
  <c r="X12" i="1"/>
  <c r="Y12" i="1" s="1"/>
  <c r="X14" i="1"/>
  <c r="Y14" i="1" s="1"/>
  <c r="Z14" i="1"/>
  <c r="Z16" i="1"/>
  <c r="X16" i="1"/>
  <c r="Y16" i="1" s="1"/>
  <c r="Z9" i="1"/>
  <c r="X9" i="1"/>
  <c r="Y9" i="1" s="1"/>
  <c r="X7" i="1"/>
  <c r="Y7" i="1" s="1"/>
  <c r="Z7" i="1"/>
  <c r="X13" i="1"/>
  <c r="Y13" i="1" s="1"/>
  <c r="Z13" i="1"/>
  <c r="Z6" i="1"/>
  <c r="X6" i="1"/>
  <c r="Y6" i="1" s="1"/>
  <c r="Z15" i="1"/>
  <c r="X15" i="1"/>
  <c r="Y15" i="1" s="1"/>
  <c r="Z4" i="1"/>
  <c r="X4" i="1"/>
  <c r="Y4" i="1" s="1"/>
  <c r="Z8" i="1"/>
  <c r="X8" i="1"/>
  <c r="Y8" i="1" s="1"/>
  <c r="Z18" i="1"/>
  <c r="X18" i="1"/>
  <c r="Y18" i="1" s="1"/>
  <c r="G19" i="1"/>
  <c r="H2" i="1"/>
  <c r="H19" i="1" s="1"/>
  <c r="Q2" i="2"/>
  <c r="Q4" i="2"/>
  <c r="R4" i="2" s="1"/>
  <c r="S4" i="2" s="1"/>
  <c r="Q3" i="2"/>
  <c r="R3" i="2" s="1"/>
  <c r="S3" i="2" s="1"/>
  <c r="Z3" i="1"/>
  <c r="X3" i="1"/>
  <c r="Y3" i="1" s="1"/>
  <c r="Z10" i="1"/>
  <c r="X10" i="1"/>
  <c r="Y10" i="1" s="1"/>
  <c r="Q6" i="2"/>
  <c r="R6" i="2" s="1"/>
  <c r="S6" i="2" s="1"/>
  <c r="Q7" i="2" l="1"/>
  <c r="R2" i="2"/>
  <c r="J2" i="1"/>
  <c r="N2" i="1" l="1"/>
  <c r="J19" i="1"/>
  <c r="R7" i="2"/>
  <c r="S2" i="2"/>
  <c r="R9" i="2" l="1"/>
  <c r="S7" i="2"/>
  <c r="X2" i="1"/>
  <c r="N19" i="1"/>
  <c r="N22" i="1" s="1"/>
  <c r="Z2" i="1"/>
  <c r="Y2" i="1" l="1"/>
  <c r="Y19" i="1" s="1"/>
  <c r="X19" i="1"/>
  <c r="X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tc={6D505B1E-3DC8-4A83-8320-B7F32F9B46DD}</author>
  </authors>
  <commentList>
    <comment ref="B29" authorId="0" shapeId="0" xr:uid="{6D505B1E-3DC8-4A83-8320-B7F32F9B46DD}">
      <text>
        <t>[Threaded comment]
Your version of Excel allows you to read this threaded comment; however, any edits to it will get removed if the file is opened in a newer version of Excel. Learn more: https://go.microsoft.com/fwlink/?linkid=870924
Comment:
    Other local fed reimb cost multiply by 20%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tc={51999BE9-46A8-43B2-A2A2-C69A3EF1B799}</author>
    <author>Angelety, Wendy</author>
  </authors>
  <commentList>
    <comment ref="C5" authorId="0" shapeId="0" xr:uid="{51999BE9-46A8-43B2-A2A2-C69A3EF1B79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569 per contract
</t>
      </text>
    </comment>
    <comment ref="B16" authorId="1" shapeId="0" xr:uid="{2B2B7D53-F74B-4E00-8A27-FFB56CB73AE6}">
      <text>
        <r>
          <rPr>
            <sz val="9"/>
            <color indexed="81"/>
            <rFont val="Tahoma"/>
            <family val="2"/>
          </rPr>
          <t xml:space="preserve">Proj for Revenue- Bryan's file
</t>
        </r>
      </text>
    </comment>
    <comment ref="B17" authorId="1" shapeId="0" xr:uid="{7ED2C872-C3EB-4A7C-A9BB-F93BBF0E94DD}">
      <text>
        <r>
          <rPr>
            <b/>
            <sz val="9"/>
            <color indexed="81"/>
            <rFont val="Tahoma"/>
            <family val="2"/>
          </rPr>
          <t>Angelety, Wendy:</t>
        </r>
        <r>
          <rPr>
            <sz val="9"/>
            <color indexed="81"/>
            <rFont val="Tahoma"/>
            <family val="2"/>
          </rPr>
          <t xml:space="preserve">
This amount is 20% of the districts local revenue. Per Finance
Changed on 2-28-25 to calculate 20% of only the Reimbursement Federal Indirect Cost</t>
        </r>
      </text>
    </comment>
  </commentList>
</comments>
</file>

<file path=xl/sharedStrings.xml><?xml version="1.0" encoding="utf-8"?>
<sst xmlns="http://schemas.openxmlformats.org/spreadsheetml/2006/main" count="158" uniqueCount="129">
  <si>
    <t>School Code</t>
  </si>
  <si>
    <t>School Name</t>
  </si>
  <si>
    <t>Proj FTE (Initial)</t>
  </si>
  <si>
    <t>QBE Formula Earnings- using fy27 Initial</t>
  </si>
  <si>
    <t>Percent of Disitrict QBE</t>
  </si>
  <si>
    <t>Local Revenue Share</t>
  </si>
  <si>
    <t>Total QBE and Local Revenue Funds</t>
  </si>
  <si>
    <t>2% Charter School Admin Fee</t>
  </si>
  <si>
    <t>CHARTER SCHOOL NET FUNDING</t>
  </si>
  <si>
    <t>Nursing Services</t>
  </si>
  <si>
    <t>Transportation</t>
  </si>
  <si>
    <t>Local Charter Supplement</t>
  </si>
  <si>
    <t>Total Charter School Funds with Nursing &amp; Transportation</t>
  </si>
  <si>
    <t>Earnings less Buyback</t>
  </si>
  <si>
    <t>Monthly Payment</t>
  </si>
  <si>
    <t>Per Pupil</t>
  </si>
  <si>
    <t>Internet &amp; Network Support</t>
  </si>
  <si>
    <t>MDF/IDF Environmental Services/Support</t>
  </si>
  <si>
    <t>AVA - High School Felx</t>
  </si>
  <si>
    <t>AVA - Middle Grades</t>
  </si>
  <si>
    <t>Digital Assessment Strategies and Tools</t>
  </si>
  <si>
    <t>Professional Learning Services</t>
  </si>
  <si>
    <t>School Improvement Planning</t>
  </si>
  <si>
    <t>Tools/Resources (Semantic Web)</t>
  </si>
  <si>
    <t>All Risk Insurance</t>
  </si>
  <si>
    <t>Emergency Management Services</t>
  </si>
  <si>
    <t>School Safety Monitors</t>
  </si>
  <si>
    <t>School Police</t>
  </si>
  <si>
    <t>Supplemental Bus Service</t>
  </si>
  <si>
    <t>Bus Monitor Training</t>
  </si>
  <si>
    <t>School Bus Driver Safety Program/CDL Instruction</t>
  </si>
  <si>
    <t>Move Service Update</t>
  </si>
  <si>
    <t>Sociol Emotional Learning Training</t>
  </si>
  <si>
    <t>Gifted Assessment Portal Access</t>
  </si>
  <si>
    <t>Total Proj BuyBack Service Requested</t>
  </si>
  <si>
    <t>0415</t>
  </si>
  <si>
    <t>Atlanta Classical Academy</t>
  </si>
  <si>
    <t>0505</t>
  </si>
  <si>
    <t>Atlanta Neighborhood Charter ES</t>
  </si>
  <si>
    <t>0206</t>
  </si>
  <si>
    <t>Atlanta Neighborhood Charter MS</t>
  </si>
  <si>
    <t>0199</t>
  </si>
  <si>
    <t>Centennial Academy</t>
  </si>
  <si>
    <t>0201</t>
  </si>
  <si>
    <t>Drew Charter ES</t>
  </si>
  <si>
    <t>0515</t>
  </si>
  <si>
    <t>Drew Charter Jr-Sr</t>
  </si>
  <si>
    <t>0123</t>
  </si>
  <si>
    <t xml:space="preserve">Kindezi School (West) </t>
  </si>
  <si>
    <t>1417</t>
  </si>
  <si>
    <t>Kindezi Old Fourth Ward</t>
  </si>
  <si>
    <t>0212</t>
  </si>
  <si>
    <t>KIPP Atlanta Collegiate</t>
  </si>
  <si>
    <t>0115</t>
  </si>
  <si>
    <t xml:space="preserve">KIPP Strive Academy  </t>
  </si>
  <si>
    <t>0213</t>
  </si>
  <si>
    <t xml:space="preserve">KIPP Strive Primary  </t>
  </si>
  <si>
    <t>0122</t>
  </si>
  <si>
    <t xml:space="preserve">KIPP Vision Academy  </t>
  </si>
  <si>
    <t>0214</t>
  </si>
  <si>
    <t xml:space="preserve">KIPP Vision Primary  </t>
  </si>
  <si>
    <t>0605</t>
  </si>
  <si>
    <t xml:space="preserve">KIPP Ways Academy  </t>
  </si>
  <si>
    <t>0215</t>
  </si>
  <si>
    <t xml:space="preserve">KIPP Ways Primary </t>
  </si>
  <si>
    <t>1208</t>
  </si>
  <si>
    <t>Wesley International Academy</t>
  </si>
  <si>
    <t>0314</t>
  </si>
  <si>
    <t xml:space="preserve">Westside Charter </t>
  </si>
  <si>
    <t>TOTALS</t>
  </si>
  <si>
    <t xml:space="preserve"> </t>
  </si>
  <si>
    <t>Revenue Growth assumptions</t>
  </si>
  <si>
    <t>QBE Growth assumptions</t>
  </si>
  <si>
    <t xml:space="preserve">REVENUE ASSUMPTIONS AS OF </t>
  </si>
  <si>
    <t>Local Property Taxes</t>
  </si>
  <si>
    <t>fy27 initial</t>
  </si>
  <si>
    <t>Other Local Revenue</t>
  </si>
  <si>
    <t>Fund Balance</t>
  </si>
  <si>
    <t>Total APS funding</t>
  </si>
  <si>
    <t>Austerity</t>
  </si>
  <si>
    <t>Local 5 Mills</t>
  </si>
  <si>
    <t>FY27 Initial</t>
  </si>
  <si>
    <t xml:space="preserve"> Unfunded Pension Balance</t>
  </si>
  <si>
    <t>State QBE</t>
  </si>
  <si>
    <t>Nursing</t>
  </si>
  <si>
    <t>Charter School Supplement</t>
  </si>
  <si>
    <t>Psychologst</t>
  </si>
  <si>
    <t>SRO</t>
  </si>
  <si>
    <t>Special Ed Teacher</t>
  </si>
  <si>
    <t>Column1</t>
  </si>
  <si>
    <t>M-T FTE Count</t>
  </si>
  <si>
    <t>General Fund for Upcoming Year</t>
  </si>
  <si>
    <t>Less Fund 150</t>
  </si>
  <si>
    <t>Turnaround</t>
  </si>
  <si>
    <t>Unfunded Pension Balance</t>
  </si>
  <si>
    <t>Total General Fund Available</t>
  </si>
  <si>
    <t>Number of Students in Oct and March FTE Count</t>
  </si>
  <si>
    <t>Investment/Avg APS Student</t>
  </si>
  <si>
    <t>Plus Per Stuudent Turnaround Funding</t>
  </si>
  <si>
    <t>Subtotal</t>
  </si>
  <si>
    <t>Less 2% Admim Support</t>
  </si>
  <si>
    <t>Weighted Average</t>
  </si>
  <si>
    <t>Total Funding Without Title I</t>
  </si>
  <si>
    <t>Less 2% Admin Fee</t>
  </si>
  <si>
    <t>Total Allocation Due</t>
  </si>
  <si>
    <t>Alloc minus Buy Back Service</t>
  </si>
  <si>
    <t>Monthly</t>
  </si>
  <si>
    <t>Total</t>
  </si>
  <si>
    <t>utilities</t>
  </si>
  <si>
    <t>Maintenance and repair</t>
  </si>
  <si>
    <t>2560</t>
  </si>
  <si>
    <t>Gideons Elementary</t>
  </si>
  <si>
    <t>0288</t>
  </si>
  <si>
    <t xml:space="preserve">Price Middle  </t>
  </si>
  <si>
    <t>4066</t>
  </si>
  <si>
    <t>Slater Elementary</t>
  </si>
  <si>
    <t>1413</t>
  </si>
  <si>
    <t>Carver HS</t>
  </si>
  <si>
    <t>1415</t>
  </si>
  <si>
    <t xml:space="preserve">Woodson Park </t>
  </si>
  <si>
    <t>Growth assumptions</t>
  </si>
  <si>
    <t>General Fund Budget</t>
  </si>
  <si>
    <t>Proj Rev FY27</t>
  </si>
  <si>
    <t>tentative</t>
  </si>
  <si>
    <t>Fund 150</t>
  </si>
  <si>
    <t>FY27</t>
  </si>
  <si>
    <t>decrease from FY26</t>
  </si>
  <si>
    <t>Turnaround Students</t>
  </si>
  <si>
    <t>Per student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</si>
</sst>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165" fontId="3" fillId="6" borderId="1" xfId="1" applyNumberFormat="1" applyFont="1" applyFill="1" applyBorder="1" applyAlignment="1">
      <alignment horizontal="center" wrapText="1"/>
    </xf>
    <xf numFmtId="165" fontId="3" fillId="2" borderId="1" xfId="1" applyNumberFormat="1" applyFont="1" applyFill="1" applyBorder="1" applyAlignment="1">
      <alignment horizontal="center" wrapText="1"/>
    </xf>
    <xf numFmtId="165" fontId="3" fillId="5" borderId="1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164" fontId="0" fillId="4" borderId="1" xfId="0" applyNumberFormat="1" applyFill="1" applyBorder="1"/>
    <xf numFmtId="10" fontId="0" fillId="0" borderId="1" xfId="2" applyNumberFormat="1" applyFont="1" applyBorder="1"/>
    <xf numFmtId="164" fontId="0" fillId="0" borderId="1" xfId="0" applyNumberFormat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5" borderId="1" xfId="0" applyNumberFormat="1" applyFill="1" applyBorder="1"/>
    <xf numFmtId="166" fontId="0" fillId="0" borderId="1" xfId="0" applyNumberFormat="1" applyBorder="1"/>
    <xf numFmtId="165" fontId="0" fillId="6" borderId="1" xfId="1" applyNumberFormat="1" applyFont="1" applyFill="1" applyBorder="1"/>
    <xf numFmtId="165" fontId="0" fillId="5" borderId="1" xfId="1" applyNumberFormat="1" applyFont="1" applyFill="1" applyBorder="1"/>
    <xf numFmtId="0" fontId="5" fillId="0" borderId="0" xfId="0" applyFont="1"/>
    <xf numFmtId="164" fontId="5" fillId="0" borderId="0" xfId="0" applyNumberFormat="1" applyFont="1"/>
    <xf numFmtId="10" fontId="5" fillId="0" borderId="0" xfId="2" applyNumberFormat="1" applyFont="1"/>
    <xf numFmtId="164" fontId="5" fillId="7" borderId="0" xfId="0" applyNumberFormat="1" applyFont="1" applyFill="1"/>
    <xf numFmtId="164" fontId="5" fillId="3" borderId="0" xfId="0" applyNumberFormat="1" applyFont="1" applyFill="1"/>
    <xf numFmtId="43" fontId="5" fillId="0" borderId="0" xfId="1" applyFont="1"/>
    <xf numFmtId="164" fontId="5" fillId="4" borderId="0" xfId="0" applyNumberFormat="1" applyFont="1" applyFill="1"/>
    <xf numFmtId="165" fontId="5" fillId="0" borderId="0" xfId="1" applyNumberFormat="1" applyFont="1"/>
    <xf numFmtId="165" fontId="6" fillId="0" borderId="1" xfId="1" applyNumberFormat="1" applyFont="1" applyFill="1" applyBorder="1"/>
    <xf numFmtId="43" fontId="0" fillId="0" borderId="0" xfId="1" applyFont="1"/>
    <xf numFmtId="164" fontId="0" fillId="0" borderId="0" xfId="0" applyNumberFormat="1"/>
    <xf numFmtId="165" fontId="0" fillId="0" borderId="0" xfId="1" applyNumberFormat="1" applyFont="1"/>
    <xf numFmtId="164" fontId="3" fillId="0" borderId="0" xfId="0" applyNumberFormat="1" applyFont="1"/>
    <xf numFmtId="164" fontId="6" fillId="0" borderId="0" xfId="0" applyNumberFormat="1" applyFont="1"/>
    <xf numFmtId="0" fontId="3" fillId="2" borderId="0" xfId="0" applyFont="1" applyFill="1"/>
    <xf numFmtId="9" fontId="3" fillId="2" borderId="0" xfId="2" applyFont="1" applyFill="1"/>
    <xf numFmtId="165" fontId="0" fillId="8" borderId="0" xfId="1" applyNumberFormat="1" applyFont="1" applyFill="1"/>
    <xf numFmtId="0" fontId="3" fillId="0" borderId="0" xfId="0" applyFont="1"/>
    <xf numFmtId="164" fontId="0" fillId="0" borderId="0" xfId="1" applyNumberFormat="1" applyFont="1"/>
    <xf numFmtId="0" fontId="7" fillId="6" borderId="1" xfId="0" applyFont="1" applyFill="1" applyBorder="1" applyAlignment="1">
      <alignment horizontal="left"/>
    </xf>
    <xf numFmtId="164" fontId="7" fillId="2" borderId="1" xfId="1" applyNumberFormat="1" applyFont="1" applyFill="1" applyBorder="1"/>
    <xf numFmtId="43" fontId="2" fillId="0" borderId="0" xfId="1" applyFont="1"/>
    <xf numFmtId="0" fontId="2" fillId="0" borderId="0" xfId="0" applyFont="1"/>
    <xf numFmtId="9" fontId="0" fillId="0" borderId="0" xfId="2" applyFont="1"/>
    <xf numFmtId="0" fontId="8" fillId="9" borderId="1" xfId="0" applyFont="1" applyFill="1" applyBorder="1" applyAlignment="1">
      <alignment horizontal="left"/>
    </xf>
    <xf numFmtId="164" fontId="7" fillId="9" borderId="1" xfId="1" applyNumberFormat="1" applyFont="1" applyFill="1" applyBorder="1"/>
    <xf numFmtId="0" fontId="0" fillId="6" borderId="1" xfId="0" applyFill="1" applyBorder="1"/>
    <xf numFmtId="164" fontId="2" fillId="6" borderId="1" xfId="1" applyNumberFormat="1" applyFont="1" applyFill="1" applyBorder="1"/>
    <xf numFmtId="164" fontId="0" fillId="6" borderId="1" xfId="0" applyNumberFormat="1" applyFill="1" applyBorder="1"/>
    <xf numFmtId="164" fontId="0" fillId="6" borderId="1" xfId="1" applyNumberFormat="1" applyFont="1" applyFill="1" applyBorder="1"/>
    <xf numFmtId="0" fontId="9" fillId="0" borderId="0" xfId="0" applyFont="1"/>
    <xf numFmtId="164" fontId="7" fillId="6" borderId="1" xfId="1" applyNumberFormat="1" applyFont="1" applyFill="1" applyBorder="1"/>
    <xf numFmtId="166" fontId="0" fillId="9" borderId="0" xfId="0" applyNumberFormat="1" applyFill="1"/>
    <xf numFmtId="0" fontId="3" fillId="8" borderId="1" xfId="0" applyFont="1" applyFill="1" applyBorder="1" applyAlignment="1">
      <alignment horizontal="center" wrapText="1"/>
    </xf>
    <xf numFmtId="164" fontId="3" fillId="8" borderId="1" xfId="0" applyNumberFormat="1" applyFont="1" applyFill="1" applyBorder="1" applyAlignment="1">
      <alignment horizontal="center" wrapText="1"/>
    </xf>
    <xf numFmtId="43" fontId="3" fillId="3" borderId="1" xfId="1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43" fontId="3" fillId="0" borderId="1" xfId="1" applyFont="1" applyBorder="1" applyAlignment="1">
      <alignment horizontal="center" wrapText="1"/>
    </xf>
    <xf numFmtId="43" fontId="3" fillId="7" borderId="1" xfId="1" applyFont="1" applyFill="1" applyBorder="1" applyAlignment="1">
      <alignment horizontal="center" wrapText="1"/>
    </xf>
    <xf numFmtId="0" fontId="0" fillId="0" borderId="1" xfId="0" quotePrefix="1" applyBorder="1"/>
    <xf numFmtId="164" fontId="0" fillId="8" borderId="1" xfId="0" applyNumberFormat="1" applyFill="1" applyBorder="1"/>
    <xf numFmtId="164" fontId="0" fillId="8" borderId="1" xfId="2" applyNumberFormat="1" applyFont="1" applyFill="1" applyBorder="1"/>
    <xf numFmtId="164" fontId="0" fillId="2" borderId="1" xfId="2" applyNumberFormat="1" applyFont="1" applyFill="1" applyBorder="1"/>
    <xf numFmtId="165" fontId="0" fillId="2" borderId="1" xfId="1" applyNumberFormat="1" applyFont="1" applyFill="1" applyBorder="1"/>
    <xf numFmtId="1" fontId="0" fillId="3" borderId="1" xfId="0" applyNumberFormat="1" applyFill="1" applyBorder="1"/>
    <xf numFmtId="43" fontId="0" fillId="3" borderId="1" xfId="1" applyFont="1" applyFill="1" applyBorder="1"/>
    <xf numFmtId="165" fontId="2" fillId="3" borderId="1" xfId="1" applyNumberFormat="1" applyFont="1" applyFill="1" applyBorder="1"/>
    <xf numFmtId="43" fontId="0" fillId="10" borderId="1" xfId="1" applyFont="1" applyFill="1" applyBorder="1"/>
    <xf numFmtId="43" fontId="0" fillId="0" borderId="1" xfId="1" applyFont="1" applyBorder="1"/>
    <xf numFmtId="0" fontId="0" fillId="2" borderId="1" xfId="0" quotePrefix="1" applyFill="1" applyBorder="1"/>
    <xf numFmtId="43" fontId="0" fillId="2" borderId="1" xfId="1" applyFont="1" applyFill="1" applyBorder="1"/>
    <xf numFmtId="165" fontId="2" fillId="2" borderId="1" xfId="1" applyNumberFormat="1" applyFont="1" applyFill="1" applyBorder="1"/>
    <xf numFmtId="0" fontId="0" fillId="2" borderId="0" xfId="0" applyFill="1"/>
    <xf numFmtId="0" fontId="2" fillId="2" borderId="1" xfId="0" applyFont="1" applyFill="1" applyBorder="1"/>
    <xf numFmtId="43" fontId="2" fillId="2" borderId="1" xfId="1" applyFont="1" applyFill="1" applyBorder="1"/>
    <xf numFmtId="164" fontId="2" fillId="2" borderId="1" xfId="0" applyNumberFormat="1" applyFont="1" applyFill="1" applyBorder="1"/>
    <xf numFmtId="43" fontId="0" fillId="2" borderId="0" xfId="1" applyFont="1" applyFill="1"/>
    <xf numFmtId="1" fontId="3" fillId="0" borderId="0" xfId="0" applyNumberFormat="1" applyFont="1"/>
    <xf numFmtId="164" fontId="3" fillId="0" borderId="0" xfId="2" applyNumberFormat="1" applyFont="1"/>
    <xf numFmtId="164" fontId="3" fillId="2" borderId="0" xfId="0" applyNumberFormat="1" applyFont="1" applyFill="1"/>
    <xf numFmtId="164" fontId="0" fillId="3" borderId="0" xfId="0" applyNumberFormat="1" applyFill="1"/>
    <xf numFmtId="1" fontId="0" fillId="3" borderId="0" xfId="0" applyNumberFormat="1" applyFill="1"/>
    <xf numFmtId="43" fontId="0" fillId="3" borderId="0" xfId="1" applyFont="1" applyFill="1"/>
    <xf numFmtId="43" fontId="0" fillId="11" borderId="2" xfId="1" applyFont="1" applyFill="1" applyBorder="1"/>
    <xf numFmtId="43" fontId="0" fillId="11" borderId="0" xfId="1" applyFont="1" applyFill="1" applyBorder="1"/>
    <xf numFmtId="164" fontId="3" fillId="3" borderId="0" xfId="0" applyNumberFormat="1" applyFont="1" applyFill="1"/>
    <xf numFmtId="43" fontId="3" fillId="0" borderId="0" xfId="1" applyFont="1"/>
    <xf numFmtId="1" fontId="0" fillId="0" borderId="0" xfId="0" applyNumberFormat="1"/>
    <xf numFmtId="166" fontId="0" fillId="0" borderId="0" xfId="0" applyNumberFormat="1"/>
    <xf numFmtId="43" fontId="0" fillId="0" borderId="0" xfId="0" applyNumberFormat="1"/>
    <xf numFmtId="164" fontId="0" fillId="0" borderId="0" xfId="0" applyNumberFormat="1" applyAlignment="1">
      <alignment wrapText="1"/>
    </xf>
    <xf numFmtId="43" fontId="0" fillId="0" borderId="0" xfId="1" applyFont="1" applyFill="1"/>
    <xf numFmtId="164" fontId="2" fillId="8" borderId="0" xfId="0" applyNumberFormat="1" applyFont="1" applyFill="1"/>
    <xf numFmtId="164" fontId="0" fillId="2" borderId="0" xfId="0" applyNumberFormat="1" applyFill="1"/>
    <xf numFmtId="164" fontId="0" fillId="7" borderId="0" xfId="0" applyNumberFormat="1" applyFill="1"/>
    <xf numFmtId="0" fontId="2" fillId="8" borderId="0" xfId="0" applyFont="1" applyFill="1"/>
    <xf numFmtId="0" fontId="8" fillId="6" borderId="1" xfId="0" applyFont="1" applyFill="1" applyBorder="1" applyAlignment="1">
      <alignment horizontal="left"/>
    </xf>
    <xf numFmtId="0" fontId="7" fillId="6" borderId="0" xfId="0" applyFont="1" applyFill="1" applyAlignment="1">
      <alignment horizontal="left"/>
    </xf>
    <xf numFmtId="3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s-fsprod1\Budget\School%20Budgets\FY27\Charter%20and%20Partner\FY27%20Initial-%20sent%20to%20charters\FY27%20Setup%20Charter%20and%20Partner-sent%20for%20Initial%20Alloc.xlsm" TargetMode="External"/><Relationship Id="rId1" Type="http://schemas.openxmlformats.org/officeDocument/2006/relationships/externalLinkPath" Target="file:///\\aps-fsprod1\Budget\School%20Budgets\FY27\Charter%20and%20Partner\FY27%20Initial-%20sent%20to%20charters\FY27%20Setup%20Charter%20and%20Partner-sent%20for%20Initial%20Alloc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s-fsprod1\Budget\School%20Budgets\FY27\Charter%20and%20Partner\Copy%20of%20FY27%20BuyBack%20Service.xlsx" TargetMode="External"/><Relationship Id="rId1" Type="http://schemas.openxmlformats.org/officeDocument/2006/relationships/externalLinkPath" Target="file:///\\aps-fsprod1\Budget\School%20Budgets\FY27\Charter%20and%20Partner\Copy%20of%20FY27%20BuyBack%20Servic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s-fsprod1\Budget\School%20Budgets\FY26\Templates\FY2026%20Average%20Salaries.xlsx" TargetMode="External"/><Relationship Id="rId1" Type="http://schemas.openxmlformats.org/officeDocument/2006/relationships/externalLinkPath" Target="file:///\\aps-fsprod1\Budget\School%20Budgets\FY26\Templates\FY2026%20Average%20Salar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2027 Charter final adopt"/>
      <sheetName val="FY2027 Partner final adopt"/>
      <sheetName val="FY2027 Charter GADOE upd"/>
      <sheetName val="FY2027 Partner tentative"/>
      <sheetName val="FY2027 Partner with Carver upd"/>
      <sheetName val="Weighted Ave Partner Midterm"/>
      <sheetName val="Enrollment Proj"/>
      <sheetName val="FY2027 Charter Initial upd"/>
      <sheetName val="FY2027 Charter Initial updated"/>
      <sheetName val="FY2027 Charter Initial tent"/>
      <sheetName val="for Lisa"/>
      <sheetName val="FY2027 Partner draft"/>
      <sheetName val="APPROVED TURNAROUND"/>
      <sheetName val="FY2026 CharterOct"/>
      <sheetName val="FY2027 Partnerdradrl (2)"/>
    </sheetNames>
    <sheetDataSet>
      <sheetData sheetId="0"/>
      <sheetData sheetId="1"/>
      <sheetData sheetId="2"/>
      <sheetData sheetId="3"/>
      <sheetData sheetId="4"/>
      <sheetData sheetId="5">
        <row r="31">
          <cell r="C31">
            <v>48710.400000000001</v>
          </cell>
        </row>
      </sheetData>
      <sheetData sheetId="6">
        <row r="1">
          <cell r="A1" t="str">
            <v>School Code</v>
          </cell>
          <cell r="B1" t="str">
            <v>School Name</v>
          </cell>
          <cell r="C1" t="str">
            <v>FY27 Projection</v>
          </cell>
        </row>
        <row r="2">
          <cell r="A2" t="str">
            <v>0415</v>
          </cell>
          <cell r="B2" t="str">
            <v>Atlanta Classical Academy</v>
          </cell>
          <cell r="C2">
            <v>698</v>
          </cell>
        </row>
        <row r="3">
          <cell r="A3" t="str">
            <v>0505</v>
          </cell>
          <cell r="B3" t="str">
            <v>Atlanta Neighborhood Charter ES</v>
          </cell>
          <cell r="C3">
            <v>396</v>
          </cell>
        </row>
        <row r="4">
          <cell r="A4" t="str">
            <v>0206</v>
          </cell>
          <cell r="B4" t="str">
            <v>Atlanta Neighborhood Charter MS</v>
          </cell>
          <cell r="C4">
            <v>231</v>
          </cell>
        </row>
        <row r="5">
          <cell r="A5" t="str">
            <v>0199</v>
          </cell>
          <cell r="B5" t="str">
            <v>Centennial Academy</v>
          </cell>
          <cell r="C5">
            <v>800</v>
          </cell>
        </row>
        <row r="6">
          <cell r="A6" t="str">
            <v>0201</v>
          </cell>
          <cell r="B6" t="str">
            <v>Drew Charter ES</v>
          </cell>
          <cell r="C6">
            <v>902</v>
          </cell>
        </row>
        <row r="7">
          <cell r="A7" t="str">
            <v>0515</v>
          </cell>
          <cell r="B7" t="str">
            <v>Drew Charter Jr-Sr</v>
          </cell>
          <cell r="C7">
            <v>968</v>
          </cell>
        </row>
        <row r="8">
          <cell r="A8" t="str">
            <v>0123</v>
          </cell>
          <cell r="B8" t="str">
            <v xml:space="preserve">Kindezi School (West) </v>
          </cell>
          <cell r="C8">
            <v>292</v>
          </cell>
        </row>
        <row r="9">
          <cell r="A9" t="str">
            <v>1417</v>
          </cell>
          <cell r="B9" t="str">
            <v>Kindezi Old Fourth Ward</v>
          </cell>
          <cell r="C9">
            <v>285</v>
          </cell>
        </row>
        <row r="10">
          <cell r="A10" t="str">
            <v>0212</v>
          </cell>
          <cell r="B10" t="str">
            <v>KIPP Atlanta Collegiate</v>
          </cell>
          <cell r="C10">
            <v>925</v>
          </cell>
        </row>
        <row r="11">
          <cell r="A11" t="str">
            <v>1419</v>
          </cell>
          <cell r="B11" t="str">
            <v>KIPP Soul Primary</v>
          </cell>
          <cell r="C11">
            <v>0</v>
          </cell>
        </row>
        <row r="12">
          <cell r="A12" t="str">
            <v>1422</v>
          </cell>
          <cell r="B12" t="str">
            <v>KIPP Soul Academy</v>
          </cell>
          <cell r="C12">
            <v>0</v>
          </cell>
        </row>
        <row r="13">
          <cell r="A13" t="str">
            <v>0115</v>
          </cell>
          <cell r="B13" t="str">
            <v xml:space="preserve">KIPP Strive Academy  </v>
          </cell>
          <cell r="C13">
            <v>316</v>
          </cell>
        </row>
        <row r="14">
          <cell r="A14" t="str">
            <v>0213</v>
          </cell>
          <cell r="B14" t="str">
            <v xml:space="preserve">KIPP Strive Primary  </v>
          </cell>
          <cell r="C14">
            <v>617</v>
          </cell>
        </row>
        <row r="15">
          <cell r="A15" t="str">
            <v>0122</v>
          </cell>
          <cell r="B15" t="str">
            <v xml:space="preserve">KIPP Vision Academy  </v>
          </cell>
          <cell r="C15">
            <v>306</v>
          </cell>
        </row>
        <row r="16">
          <cell r="A16" t="str">
            <v>0214</v>
          </cell>
          <cell r="B16" t="str">
            <v xml:space="preserve">KIPP Vision Primary  </v>
          </cell>
          <cell r="C16">
            <v>533</v>
          </cell>
        </row>
        <row r="17">
          <cell r="A17" t="str">
            <v>0605</v>
          </cell>
          <cell r="B17" t="str">
            <v xml:space="preserve">KIPP Ways Academy  </v>
          </cell>
          <cell r="C17">
            <v>277</v>
          </cell>
        </row>
        <row r="18">
          <cell r="A18" t="str">
            <v>0215</v>
          </cell>
          <cell r="B18" t="str">
            <v xml:space="preserve">KIPP Ways Primary </v>
          </cell>
          <cell r="C18">
            <v>512</v>
          </cell>
        </row>
        <row r="19">
          <cell r="A19" t="str">
            <v>1208</v>
          </cell>
          <cell r="B19" t="str">
            <v>Wesley International Academy</v>
          </cell>
          <cell r="C19">
            <v>824</v>
          </cell>
        </row>
        <row r="20">
          <cell r="A20" t="str">
            <v>0314</v>
          </cell>
          <cell r="B20" t="str">
            <v xml:space="preserve">Westside Charter </v>
          </cell>
          <cell r="C20">
            <v>346</v>
          </cell>
        </row>
        <row r="21">
          <cell r="C21">
            <v>9228</v>
          </cell>
        </row>
        <row r="23">
          <cell r="A23" t="str">
            <v>Use enrollment proj for charters</v>
          </cell>
        </row>
        <row r="24">
          <cell r="A24" t="str">
            <v>Use midterm FTE for partners</v>
          </cell>
        </row>
      </sheetData>
      <sheetData sheetId="7"/>
      <sheetData sheetId="8"/>
      <sheetData sheetId="9"/>
      <sheetData sheetId="10"/>
      <sheetData sheetId="11"/>
      <sheetData sheetId="12">
        <row r="20">
          <cell r="D20">
            <v>9822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27 Budgets"/>
      <sheetName val="Copy"/>
    </sheetNames>
    <sheetDataSet>
      <sheetData sheetId="0" refreshError="1"/>
      <sheetData sheetId="1">
        <row r="1">
          <cell r="A1" t="str">
            <v>School Code</v>
          </cell>
          <cell r="B1" t="str">
            <v>School Name</v>
          </cell>
          <cell r="C1" t="str">
            <v>Internet &amp; Network Support</v>
          </cell>
          <cell r="D1" t="str">
            <v>MDF/IDF Environmental Services/Support</v>
          </cell>
          <cell r="E1" t="str">
            <v>AVA - High School Felx</v>
          </cell>
          <cell r="F1" t="str">
            <v>AVA - Middle Grades</v>
          </cell>
          <cell r="G1" t="str">
            <v>Digital Assessment Strategies and Tools</v>
          </cell>
          <cell r="H1" t="str">
            <v>Professional Learning Services</v>
          </cell>
          <cell r="I1" t="str">
            <v>School Improvement Planning</v>
          </cell>
          <cell r="J1" t="str">
            <v>Tools/Resources (Semantic Web)</v>
          </cell>
          <cell r="L1" t="str">
            <v>Emergency Management Services</v>
          </cell>
          <cell r="M1" t="str">
            <v>School Safety Monitors</v>
          </cell>
          <cell r="N1" t="str">
            <v>School Police</v>
          </cell>
          <cell r="O1" t="str">
            <v>Supplemental Bus Service</v>
          </cell>
          <cell r="P1" t="str">
            <v>Bus Monitor Training</v>
          </cell>
          <cell r="Q1" t="str">
            <v>School Bus Driver Safety Program/CDL Instruction</v>
          </cell>
          <cell r="R1" t="str">
            <v>Move Service Update</v>
          </cell>
          <cell r="S1" t="str">
            <v>Sociol Emotional Learning Training</v>
          </cell>
          <cell r="T1" t="str">
            <v>Gifted Assessment Portal Access</v>
          </cell>
          <cell r="U1" t="str">
            <v>All Risk Insurance</v>
          </cell>
        </row>
        <row r="2">
          <cell r="A2" t="str">
            <v>0415</v>
          </cell>
          <cell r="B2" t="str">
            <v>Atlanta Classical Academy</v>
          </cell>
          <cell r="E2">
            <v>5000</v>
          </cell>
          <cell r="N2">
            <v>125000</v>
          </cell>
        </row>
        <row r="3">
          <cell r="A3" t="str">
            <v>0505</v>
          </cell>
          <cell r="B3" t="str">
            <v>Atlanta Neighborhood Charter ES</v>
          </cell>
          <cell r="L3">
            <v>500</v>
          </cell>
          <cell r="M3">
            <v>4000</v>
          </cell>
          <cell r="N3">
            <v>125000</v>
          </cell>
          <cell r="O3">
            <v>5000</v>
          </cell>
          <cell r="U3">
            <v>9342.18</v>
          </cell>
        </row>
        <row r="4">
          <cell r="A4" t="str">
            <v>0206</v>
          </cell>
          <cell r="B4" t="str">
            <v>Atlanta Neighborhood Charter MS</v>
          </cell>
          <cell r="L4">
            <v>500</v>
          </cell>
          <cell r="M4">
            <v>4000</v>
          </cell>
          <cell r="N4">
            <v>125000</v>
          </cell>
          <cell r="O4">
            <v>5000</v>
          </cell>
        </row>
        <row r="5">
          <cell r="A5" t="str">
            <v>0199</v>
          </cell>
          <cell r="B5" t="str">
            <v>Centennial Academy</v>
          </cell>
          <cell r="C5">
            <v>8962.56</v>
          </cell>
          <cell r="D5">
            <v>1000</v>
          </cell>
          <cell r="N5">
            <v>125000</v>
          </cell>
          <cell r="O5">
            <v>10000</v>
          </cell>
          <cell r="U5">
            <v>14145.26</v>
          </cell>
        </row>
        <row r="6">
          <cell r="A6" t="str">
            <v>0201</v>
          </cell>
          <cell r="B6" t="str">
            <v>Drew Charter ES</v>
          </cell>
          <cell r="N6">
            <v>125000</v>
          </cell>
          <cell r="O6">
            <v>1000</v>
          </cell>
        </row>
        <row r="7">
          <cell r="A7" t="str">
            <v>0515</v>
          </cell>
          <cell r="B7" t="str">
            <v>Drew Charter J/S</v>
          </cell>
          <cell r="E7">
            <v>3000</v>
          </cell>
          <cell r="H7">
            <v>500</v>
          </cell>
          <cell r="N7">
            <v>375000</v>
          </cell>
          <cell r="O7">
            <v>2000</v>
          </cell>
        </row>
        <row r="8">
          <cell r="A8" t="str">
            <v>0123</v>
          </cell>
          <cell r="B8" t="str">
            <v xml:space="preserve">Kindezi School (West) </v>
          </cell>
          <cell r="C8">
            <v>8962.56</v>
          </cell>
          <cell r="H8">
            <v>500</v>
          </cell>
          <cell r="N8">
            <v>125000</v>
          </cell>
          <cell r="O8">
            <v>10000</v>
          </cell>
          <cell r="R8">
            <v>200</v>
          </cell>
        </row>
        <row r="9">
          <cell r="A9" t="str">
            <v>1417</v>
          </cell>
          <cell r="B9" t="str">
            <v>Kindezi Old Fourth Ward</v>
          </cell>
          <cell r="C9">
            <v>8962.56</v>
          </cell>
          <cell r="N9">
            <v>125000</v>
          </cell>
          <cell r="O9">
            <v>10000</v>
          </cell>
          <cell r="R9">
            <v>200</v>
          </cell>
        </row>
        <row r="10">
          <cell r="A10" t="str">
            <v>0212</v>
          </cell>
          <cell r="B10" t="str">
            <v>KIPP Atlanta Collegiate</v>
          </cell>
          <cell r="E10">
            <v>5000</v>
          </cell>
          <cell r="M10">
            <v>5000</v>
          </cell>
          <cell r="O10">
            <v>5000</v>
          </cell>
          <cell r="R10">
            <v>200</v>
          </cell>
        </row>
        <row r="11">
          <cell r="A11" t="str">
            <v>0115</v>
          </cell>
          <cell r="B11" t="str">
            <v xml:space="preserve">KIPP Strive Academy  </v>
          </cell>
          <cell r="M11">
            <v>3000</v>
          </cell>
          <cell r="O11">
            <v>2000</v>
          </cell>
          <cell r="R11">
            <v>200</v>
          </cell>
        </row>
        <row r="12">
          <cell r="A12" t="str">
            <v>0213</v>
          </cell>
          <cell r="B12" t="str">
            <v xml:space="preserve">KIPP Strive Primary  </v>
          </cell>
          <cell r="M12">
            <v>3000</v>
          </cell>
          <cell r="O12">
            <v>2000</v>
          </cell>
          <cell r="R12">
            <v>200</v>
          </cell>
        </row>
        <row r="13">
          <cell r="A13" t="str">
            <v>0122</v>
          </cell>
          <cell r="B13" t="str">
            <v xml:space="preserve">KIPP Vision Academy  </v>
          </cell>
          <cell r="M13">
            <v>3000</v>
          </cell>
          <cell r="O13">
            <v>2000</v>
          </cell>
          <cell r="R13">
            <v>200</v>
          </cell>
        </row>
        <row r="14">
          <cell r="A14" t="str">
            <v>0214</v>
          </cell>
          <cell r="B14" t="str">
            <v xml:space="preserve">KIPP Vision Primary  </v>
          </cell>
          <cell r="M14">
            <v>3000</v>
          </cell>
          <cell r="O14">
            <v>2000</v>
          </cell>
          <cell r="R14">
            <v>200</v>
          </cell>
        </row>
        <row r="15">
          <cell r="A15" t="str">
            <v>0605</v>
          </cell>
          <cell r="B15" t="str">
            <v xml:space="preserve">KIPP Ways Academy  </v>
          </cell>
          <cell r="M15">
            <v>3000</v>
          </cell>
          <cell r="O15">
            <v>2000</v>
          </cell>
          <cell r="R15">
            <v>200</v>
          </cell>
          <cell r="U15">
            <v>18419.5</v>
          </cell>
        </row>
        <row r="16">
          <cell r="A16" t="str">
            <v>0215</v>
          </cell>
          <cell r="B16" t="str">
            <v xml:space="preserve">KIPP Ways Primary </v>
          </cell>
          <cell r="M16">
            <v>3000</v>
          </cell>
          <cell r="O16">
            <v>2000</v>
          </cell>
          <cell r="R16">
            <v>200</v>
          </cell>
        </row>
        <row r="17">
          <cell r="A17" t="str">
            <v>1208</v>
          </cell>
          <cell r="B17" t="str">
            <v>Wesley International Academy</v>
          </cell>
          <cell r="L17">
            <v>500</v>
          </cell>
          <cell r="M17">
            <v>5000</v>
          </cell>
          <cell r="N17">
            <v>125000</v>
          </cell>
          <cell r="O17">
            <v>10000</v>
          </cell>
        </row>
        <row r="18">
          <cell r="A18" t="str">
            <v>0314</v>
          </cell>
          <cell r="B18" t="str">
            <v xml:space="preserve">Westside Charter </v>
          </cell>
          <cell r="C18">
            <v>8962.56</v>
          </cell>
          <cell r="O18">
            <v>10000</v>
          </cell>
          <cell r="U18">
            <v>57674.96</v>
          </cell>
        </row>
        <row r="19">
          <cell r="A19" t="str">
            <v>2560</v>
          </cell>
          <cell r="B19" t="str">
            <v>Gideons Elementary</v>
          </cell>
          <cell r="C19">
            <v>1805</v>
          </cell>
          <cell r="H19">
            <v>500</v>
          </cell>
          <cell r="N19">
            <v>125000</v>
          </cell>
          <cell r="O19">
            <v>10000</v>
          </cell>
          <cell r="R19">
            <v>200</v>
          </cell>
          <cell r="U19">
            <v>17498.34</v>
          </cell>
        </row>
        <row r="20">
          <cell r="A20" t="str">
            <v>0288</v>
          </cell>
          <cell r="B20" t="str">
            <v xml:space="preserve">Price Middle  </v>
          </cell>
          <cell r="C20">
            <v>1805</v>
          </cell>
          <cell r="F20">
            <v>2000</v>
          </cell>
          <cell r="N20">
            <v>125000</v>
          </cell>
          <cell r="U20">
            <v>37023.43</v>
          </cell>
        </row>
        <row r="21">
          <cell r="A21" t="str">
            <v>4066</v>
          </cell>
          <cell r="B21" t="str">
            <v>Slater Elementary</v>
          </cell>
          <cell r="C21">
            <v>1805</v>
          </cell>
          <cell r="M21">
            <v>5000</v>
          </cell>
          <cell r="N21">
            <v>125000</v>
          </cell>
          <cell r="U21">
            <v>17337.47</v>
          </cell>
        </row>
        <row r="22">
          <cell r="A22" t="str">
            <v>1413</v>
          </cell>
          <cell r="B22" t="str">
            <v>Carver HS</v>
          </cell>
          <cell r="C22">
            <v>1805</v>
          </cell>
          <cell r="E22">
            <v>25000</v>
          </cell>
          <cell r="N22">
            <v>250000</v>
          </cell>
          <cell r="U22">
            <v>18637.73</v>
          </cell>
        </row>
        <row r="23">
          <cell r="A23" t="str">
            <v>1415</v>
          </cell>
          <cell r="B23" t="str">
            <v xml:space="preserve">Woodson Park </v>
          </cell>
          <cell r="C23">
            <v>1805</v>
          </cell>
          <cell r="F23">
            <v>5000</v>
          </cell>
          <cell r="M23">
            <v>6000</v>
          </cell>
          <cell r="O23">
            <v>4000</v>
          </cell>
          <cell r="R23">
            <v>200</v>
          </cell>
        </row>
        <row r="24">
          <cell r="A24">
            <v>1</v>
          </cell>
          <cell r="B24">
            <v>2</v>
          </cell>
          <cell r="C24">
            <v>3</v>
          </cell>
          <cell r="D24">
            <v>4</v>
          </cell>
          <cell r="E24">
            <v>5</v>
          </cell>
          <cell r="F24">
            <v>6</v>
          </cell>
          <cell r="G24">
            <v>7</v>
          </cell>
          <cell r="H24">
            <v>8</v>
          </cell>
          <cell r="I24">
            <v>9</v>
          </cell>
          <cell r="J24">
            <v>10</v>
          </cell>
          <cell r="K24">
            <v>11</v>
          </cell>
          <cell r="L24">
            <v>12</v>
          </cell>
          <cell r="M24">
            <v>13</v>
          </cell>
          <cell r="N24">
            <v>14</v>
          </cell>
          <cell r="O24">
            <v>15</v>
          </cell>
          <cell r="P24">
            <v>16</v>
          </cell>
          <cell r="Q24">
            <v>17</v>
          </cell>
          <cell r="R24">
            <v>18</v>
          </cell>
          <cell r="S24">
            <v>19</v>
          </cell>
          <cell r="T24">
            <v>20</v>
          </cell>
          <cell r="U24">
            <v>21</v>
          </cell>
        </row>
        <row r="25">
          <cell r="A25" t="str">
            <v>Note</v>
          </cell>
          <cell r="B25" t="str">
            <v>Include Carver Utilities: $210,000 and Maintenance and Repair $333,345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erage Salaries"/>
      <sheetName val="Benefits"/>
      <sheetName val="Variance Report 11.13"/>
    </sheetNames>
    <sheetDataSet>
      <sheetData sheetId="0">
        <row r="1">
          <cell r="A1" t="str">
            <v>FY2026 Average Salaries</v>
          </cell>
        </row>
        <row r="31">
          <cell r="K31">
            <v>149750.98538873281</v>
          </cell>
        </row>
        <row r="41">
          <cell r="K41">
            <v>110180.1024023324</v>
          </cell>
        </row>
        <row r="46">
          <cell r="K46">
            <v>126217.57216332885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u, Kathleen" id="{EFFE2EC1-BDB2-47D9-B983-D89D44442251}" userId="S::Kathleen.Lu@apsk12.org::4a334ebb-d7ae-400f-8403-4dd2a44bd24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9" dT="2025-05-07T14:36:47.88" personId="{EFFE2EC1-BDB2-47D9-B983-D89D44442251}" id="{6D505B1E-3DC8-4A83-8320-B7F32F9B46DD}">
    <text>Other local fed reimb cost multiply by 20%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" dT="2026-05-28T14:04:54.32" personId="{EFFE2EC1-BDB2-47D9-B983-D89D44442251}" id="{51999BE9-46A8-43B2-A2A2-C69A3EF1B799}">
    <text xml:space="preserve">569 per contract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DA64-C07E-4E8C-ADD0-584337A5003E}">
  <sheetPr>
    <tabColor rgb="FFFFFF00"/>
    <pageSetUpPr fitToPage="1"/>
  </sheetPr>
  <dimension ref="A1:AS43"/>
  <sheetViews>
    <sheetView tabSelected="1" zoomScale="90" zoomScaleNormal="90" workbookViewId="0">
      <pane xSplit="2" ySplit="1" topLeftCell="C2" activePane="bottomRight" state="frozen"/>
      <selection activeCell="D25" sqref="D25"/>
      <selection pane="topRight" activeCell="D25" sqref="D25"/>
      <selection pane="bottomLeft" activeCell="D25" sqref="D25"/>
      <selection pane="bottomRight" activeCell="K31" sqref="K31"/>
    </sheetView>
  </sheetViews>
  <sheetFormatPr defaultRowHeight="15" x14ac:dyDescent="0.25"/>
  <cols>
    <col min="1" max="1" width="21.85546875" customWidth="1"/>
    <col min="2" max="2" width="37.85546875" customWidth="1"/>
    <col min="3" max="3" width="13.85546875" bestFit="1" customWidth="1"/>
    <col min="4" max="4" width="21.42578125" customWidth="1"/>
    <col min="5" max="5" width="17.42578125" customWidth="1"/>
    <col min="6" max="6" width="18.85546875" style="33" customWidth="1"/>
    <col min="7" max="7" width="15.85546875" style="33" customWidth="1"/>
    <col min="8" max="8" width="18.42578125" style="33" customWidth="1"/>
    <col min="9" max="9" width="1.7109375" style="33" hidden="1" customWidth="1"/>
    <col min="10" max="13" width="15.85546875" style="33" customWidth="1"/>
    <col min="14" max="14" width="26.7109375" style="33" customWidth="1"/>
    <col min="15" max="15" width="10.85546875" style="33" hidden="1" customWidth="1"/>
    <col min="16" max="16" width="7.5703125" hidden="1" customWidth="1"/>
    <col min="17" max="22" width="8.7109375" hidden="1" customWidth="1"/>
    <col min="23" max="23" width="2.42578125" hidden="1" customWidth="1"/>
    <col min="24" max="24" width="19.85546875" customWidth="1"/>
    <col min="25" max="25" width="22.85546875" customWidth="1"/>
    <col min="26" max="26" width="25" customWidth="1"/>
    <col min="27" max="27" width="17.140625" style="34" customWidth="1"/>
    <col min="28" max="28" width="17.42578125" style="34" customWidth="1"/>
    <col min="29" max="29" width="11.7109375" style="34" customWidth="1"/>
    <col min="30" max="30" width="9.140625" style="34" customWidth="1"/>
    <col min="31" max="31" width="11.5703125" style="34" customWidth="1"/>
    <col min="32" max="32" width="12" style="34" customWidth="1"/>
    <col min="33" max="33" width="14" style="34" customWidth="1"/>
    <col min="34" max="34" width="13.28515625" style="34" customWidth="1"/>
    <col min="35" max="35" width="13.140625" style="34" customWidth="1"/>
    <col min="36" max="36" width="14.85546875" style="34" customWidth="1"/>
    <col min="37" max="37" width="14.7109375" style="34" customWidth="1"/>
    <col min="38" max="38" width="16" style="34" customWidth="1"/>
    <col min="39" max="39" width="15" style="34" customWidth="1"/>
    <col min="40" max="40" width="11.42578125" style="34" customWidth="1"/>
    <col min="41" max="44" width="9.140625" style="34" customWidth="1"/>
    <col min="45" max="45" width="15" style="34" customWidth="1"/>
  </cols>
  <sheetData>
    <row r="1" spans="1:45" s="11" customFormat="1" ht="94.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/>
      <c r="J1" s="3" t="s">
        <v>8</v>
      </c>
      <c r="K1" s="3" t="s">
        <v>9</v>
      </c>
      <c r="L1" s="3" t="s">
        <v>10</v>
      </c>
      <c r="M1" s="3" t="s">
        <v>11</v>
      </c>
      <c r="N1" s="4" t="s">
        <v>12</v>
      </c>
      <c r="O1" s="5"/>
      <c r="P1" s="1"/>
      <c r="Q1" s="5"/>
      <c r="R1" s="1"/>
      <c r="S1" s="5"/>
      <c r="T1" s="1"/>
      <c r="U1" s="5"/>
      <c r="V1" s="5"/>
      <c r="W1" s="5"/>
      <c r="X1" s="6" t="s">
        <v>13</v>
      </c>
      <c r="Y1" s="7" t="s">
        <v>14</v>
      </c>
      <c r="Z1" s="1" t="s">
        <v>15</v>
      </c>
      <c r="AA1" s="8" t="s">
        <v>16</v>
      </c>
      <c r="AB1" s="8" t="s">
        <v>17</v>
      </c>
      <c r="AC1" s="8" t="s">
        <v>18</v>
      </c>
      <c r="AD1" s="8" t="s">
        <v>19</v>
      </c>
      <c r="AE1" s="8" t="s">
        <v>20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9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8" t="s">
        <v>31</v>
      </c>
      <c r="AQ1" s="8" t="s">
        <v>32</v>
      </c>
      <c r="AR1" s="8" t="s">
        <v>33</v>
      </c>
      <c r="AS1" s="10" t="s">
        <v>34</v>
      </c>
    </row>
    <row r="2" spans="1:45" x14ac:dyDescent="0.25">
      <c r="A2" s="12" t="s">
        <v>35</v>
      </c>
      <c r="B2" s="12" t="s">
        <v>36</v>
      </c>
      <c r="C2" s="13">
        <f>VLOOKUP(A2,'[1]Enrollment Proj'!A:C,3,0)</f>
        <v>698</v>
      </c>
      <c r="D2" s="14">
        <v>3402891</v>
      </c>
      <c r="E2" s="15">
        <f t="shared" ref="E2:E19" si="0">+D2/$B$36</f>
        <v>1.3241461496528651E-2</v>
      </c>
      <c r="F2" s="16">
        <f t="shared" ref="F2:F18" si="1">+E2*$B$31</f>
        <v>13380910.074323867</v>
      </c>
      <c r="G2" s="16">
        <f>+F2+D2</f>
        <v>16783801.074323867</v>
      </c>
      <c r="H2" s="16">
        <f>+G2*-0.02</f>
        <v>-335676.02148647734</v>
      </c>
      <c r="I2" s="16"/>
      <c r="J2" s="16">
        <f>+SUM(G2:I2)</f>
        <v>16448125.052837389</v>
      </c>
      <c r="K2" s="16">
        <f t="shared" ref="K2:K18" si="2">+$B$37*E2</f>
        <v>16126.815681006734</v>
      </c>
      <c r="L2" s="16">
        <f t="shared" ref="L2:L18" si="3">+$B$38*E2</f>
        <v>88041.77569295968</v>
      </c>
      <c r="M2" s="16">
        <f t="shared" ref="M2:M18" si="4">$C$39*C2</f>
        <v>93079.600996965761</v>
      </c>
      <c r="N2" s="17">
        <f>+SUM(J2:M2)</f>
        <v>16645373.245208321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4">
        <f t="shared" ref="X2:X18" si="5">+N2-AS2</f>
        <v>16515373.245208321</v>
      </c>
      <c r="Y2" s="19">
        <f>+X2/10</f>
        <v>1651537.3245208322</v>
      </c>
      <c r="Z2" s="20">
        <f>N2/C2</f>
        <v>23847.239606315645</v>
      </c>
      <c r="AA2" s="21">
        <f>VLOOKUP($A2,[2]Copy!$A:$C,3,0)</f>
        <v>0</v>
      </c>
      <c r="AB2" s="21">
        <f>VLOOKUP($A2,[2]Copy!$A:$U,4,0)</f>
        <v>0</v>
      </c>
      <c r="AC2" s="21">
        <f>VLOOKUP($A2,[2]Copy!$A:$U,5,0)</f>
        <v>5000</v>
      </c>
      <c r="AD2" s="21">
        <f>VLOOKUP($A2,[2]Copy!$A:$U,6,0)</f>
        <v>0</v>
      </c>
      <c r="AE2" s="21">
        <f>VLOOKUP($A2,[2]Copy!$A:$U,7,0)</f>
        <v>0</v>
      </c>
      <c r="AF2" s="21">
        <f>VLOOKUP($A2,[2]Copy!$A:$U,8,0)</f>
        <v>0</v>
      </c>
      <c r="AG2" s="21">
        <f>VLOOKUP($A2,[2]Copy!$A:$U,9,0)</f>
        <v>0</v>
      </c>
      <c r="AH2" s="21">
        <f>VLOOKUP($A2,[2]Copy!$A:$U,10,0)</f>
        <v>0</v>
      </c>
      <c r="AI2" s="21">
        <f>VLOOKUP($A2,[2]Copy!$A:$U,21,0)</f>
        <v>0</v>
      </c>
      <c r="AJ2" s="21">
        <f>VLOOKUP($A2,[2]Copy!$A:$U,12,0)</f>
        <v>0</v>
      </c>
      <c r="AK2" s="21">
        <f>VLOOKUP($A2,[2]Copy!$A:$U,13,0)</f>
        <v>0</v>
      </c>
      <c r="AL2" s="21">
        <f>VLOOKUP($A2,[2]Copy!$A:$U,14,0)</f>
        <v>125000</v>
      </c>
      <c r="AM2" s="21">
        <f>VLOOKUP($A2,[2]Copy!$A:$U,15,0)</f>
        <v>0</v>
      </c>
      <c r="AN2" s="21">
        <f>VLOOKUP($A2,[2]Copy!$A:$U,16,0)</f>
        <v>0</v>
      </c>
      <c r="AO2" s="21">
        <f>VLOOKUP($A2,[2]Copy!$A:$U,17,0)</f>
        <v>0</v>
      </c>
      <c r="AP2" s="21">
        <f>VLOOKUP($A2,[2]Copy!$A:$U,18,0)</f>
        <v>0</v>
      </c>
      <c r="AQ2" s="21">
        <f>VLOOKUP($A2,[2]Copy!$A:$U,19,0)</f>
        <v>0</v>
      </c>
      <c r="AR2" s="21">
        <f>VLOOKUP($A2,[2]Copy!$A:$U,20,0)</f>
        <v>0</v>
      </c>
      <c r="AS2" s="22">
        <f t="shared" ref="AS2:AS18" si="6">SUM(AA2:AR2)</f>
        <v>130000</v>
      </c>
    </row>
    <row r="3" spans="1:45" x14ac:dyDescent="0.25">
      <c r="A3" s="12" t="s">
        <v>37</v>
      </c>
      <c r="B3" s="12" t="s">
        <v>38</v>
      </c>
      <c r="C3" s="13">
        <f>VLOOKUP(A3,'[1]Enrollment Proj'!A:C,3,0)</f>
        <v>396</v>
      </c>
      <c r="D3" s="14">
        <v>2376563</v>
      </c>
      <c r="E3" s="15">
        <f t="shared" si="0"/>
        <v>9.2477741598466189E-3</v>
      </c>
      <c r="F3" s="16">
        <f t="shared" si="1"/>
        <v>9345164.3878588378</v>
      </c>
      <c r="G3" s="16">
        <f t="shared" ref="G3:G18" si="7">+F3+D3</f>
        <v>11721727.387858838</v>
      </c>
      <c r="H3" s="16">
        <f>+G3*-0.02</f>
        <v>-234434.54775717677</v>
      </c>
      <c r="I3" s="16"/>
      <c r="J3" s="16">
        <f t="shared" ref="J3:J18" si="8">+SUM(G3:I3)</f>
        <v>11487292.840101661</v>
      </c>
      <c r="K3" s="16">
        <f t="shared" si="2"/>
        <v>11262.891892599677</v>
      </c>
      <c r="L3" s="16">
        <f t="shared" si="3"/>
        <v>61487.960256789695</v>
      </c>
      <c r="M3" s="16">
        <f t="shared" si="4"/>
        <v>52807.338101430432</v>
      </c>
      <c r="N3" s="17">
        <f t="shared" ref="N3:N18" si="9">+SUM(J3:M3)</f>
        <v>11612851.030352479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4">
        <f t="shared" si="5"/>
        <v>11469008.850352479</v>
      </c>
      <c r="Y3" s="19">
        <f t="shared" ref="Y3:Y18" si="10">+X3/10</f>
        <v>1146900.885035248</v>
      </c>
      <c r="Z3" s="20">
        <f t="shared" ref="Z3:Z18" si="11">N3/C3</f>
        <v>29325.381389778988</v>
      </c>
      <c r="AA3" s="21">
        <f>VLOOKUP($A3,[2]Copy!$A:$C,3,0)</f>
        <v>0</v>
      </c>
      <c r="AB3" s="21">
        <f>VLOOKUP($A3,[2]Copy!$A:$U,4,0)</f>
        <v>0</v>
      </c>
      <c r="AC3" s="21">
        <f>VLOOKUP($A3,[2]Copy!$A:$U,5,0)</f>
        <v>0</v>
      </c>
      <c r="AD3" s="21">
        <f>VLOOKUP($A3,[2]Copy!$A:$U,6,0)</f>
        <v>0</v>
      </c>
      <c r="AE3" s="21">
        <f>VLOOKUP($A3,[2]Copy!$A:$U,7,0)</f>
        <v>0</v>
      </c>
      <c r="AF3" s="21">
        <f>VLOOKUP($A3,[2]Copy!$A:$U,8,0)</f>
        <v>0</v>
      </c>
      <c r="AG3" s="21">
        <f>VLOOKUP($A3,[2]Copy!$A:$U,9,0)</f>
        <v>0</v>
      </c>
      <c r="AH3" s="21">
        <f>VLOOKUP($A3,[2]Copy!$A:$U,10,0)</f>
        <v>0</v>
      </c>
      <c r="AI3" s="21">
        <f>VLOOKUP($A3,[2]Copy!$A:$U,21,0)</f>
        <v>9342.18</v>
      </c>
      <c r="AJ3" s="21">
        <f>VLOOKUP($A3,[2]Copy!$A:$U,12,0)</f>
        <v>500</v>
      </c>
      <c r="AK3" s="21">
        <f>VLOOKUP($A3,[2]Copy!$A:$U,13,0)</f>
        <v>4000</v>
      </c>
      <c r="AL3" s="21">
        <f>VLOOKUP($A3,[2]Copy!$A:$U,14,0)</f>
        <v>125000</v>
      </c>
      <c r="AM3" s="21">
        <f>VLOOKUP($A3,[2]Copy!$A:$U,15,0)</f>
        <v>5000</v>
      </c>
      <c r="AN3" s="21">
        <f>VLOOKUP($A3,[2]Copy!$A:$U,16,0)</f>
        <v>0</v>
      </c>
      <c r="AO3" s="21">
        <f>VLOOKUP($A3,[2]Copy!$A:$U,17,0)</f>
        <v>0</v>
      </c>
      <c r="AP3" s="21">
        <f>VLOOKUP($A3,[2]Copy!$A:$U,18,0)</f>
        <v>0</v>
      </c>
      <c r="AQ3" s="21">
        <f>VLOOKUP($A3,[2]Copy!$A:$U,19,0)</f>
        <v>0</v>
      </c>
      <c r="AR3" s="21">
        <f>VLOOKUP($A3,[2]Copy!$A:$U,20,0)</f>
        <v>0</v>
      </c>
      <c r="AS3" s="22">
        <f t="shared" si="6"/>
        <v>143842.18</v>
      </c>
    </row>
    <row r="4" spans="1:45" x14ac:dyDescent="0.25">
      <c r="A4" s="12" t="s">
        <v>39</v>
      </c>
      <c r="B4" s="12" t="s">
        <v>40</v>
      </c>
      <c r="C4" s="13">
        <f>VLOOKUP(A4,'[1]Enrollment Proj'!A:C,3,0)</f>
        <v>231</v>
      </c>
      <c r="D4" s="14">
        <v>1449689</v>
      </c>
      <c r="E4" s="15">
        <f t="shared" si="0"/>
        <v>5.6410860869305314E-3</v>
      </c>
      <c r="F4" s="16">
        <f t="shared" si="1"/>
        <v>5700493.5346846227</v>
      </c>
      <c r="G4" s="16">
        <f t="shared" si="7"/>
        <v>7150182.5346846227</v>
      </c>
      <c r="H4" s="16">
        <f t="shared" ref="H4:H18" si="12">+G4*-0.02</f>
        <v>-143003.65069369247</v>
      </c>
      <c r="I4" s="16"/>
      <c r="J4" s="16">
        <f t="shared" si="8"/>
        <v>7007178.8839909304</v>
      </c>
      <c r="K4" s="16">
        <f t="shared" si="2"/>
        <v>6870.2956685309546</v>
      </c>
      <c r="L4" s="16">
        <f t="shared" si="3"/>
        <v>37507.282414438494</v>
      </c>
      <c r="M4" s="16">
        <f t="shared" si="4"/>
        <v>30804.28055916775</v>
      </c>
      <c r="N4" s="17">
        <f t="shared" si="9"/>
        <v>7082360.742633068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4">
        <f t="shared" si="5"/>
        <v>6947860.742633068</v>
      </c>
      <c r="Y4" s="19">
        <f t="shared" si="10"/>
        <v>694786.0742633068</v>
      </c>
      <c r="Z4" s="20">
        <f t="shared" si="11"/>
        <v>30659.570314428867</v>
      </c>
      <c r="AA4" s="21">
        <f>VLOOKUP($A4,[2]Copy!$A:$C,3,0)</f>
        <v>0</v>
      </c>
      <c r="AB4" s="21">
        <f>VLOOKUP($A4,[2]Copy!$A:$U,4,0)</f>
        <v>0</v>
      </c>
      <c r="AC4" s="21">
        <f>VLOOKUP($A4,[2]Copy!$A:$U,5,0)</f>
        <v>0</v>
      </c>
      <c r="AD4" s="21">
        <f>VLOOKUP($A4,[2]Copy!$A:$U,6,0)</f>
        <v>0</v>
      </c>
      <c r="AE4" s="21">
        <f>VLOOKUP($A4,[2]Copy!$A:$U,7,0)</f>
        <v>0</v>
      </c>
      <c r="AF4" s="21">
        <f>VLOOKUP($A4,[2]Copy!$A:$U,8,0)</f>
        <v>0</v>
      </c>
      <c r="AG4" s="21">
        <f>VLOOKUP($A4,[2]Copy!$A:$U,9,0)</f>
        <v>0</v>
      </c>
      <c r="AH4" s="21">
        <f>VLOOKUP($A4,[2]Copy!$A:$U,10,0)</f>
        <v>0</v>
      </c>
      <c r="AI4" s="21">
        <f>VLOOKUP($A4,[2]Copy!$A:$U,21,0)</f>
        <v>0</v>
      </c>
      <c r="AJ4" s="21">
        <f>VLOOKUP($A4,[2]Copy!$A:$U,12,0)</f>
        <v>500</v>
      </c>
      <c r="AK4" s="21">
        <f>VLOOKUP($A4,[2]Copy!$A:$U,13,0)</f>
        <v>4000</v>
      </c>
      <c r="AL4" s="21">
        <f>VLOOKUP($A4,[2]Copy!$A:$U,14,0)</f>
        <v>125000</v>
      </c>
      <c r="AM4" s="21">
        <f>VLOOKUP($A4,[2]Copy!$A:$U,15,0)</f>
        <v>5000</v>
      </c>
      <c r="AN4" s="21">
        <f>VLOOKUP($A4,[2]Copy!$A:$U,16,0)</f>
        <v>0</v>
      </c>
      <c r="AO4" s="21">
        <f>VLOOKUP($A4,[2]Copy!$A:$U,17,0)</f>
        <v>0</v>
      </c>
      <c r="AP4" s="21">
        <f>VLOOKUP($A4,[2]Copy!$A:$U,18,0)</f>
        <v>0</v>
      </c>
      <c r="AQ4" s="21">
        <f>VLOOKUP($A4,[2]Copy!$A:$U,19,0)</f>
        <v>0</v>
      </c>
      <c r="AR4" s="21">
        <f>VLOOKUP($A4,[2]Copy!$A:$U,20,0)</f>
        <v>0</v>
      </c>
      <c r="AS4" s="22">
        <f t="shared" si="6"/>
        <v>134500</v>
      </c>
    </row>
    <row r="5" spans="1:45" x14ac:dyDescent="0.25">
      <c r="A5" s="12" t="s">
        <v>41</v>
      </c>
      <c r="B5" s="12" t="s">
        <v>42</v>
      </c>
      <c r="C5" s="13">
        <f>VLOOKUP(A5,'[1]Enrollment Proj'!A:C,3,0)</f>
        <v>800</v>
      </c>
      <c r="D5" s="14">
        <v>3765268</v>
      </c>
      <c r="E5" s="15">
        <f t="shared" si="0"/>
        <v>1.4651556939705516E-2</v>
      </c>
      <c r="F5" s="16">
        <f t="shared" si="1"/>
        <v>14805855.525119457</v>
      </c>
      <c r="G5" s="16">
        <f t="shared" si="7"/>
        <v>18571123.525119457</v>
      </c>
      <c r="H5" s="16">
        <f t="shared" si="12"/>
        <v>-371422.47050238913</v>
      </c>
      <c r="I5" s="16"/>
      <c r="J5" s="16">
        <f t="shared" si="8"/>
        <v>18199701.05461707</v>
      </c>
      <c r="K5" s="16">
        <f t="shared" si="2"/>
        <v>17844.175151538166</v>
      </c>
      <c r="L5" s="16">
        <f t="shared" si="3"/>
        <v>97417.425559584168</v>
      </c>
      <c r="M5" s="16">
        <f t="shared" si="4"/>
        <v>106681.49111400086</v>
      </c>
      <c r="N5" s="17">
        <f t="shared" si="9"/>
        <v>18421644.146442194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4">
        <f t="shared" si="5"/>
        <v>18262536.326442193</v>
      </c>
      <c r="Y5" s="19">
        <f t="shared" si="10"/>
        <v>1826253.6326442193</v>
      </c>
      <c r="Z5" s="20">
        <f t="shared" si="11"/>
        <v>23027.05518305274</v>
      </c>
      <c r="AA5" s="21">
        <f>VLOOKUP($A5,[2]Copy!$A:$C,3,0)</f>
        <v>8962.56</v>
      </c>
      <c r="AB5" s="21">
        <f>VLOOKUP($A5,[2]Copy!$A:$U,4,0)</f>
        <v>1000</v>
      </c>
      <c r="AC5" s="21">
        <f>VLOOKUP($A5,[2]Copy!$A:$U,5,0)</f>
        <v>0</v>
      </c>
      <c r="AD5" s="21">
        <f>VLOOKUP($A5,[2]Copy!$A:$U,6,0)</f>
        <v>0</v>
      </c>
      <c r="AE5" s="21">
        <f>VLOOKUP($A5,[2]Copy!$A:$U,7,0)</f>
        <v>0</v>
      </c>
      <c r="AF5" s="21">
        <f>VLOOKUP($A5,[2]Copy!$A:$U,8,0)</f>
        <v>0</v>
      </c>
      <c r="AG5" s="21">
        <f>VLOOKUP($A5,[2]Copy!$A:$U,9,0)</f>
        <v>0</v>
      </c>
      <c r="AH5" s="21">
        <f>VLOOKUP($A5,[2]Copy!$A:$U,10,0)</f>
        <v>0</v>
      </c>
      <c r="AI5" s="21">
        <f>VLOOKUP($A5,[2]Copy!$A:$U,21,0)</f>
        <v>14145.26</v>
      </c>
      <c r="AJ5" s="21">
        <f>VLOOKUP($A5,[2]Copy!$A:$U,12,0)</f>
        <v>0</v>
      </c>
      <c r="AK5" s="21">
        <f>VLOOKUP($A5,[2]Copy!$A:$U,13,0)</f>
        <v>0</v>
      </c>
      <c r="AL5" s="21">
        <f>VLOOKUP($A5,[2]Copy!$A:$U,14,0)</f>
        <v>125000</v>
      </c>
      <c r="AM5" s="21">
        <f>VLOOKUP($A5,[2]Copy!$A:$U,15,0)</f>
        <v>10000</v>
      </c>
      <c r="AN5" s="21">
        <f>VLOOKUP($A5,[2]Copy!$A:$U,16,0)</f>
        <v>0</v>
      </c>
      <c r="AO5" s="21">
        <f>VLOOKUP($A5,[2]Copy!$A:$U,17,0)</f>
        <v>0</v>
      </c>
      <c r="AP5" s="21">
        <f>VLOOKUP($A5,[2]Copy!$A:$U,18,0)</f>
        <v>0</v>
      </c>
      <c r="AQ5" s="21">
        <f>VLOOKUP($A5,[2]Copy!$A:$U,19,0)</f>
        <v>0</v>
      </c>
      <c r="AR5" s="21">
        <f>VLOOKUP($A5,[2]Copy!$A:$U,20,0)</f>
        <v>0</v>
      </c>
      <c r="AS5" s="22">
        <f t="shared" si="6"/>
        <v>159107.82</v>
      </c>
    </row>
    <row r="6" spans="1:45" x14ac:dyDescent="0.25">
      <c r="A6" s="12" t="s">
        <v>43</v>
      </c>
      <c r="B6" s="12" t="s">
        <v>44</v>
      </c>
      <c r="C6" s="13">
        <f>VLOOKUP(A6,'[1]Enrollment Proj'!A:C,3,0)</f>
        <v>902</v>
      </c>
      <c r="D6" s="14">
        <v>5144548</v>
      </c>
      <c r="E6" s="15">
        <f t="shared" si="0"/>
        <v>2.0018664793860125E-2</v>
      </c>
      <c r="F6" s="16">
        <f t="shared" si="1"/>
        <v>20229485.505425442</v>
      </c>
      <c r="G6" s="16">
        <f t="shared" si="7"/>
        <v>25374033.505425442</v>
      </c>
      <c r="H6" s="16">
        <f t="shared" si="12"/>
        <v>-507480.67010850884</v>
      </c>
      <c r="I6" s="16"/>
      <c r="J6" s="16">
        <f t="shared" si="8"/>
        <v>24866552.835316934</v>
      </c>
      <c r="K6" s="16">
        <f t="shared" si="2"/>
        <v>24380.791908436629</v>
      </c>
      <c r="L6" s="16">
        <f t="shared" si="3"/>
        <v>133103.0412251419</v>
      </c>
      <c r="M6" s="16">
        <f t="shared" si="4"/>
        <v>120283.38123103598</v>
      </c>
      <c r="N6" s="17">
        <f t="shared" si="9"/>
        <v>25144320.049681548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4">
        <f t="shared" si="5"/>
        <v>25018320.049681548</v>
      </c>
      <c r="Y6" s="19">
        <f t="shared" si="10"/>
        <v>2501832.0049681547</v>
      </c>
      <c r="Z6" s="20">
        <f t="shared" si="11"/>
        <v>27876.186307850941</v>
      </c>
      <c r="AA6" s="21">
        <f>VLOOKUP($A6,[2]Copy!$A:$C,3,0)</f>
        <v>0</v>
      </c>
      <c r="AB6" s="21">
        <f>VLOOKUP($A6,[2]Copy!$A:$U,4,0)</f>
        <v>0</v>
      </c>
      <c r="AC6" s="21">
        <f>VLOOKUP($A6,[2]Copy!$A:$U,5,0)</f>
        <v>0</v>
      </c>
      <c r="AD6" s="21">
        <f>VLOOKUP($A6,[2]Copy!$A:$U,6,0)</f>
        <v>0</v>
      </c>
      <c r="AE6" s="21">
        <f>VLOOKUP($A6,[2]Copy!$A:$U,7,0)</f>
        <v>0</v>
      </c>
      <c r="AF6" s="21">
        <f>VLOOKUP($A6,[2]Copy!$A:$U,8,0)</f>
        <v>0</v>
      </c>
      <c r="AG6" s="21">
        <f>VLOOKUP($A6,[2]Copy!$A:$U,9,0)</f>
        <v>0</v>
      </c>
      <c r="AH6" s="21">
        <f>VLOOKUP($A6,[2]Copy!$A:$U,10,0)</f>
        <v>0</v>
      </c>
      <c r="AI6" s="21">
        <f>VLOOKUP($A6,[2]Copy!$A:$U,21,0)</f>
        <v>0</v>
      </c>
      <c r="AJ6" s="21">
        <f>VLOOKUP($A6,[2]Copy!$A:$U,12,0)</f>
        <v>0</v>
      </c>
      <c r="AK6" s="21">
        <f>VLOOKUP($A6,[2]Copy!$A:$U,13,0)</f>
        <v>0</v>
      </c>
      <c r="AL6" s="21">
        <f>VLOOKUP($A6,[2]Copy!$A:$U,14,0)</f>
        <v>125000</v>
      </c>
      <c r="AM6" s="21">
        <f>VLOOKUP($A6,[2]Copy!$A:$U,15,0)</f>
        <v>1000</v>
      </c>
      <c r="AN6" s="21">
        <f>VLOOKUP($A6,[2]Copy!$A:$U,16,0)</f>
        <v>0</v>
      </c>
      <c r="AO6" s="21">
        <f>VLOOKUP($A6,[2]Copy!$A:$U,17,0)</f>
        <v>0</v>
      </c>
      <c r="AP6" s="21">
        <f>VLOOKUP($A6,[2]Copy!$A:$U,18,0)</f>
        <v>0</v>
      </c>
      <c r="AQ6" s="21">
        <f>VLOOKUP($A6,[2]Copy!$A:$U,19,0)</f>
        <v>0</v>
      </c>
      <c r="AR6" s="21">
        <f>VLOOKUP($A6,[2]Copy!$A:$U,20,0)</f>
        <v>0</v>
      </c>
      <c r="AS6" s="22">
        <f t="shared" si="6"/>
        <v>126000</v>
      </c>
    </row>
    <row r="7" spans="1:45" x14ac:dyDescent="0.25">
      <c r="A7" s="12" t="s">
        <v>45</v>
      </c>
      <c r="B7" s="12" t="s">
        <v>46</v>
      </c>
      <c r="C7" s="13">
        <f>VLOOKUP(A7,'[1]Enrollment Proj'!A:C,3,0)</f>
        <v>968</v>
      </c>
      <c r="D7" s="14">
        <v>5362866</v>
      </c>
      <c r="E7" s="15">
        <f t="shared" si="0"/>
        <v>2.0868192266529438E-2</v>
      </c>
      <c r="F7" s="16">
        <f t="shared" si="1"/>
        <v>21087959.528133266</v>
      </c>
      <c r="G7" s="16">
        <f t="shared" si="7"/>
        <v>26450825.528133266</v>
      </c>
      <c r="H7" s="16">
        <f t="shared" si="12"/>
        <v>-529016.51056266529</v>
      </c>
      <c r="I7" s="16"/>
      <c r="J7" s="16">
        <f t="shared" si="8"/>
        <v>25921809.0175706</v>
      </c>
      <c r="K7" s="16">
        <f t="shared" si="2"/>
        <v>25415.433965983004</v>
      </c>
      <c r="L7" s="16">
        <f t="shared" si="3"/>
        <v>138751.50436596409</v>
      </c>
      <c r="M7" s="16">
        <f t="shared" si="4"/>
        <v>129084.60424794105</v>
      </c>
      <c r="N7" s="17">
        <f t="shared" si="9"/>
        <v>26215060.560150493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4">
        <f t="shared" si="5"/>
        <v>25834560.560150493</v>
      </c>
      <c r="Y7" s="19">
        <f t="shared" si="10"/>
        <v>2583456.0560150491</v>
      </c>
      <c r="Z7" s="20">
        <f t="shared" si="11"/>
        <v>27081.674132386874</v>
      </c>
      <c r="AA7" s="21">
        <f>VLOOKUP($A7,[2]Copy!$A:$C,3,0)</f>
        <v>0</v>
      </c>
      <c r="AB7" s="21">
        <f>VLOOKUP($A7,[2]Copy!$A:$U,4,0)</f>
        <v>0</v>
      </c>
      <c r="AC7" s="21">
        <f>VLOOKUP($A7,[2]Copy!$A:$U,5,0)</f>
        <v>3000</v>
      </c>
      <c r="AD7" s="21">
        <f>VLOOKUP($A7,[2]Copy!$A:$U,6,0)</f>
        <v>0</v>
      </c>
      <c r="AE7" s="21">
        <f>VLOOKUP($A7,[2]Copy!$A:$U,7,0)</f>
        <v>0</v>
      </c>
      <c r="AF7" s="21">
        <f>VLOOKUP($A7,[2]Copy!$A:$U,8,0)</f>
        <v>500</v>
      </c>
      <c r="AG7" s="21">
        <f>VLOOKUP($A7,[2]Copy!$A:$U,9,0)</f>
        <v>0</v>
      </c>
      <c r="AH7" s="21">
        <f>VLOOKUP($A7,[2]Copy!$A:$U,10,0)</f>
        <v>0</v>
      </c>
      <c r="AI7" s="21">
        <f>VLOOKUP($A7,[2]Copy!$A:$U,21,0)</f>
        <v>0</v>
      </c>
      <c r="AJ7" s="21">
        <f>VLOOKUP($A7,[2]Copy!$A:$U,12,0)</f>
        <v>0</v>
      </c>
      <c r="AK7" s="21">
        <f>VLOOKUP($A7,[2]Copy!$A:$U,13,0)</f>
        <v>0</v>
      </c>
      <c r="AL7" s="21">
        <f>VLOOKUP($A7,[2]Copy!$A:$U,14,0)</f>
        <v>375000</v>
      </c>
      <c r="AM7" s="21">
        <f>VLOOKUP($A7,[2]Copy!$A:$U,15,0)</f>
        <v>2000</v>
      </c>
      <c r="AN7" s="21">
        <f>VLOOKUP($A7,[2]Copy!$A:$U,16,0)</f>
        <v>0</v>
      </c>
      <c r="AO7" s="21">
        <f>VLOOKUP($A7,[2]Copy!$A:$U,17,0)</f>
        <v>0</v>
      </c>
      <c r="AP7" s="21">
        <f>VLOOKUP($A7,[2]Copy!$A:$U,18,0)</f>
        <v>0</v>
      </c>
      <c r="AQ7" s="21">
        <f>VLOOKUP($A7,[2]Copy!$A:$U,19,0)</f>
        <v>0</v>
      </c>
      <c r="AR7" s="21">
        <f>VLOOKUP($A7,[2]Copy!$A:$U,20,0)</f>
        <v>0</v>
      </c>
      <c r="AS7" s="22">
        <f t="shared" si="6"/>
        <v>380500</v>
      </c>
    </row>
    <row r="8" spans="1:45" x14ac:dyDescent="0.25">
      <c r="A8" s="12" t="s">
        <v>47</v>
      </c>
      <c r="B8" s="12" t="s">
        <v>48</v>
      </c>
      <c r="C8" s="13">
        <f>VLOOKUP(A8,'[1]Enrollment Proj'!A:C,3,0)</f>
        <v>292</v>
      </c>
      <c r="D8" s="14">
        <v>1599293</v>
      </c>
      <c r="E8" s="15">
        <f t="shared" si="0"/>
        <v>6.2232309765924906E-3</v>
      </c>
      <c r="F8" s="16">
        <f t="shared" si="1"/>
        <v>6288769.1129382746</v>
      </c>
      <c r="G8" s="16">
        <f t="shared" si="7"/>
        <v>7888062.1129382746</v>
      </c>
      <c r="H8" s="16">
        <f t="shared" si="12"/>
        <v>-157761.2422587655</v>
      </c>
      <c r="I8" s="16"/>
      <c r="J8" s="16">
        <f t="shared" si="8"/>
        <v>7730300.8706795089</v>
      </c>
      <c r="K8" s="16">
        <f t="shared" si="2"/>
        <v>7579.2916760849239</v>
      </c>
      <c r="L8" s="16">
        <f t="shared" si="3"/>
        <v>41377.932932121708</v>
      </c>
      <c r="M8" s="16">
        <f t="shared" si="4"/>
        <v>38938.74425661032</v>
      </c>
      <c r="N8" s="17">
        <f t="shared" si="9"/>
        <v>7818196.8395443251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4">
        <f t="shared" si="5"/>
        <v>7673534.2795443255</v>
      </c>
      <c r="Y8" s="19">
        <f t="shared" si="10"/>
        <v>767353.42795443255</v>
      </c>
      <c r="Z8" s="20">
        <f t="shared" si="11"/>
        <v>26774.646710768237</v>
      </c>
      <c r="AA8" s="21">
        <f>VLOOKUP($A8,[2]Copy!$A:$C,3,0)</f>
        <v>8962.56</v>
      </c>
      <c r="AB8" s="21">
        <f>VLOOKUP($A8,[2]Copy!$A:$U,4,0)</f>
        <v>0</v>
      </c>
      <c r="AC8" s="21">
        <f>VLOOKUP($A8,[2]Copy!$A:$U,5,0)</f>
        <v>0</v>
      </c>
      <c r="AD8" s="21">
        <f>VLOOKUP($A8,[2]Copy!$A:$U,6,0)</f>
        <v>0</v>
      </c>
      <c r="AE8" s="21">
        <f>VLOOKUP($A8,[2]Copy!$A:$U,7,0)</f>
        <v>0</v>
      </c>
      <c r="AF8" s="21">
        <f>VLOOKUP($A8,[2]Copy!$A:$U,8,0)</f>
        <v>500</v>
      </c>
      <c r="AG8" s="21">
        <f>VLOOKUP($A8,[2]Copy!$A:$U,9,0)</f>
        <v>0</v>
      </c>
      <c r="AH8" s="21">
        <f>VLOOKUP($A8,[2]Copy!$A:$U,10,0)</f>
        <v>0</v>
      </c>
      <c r="AI8" s="21">
        <f>VLOOKUP($A8,[2]Copy!$A:$U,21,0)</f>
        <v>0</v>
      </c>
      <c r="AJ8" s="21">
        <f>VLOOKUP($A8,[2]Copy!$A:$U,12,0)</f>
        <v>0</v>
      </c>
      <c r="AK8" s="21">
        <f>VLOOKUP($A8,[2]Copy!$A:$U,13,0)</f>
        <v>0</v>
      </c>
      <c r="AL8" s="21">
        <f>VLOOKUP($A8,[2]Copy!$A:$U,14,0)</f>
        <v>125000</v>
      </c>
      <c r="AM8" s="21">
        <f>VLOOKUP($A8,[2]Copy!$A:$U,15,0)</f>
        <v>10000</v>
      </c>
      <c r="AN8" s="21">
        <f>VLOOKUP($A8,[2]Copy!$A:$U,16,0)</f>
        <v>0</v>
      </c>
      <c r="AO8" s="21">
        <f>VLOOKUP($A8,[2]Copy!$A:$U,17,0)</f>
        <v>0</v>
      </c>
      <c r="AP8" s="21">
        <f>VLOOKUP($A8,[2]Copy!$A:$U,18,0)</f>
        <v>200</v>
      </c>
      <c r="AQ8" s="21">
        <f>VLOOKUP($A8,[2]Copy!$A:$U,19,0)</f>
        <v>0</v>
      </c>
      <c r="AR8" s="21">
        <f>VLOOKUP($A8,[2]Copy!$A:$U,20,0)</f>
        <v>0</v>
      </c>
      <c r="AS8" s="22">
        <f t="shared" si="6"/>
        <v>144662.56</v>
      </c>
    </row>
    <row r="9" spans="1:45" x14ac:dyDescent="0.25">
      <c r="A9" s="12" t="s">
        <v>49</v>
      </c>
      <c r="B9" s="12" t="s">
        <v>50</v>
      </c>
      <c r="C9" s="13">
        <f>VLOOKUP(A9,'[1]Enrollment Proj'!A:C,3,0)</f>
        <v>285</v>
      </c>
      <c r="D9" s="14">
        <v>1648437</v>
      </c>
      <c r="E9" s="15">
        <f t="shared" si="0"/>
        <v>6.4144620162541795E-3</v>
      </c>
      <c r="F9" s="16">
        <f t="shared" si="1"/>
        <v>6482014.0463471245</v>
      </c>
      <c r="G9" s="16">
        <f t="shared" si="7"/>
        <v>8130451.0463471245</v>
      </c>
      <c r="H9" s="16">
        <f t="shared" si="12"/>
        <v>-162609.0209269425</v>
      </c>
      <c r="I9" s="16"/>
      <c r="J9" s="16">
        <f t="shared" si="8"/>
        <v>7967842.0254201824</v>
      </c>
      <c r="K9" s="16">
        <f t="shared" si="2"/>
        <v>7812.1925329820142</v>
      </c>
      <c r="L9" s="16">
        <f t="shared" si="3"/>
        <v>42649.417979587175</v>
      </c>
      <c r="M9" s="16">
        <f t="shared" si="4"/>
        <v>38005.281209362809</v>
      </c>
      <c r="N9" s="17">
        <f t="shared" si="9"/>
        <v>8056308.9171421137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4">
        <f t="shared" si="5"/>
        <v>7912146.3571421141</v>
      </c>
      <c r="Y9" s="19">
        <f t="shared" si="10"/>
        <v>791214.63571421138</v>
      </c>
      <c r="Z9" s="20">
        <f t="shared" si="11"/>
        <v>28267.750586463557</v>
      </c>
      <c r="AA9" s="21">
        <f>VLOOKUP($A9,[2]Copy!$A:$C,3,0)</f>
        <v>8962.56</v>
      </c>
      <c r="AB9" s="21">
        <f>VLOOKUP($A9,[2]Copy!$A:$U,4,0)</f>
        <v>0</v>
      </c>
      <c r="AC9" s="21">
        <f>VLOOKUP($A9,[2]Copy!$A:$U,5,0)</f>
        <v>0</v>
      </c>
      <c r="AD9" s="21">
        <f>VLOOKUP($A9,[2]Copy!$A:$U,6,0)</f>
        <v>0</v>
      </c>
      <c r="AE9" s="21">
        <f>VLOOKUP($A9,[2]Copy!$A:$U,7,0)</f>
        <v>0</v>
      </c>
      <c r="AF9" s="21">
        <f>VLOOKUP($A9,[2]Copy!$A:$U,8,0)</f>
        <v>0</v>
      </c>
      <c r="AG9" s="21">
        <f>VLOOKUP($A9,[2]Copy!$A:$U,9,0)</f>
        <v>0</v>
      </c>
      <c r="AH9" s="21">
        <f>VLOOKUP($A9,[2]Copy!$A:$U,10,0)</f>
        <v>0</v>
      </c>
      <c r="AI9" s="21">
        <f>VLOOKUP($A9,[2]Copy!$A:$U,21,0)</f>
        <v>0</v>
      </c>
      <c r="AJ9" s="21">
        <f>VLOOKUP($A9,[2]Copy!$A:$U,12,0)</f>
        <v>0</v>
      </c>
      <c r="AK9" s="21">
        <f>VLOOKUP($A9,[2]Copy!$A:$U,13,0)</f>
        <v>0</v>
      </c>
      <c r="AL9" s="21">
        <f>VLOOKUP($A9,[2]Copy!$A:$U,14,0)</f>
        <v>125000</v>
      </c>
      <c r="AM9" s="21">
        <f>VLOOKUP($A9,[2]Copy!$A:$U,15,0)</f>
        <v>10000</v>
      </c>
      <c r="AN9" s="21">
        <f>VLOOKUP($A9,[2]Copy!$A:$U,16,0)</f>
        <v>0</v>
      </c>
      <c r="AO9" s="21">
        <f>VLOOKUP($A9,[2]Copy!$A:$U,17,0)</f>
        <v>0</v>
      </c>
      <c r="AP9" s="21">
        <f>VLOOKUP($A9,[2]Copy!$A:$U,18,0)</f>
        <v>200</v>
      </c>
      <c r="AQ9" s="21">
        <f>VLOOKUP($A9,[2]Copy!$A:$U,19,0)</f>
        <v>0</v>
      </c>
      <c r="AR9" s="21">
        <f>VLOOKUP($A9,[2]Copy!$A:$U,20,0)</f>
        <v>0</v>
      </c>
      <c r="AS9" s="22">
        <f t="shared" si="6"/>
        <v>144162.56</v>
      </c>
    </row>
    <row r="10" spans="1:45" x14ac:dyDescent="0.25">
      <c r="A10" s="12" t="s">
        <v>51</v>
      </c>
      <c r="B10" s="12" t="s">
        <v>52</v>
      </c>
      <c r="C10" s="13">
        <f>VLOOKUP(A10,'[1]Enrollment Proj'!A:C,3,0)</f>
        <v>925</v>
      </c>
      <c r="D10" s="14">
        <v>4334610</v>
      </c>
      <c r="E10" s="15">
        <f t="shared" si="0"/>
        <v>1.6867002621438081E-2</v>
      </c>
      <c r="F10" s="16">
        <f t="shared" si="1"/>
        <v>17044632.524892796</v>
      </c>
      <c r="G10" s="16">
        <f t="shared" si="7"/>
        <v>21379242.524892796</v>
      </c>
      <c r="H10" s="16">
        <f t="shared" si="12"/>
        <v>-427584.85049785592</v>
      </c>
      <c r="I10" s="16"/>
      <c r="J10" s="16">
        <f t="shared" si="8"/>
        <v>20951657.674394939</v>
      </c>
      <c r="K10" s="16">
        <f t="shared" si="2"/>
        <v>20542.373093657301</v>
      </c>
      <c r="L10" s="16">
        <f t="shared" si="3"/>
        <v>112147.80647880286</v>
      </c>
      <c r="M10" s="16">
        <f t="shared" si="4"/>
        <v>123350.4741005635</v>
      </c>
      <c r="N10" s="17">
        <f t="shared" si="9"/>
        <v>21207698.328067962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4">
        <f t="shared" si="5"/>
        <v>21192498.328067962</v>
      </c>
      <c r="Y10" s="19">
        <f t="shared" si="10"/>
        <v>2119249.8328067963</v>
      </c>
      <c r="Z10" s="20">
        <f t="shared" si="11"/>
        <v>22927.241435749147</v>
      </c>
      <c r="AA10" s="21">
        <f>VLOOKUP($A10,[2]Copy!$A:$C,3,0)</f>
        <v>0</v>
      </c>
      <c r="AB10" s="21">
        <f>VLOOKUP($A10,[2]Copy!$A:$U,4,0)</f>
        <v>0</v>
      </c>
      <c r="AC10" s="21">
        <f>VLOOKUP($A10,[2]Copy!$A:$U,5,0)</f>
        <v>5000</v>
      </c>
      <c r="AD10" s="21">
        <f>VLOOKUP($A10,[2]Copy!$A:$U,6,0)</f>
        <v>0</v>
      </c>
      <c r="AE10" s="21">
        <f>VLOOKUP($A10,[2]Copy!$A:$U,7,0)</f>
        <v>0</v>
      </c>
      <c r="AF10" s="21">
        <f>VLOOKUP($A10,[2]Copy!$A:$U,8,0)</f>
        <v>0</v>
      </c>
      <c r="AG10" s="21">
        <f>VLOOKUP($A10,[2]Copy!$A:$U,9,0)</f>
        <v>0</v>
      </c>
      <c r="AH10" s="21">
        <f>VLOOKUP($A10,[2]Copy!$A:$U,10,0)</f>
        <v>0</v>
      </c>
      <c r="AI10" s="21">
        <f>VLOOKUP($A10,[2]Copy!$A:$U,21,0)</f>
        <v>0</v>
      </c>
      <c r="AJ10" s="21">
        <f>VLOOKUP($A10,[2]Copy!$A:$U,12,0)</f>
        <v>0</v>
      </c>
      <c r="AK10" s="21">
        <f>VLOOKUP($A10,[2]Copy!$A:$U,13,0)</f>
        <v>5000</v>
      </c>
      <c r="AL10" s="21">
        <f>VLOOKUP($A10,[2]Copy!$A:$U,14,0)</f>
        <v>0</v>
      </c>
      <c r="AM10" s="21">
        <f>VLOOKUP($A10,[2]Copy!$A:$U,15,0)</f>
        <v>5000</v>
      </c>
      <c r="AN10" s="21">
        <f>VLOOKUP($A10,[2]Copy!$A:$U,16,0)</f>
        <v>0</v>
      </c>
      <c r="AO10" s="21">
        <f>VLOOKUP($A10,[2]Copy!$A:$U,17,0)</f>
        <v>0</v>
      </c>
      <c r="AP10" s="21">
        <f>VLOOKUP($A10,[2]Copy!$A:$U,18,0)</f>
        <v>200</v>
      </c>
      <c r="AQ10" s="21">
        <f>VLOOKUP($A10,[2]Copy!$A:$U,19,0)</f>
        <v>0</v>
      </c>
      <c r="AR10" s="21">
        <f>VLOOKUP($A10,[2]Copy!$A:$U,20,0)</f>
        <v>0</v>
      </c>
      <c r="AS10" s="22">
        <f t="shared" si="6"/>
        <v>15200</v>
      </c>
    </row>
    <row r="11" spans="1:45" x14ac:dyDescent="0.25">
      <c r="A11" s="12" t="s">
        <v>53</v>
      </c>
      <c r="B11" s="12" t="s">
        <v>54</v>
      </c>
      <c r="C11" s="13">
        <f>VLOOKUP(A11,'[1]Enrollment Proj'!A:C,3,0)</f>
        <v>316</v>
      </c>
      <c r="D11" s="14">
        <v>1659066</v>
      </c>
      <c r="E11" s="15">
        <f t="shared" si="0"/>
        <v>6.4558219934754899E-3</v>
      </c>
      <c r="F11" s="16">
        <f t="shared" si="1"/>
        <v>6523809.5940681612</v>
      </c>
      <c r="G11" s="16">
        <f t="shared" si="7"/>
        <v>8182875.5940681612</v>
      </c>
      <c r="H11" s="16">
        <f t="shared" si="12"/>
        <v>-163657.51188136323</v>
      </c>
      <c r="I11" s="16"/>
      <c r="J11" s="16">
        <f t="shared" si="8"/>
        <v>8019218.0821867976</v>
      </c>
      <c r="K11" s="16">
        <f t="shared" si="2"/>
        <v>7862.5649733197797</v>
      </c>
      <c r="L11" s="16">
        <f t="shared" si="3"/>
        <v>42924.418276052878</v>
      </c>
      <c r="M11" s="16">
        <f t="shared" si="4"/>
        <v>42139.188990030343</v>
      </c>
      <c r="N11" s="17">
        <f t="shared" si="9"/>
        <v>8112144.2544262009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4">
        <f t="shared" si="5"/>
        <v>8106944.2544262009</v>
      </c>
      <c r="Y11" s="19">
        <f t="shared" si="10"/>
        <v>810694.42544262006</v>
      </c>
      <c r="Z11" s="20">
        <f t="shared" si="11"/>
        <v>25671.342577298103</v>
      </c>
      <c r="AA11" s="21">
        <f>VLOOKUP($A11,[2]Copy!$A:$C,3,0)</f>
        <v>0</v>
      </c>
      <c r="AB11" s="21">
        <f>VLOOKUP($A11,[2]Copy!$A:$U,4,0)</f>
        <v>0</v>
      </c>
      <c r="AC11" s="21">
        <f>VLOOKUP($A11,[2]Copy!$A:$U,5,0)</f>
        <v>0</v>
      </c>
      <c r="AD11" s="21">
        <f>VLOOKUP($A11,[2]Copy!$A:$U,6,0)</f>
        <v>0</v>
      </c>
      <c r="AE11" s="21">
        <f>VLOOKUP($A11,[2]Copy!$A:$U,7,0)</f>
        <v>0</v>
      </c>
      <c r="AF11" s="21">
        <f>VLOOKUP($A11,[2]Copy!$A:$U,8,0)</f>
        <v>0</v>
      </c>
      <c r="AG11" s="21">
        <f>VLOOKUP($A11,[2]Copy!$A:$U,9,0)</f>
        <v>0</v>
      </c>
      <c r="AH11" s="21">
        <f>VLOOKUP($A11,[2]Copy!$A:$U,10,0)</f>
        <v>0</v>
      </c>
      <c r="AI11" s="21">
        <f>VLOOKUP($A11,[2]Copy!$A:$U,21,0)</f>
        <v>0</v>
      </c>
      <c r="AJ11" s="21">
        <f>VLOOKUP($A11,[2]Copy!$A:$U,12,0)</f>
        <v>0</v>
      </c>
      <c r="AK11" s="21">
        <f>VLOOKUP($A11,[2]Copy!$A:$U,13,0)</f>
        <v>3000</v>
      </c>
      <c r="AL11" s="21">
        <f>VLOOKUP($A11,[2]Copy!$A:$U,14,0)</f>
        <v>0</v>
      </c>
      <c r="AM11" s="21">
        <f>VLOOKUP($A11,[2]Copy!$A:$U,15,0)</f>
        <v>2000</v>
      </c>
      <c r="AN11" s="21">
        <f>VLOOKUP($A11,[2]Copy!$A:$U,16,0)</f>
        <v>0</v>
      </c>
      <c r="AO11" s="21">
        <f>VLOOKUP($A11,[2]Copy!$A:$U,17,0)</f>
        <v>0</v>
      </c>
      <c r="AP11" s="21">
        <f>VLOOKUP($A11,[2]Copy!$A:$U,18,0)</f>
        <v>200</v>
      </c>
      <c r="AQ11" s="21">
        <f>VLOOKUP($A11,[2]Copy!$A:$U,19,0)</f>
        <v>0</v>
      </c>
      <c r="AR11" s="21">
        <f>VLOOKUP($A11,[2]Copy!$A:$U,20,0)</f>
        <v>0</v>
      </c>
      <c r="AS11" s="22">
        <f t="shared" si="6"/>
        <v>5200</v>
      </c>
    </row>
    <row r="12" spans="1:45" x14ac:dyDescent="0.25">
      <c r="A12" s="12" t="s">
        <v>55</v>
      </c>
      <c r="B12" s="12" t="s">
        <v>56</v>
      </c>
      <c r="C12" s="13">
        <f>VLOOKUP(A12,'[1]Enrollment Proj'!A:C,3,0)</f>
        <v>617</v>
      </c>
      <c r="D12" s="14">
        <v>2473905</v>
      </c>
      <c r="E12" s="15">
        <f t="shared" si="0"/>
        <v>9.6265551272637622E-3</v>
      </c>
      <c r="F12" s="16">
        <f t="shared" si="1"/>
        <v>9727934.3762172163</v>
      </c>
      <c r="G12" s="16">
        <f t="shared" si="7"/>
        <v>12201839.376217216</v>
      </c>
      <c r="H12" s="16">
        <f t="shared" si="12"/>
        <v>-244036.78752434434</v>
      </c>
      <c r="I12" s="16"/>
      <c r="J12" s="16">
        <f t="shared" si="8"/>
        <v>11957802.588692872</v>
      </c>
      <c r="K12" s="16">
        <f t="shared" si="2"/>
        <v>11724.210369159919</v>
      </c>
      <c r="L12" s="16">
        <f t="shared" si="3"/>
        <v>64006.454833755008</v>
      </c>
      <c r="M12" s="16">
        <f t="shared" si="4"/>
        <v>82278.100021673177</v>
      </c>
      <c r="N12" s="17">
        <f t="shared" si="9"/>
        <v>12115811.353917461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4">
        <f t="shared" si="5"/>
        <v>12110611.353917461</v>
      </c>
      <c r="Y12" s="19">
        <f t="shared" si="10"/>
        <v>1211061.1353917462</v>
      </c>
      <c r="Z12" s="20">
        <f t="shared" si="11"/>
        <v>19636.647251081784</v>
      </c>
      <c r="AA12" s="21">
        <f>VLOOKUP($A12,[2]Copy!$A:$C,3,0)</f>
        <v>0</v>
      </c>
      <c r="AB12" s="21">
        <f>VLOOKUP($A12,[2]Copy!$A:$U,4,0)</f>
        <v>0</v>
      </c>
      <c r="AC12" s="21">
        <f>VLOOKUP($A12,[2]Copy!$A:$U,5,0)</f>
        <v>0</v>
      </c>
      <c r="AD12" s="21">
        <f>VLOOKUP($A12,[2]Copy!$A:$U,6,0)</f>
        <v>0</v>
      </c>
      <c r="AE12" s="21">
        <f>VLOOKUP($A12,[2]Copy!$A:$U,7,0)</f>
        <v>0</v>
      </c>
      <c r="AF12" s="21">
        <f>VLOOKUP($A12,[2]Copy!$A:$U,8,0)</f>
        <v>0</v>
      </c>
      <c r="AG12" s="21">
        <f>VLOOKUP($A12,[2]Copy!$A:$U,9,0)</f>
        <v>0</v>
      </c>
      <c r="AH12" s="21">
        <f>VLOOKUP($A12,[2]Copy!$A:$U,10,0)</f>
        <v>0</v>
      </c>
      <c r="AI12" s="21">
        <f>VLOOKUP($A12,[2]Copy!$A:$U,21,0)</f>
        <v>0</v>
      </c>
      <c r="AJ12" s="21">
        <f>VLOOKUP($A12,[2]Copy!$A:$U,12,0)</f>
        <v>0</v>
      </c>
      <c r="AK12" s="21">
        <f>VLOOKUP($A12,[2]Copy!$A:$U,13,0)</f>
        <v>3000</v>
      </c>
      <c r="AL12" s="21">
        <f>VLOOKUP($A12,[2]Copy!$A:$U,14,0)</f>
        <v>0</v>
      </c>
      <c r="AM12" s="21">
        <f>VLOOKUP($A12,[2]Copy!$A:$U,15,0)</f>
        <v>2000</v>
      </c>
      <c r="AN12" s="21">
        <f>VLOOKUP($A12,[2]Copy!$A:$U,16,0)</f>
        <v>0</v>
      </c>
      <c r="AO12" s="21">
        <f>VLOOKUP($A12,[2]Copy!$A:$U,17,0)</f>
        <v>0</v>
      </c>
      <c r="AP12" s="21">
        <f>VLOOKUP($A12,[2]Copy!$A:$U,18,0)</f>
        <v>200</v>
      </c>
      <c r="AQ12" s="21">
        <f>VLOOKUP($A12,[2]Copy!$A:$U,19,0)</f>
        <v>0</v>
      </c>
      <c r="AR12" s="21">
        <f>VLOOKUP($A12,[2]Copy!$A:$U,20,0)</f>
        <v>0</v>
      </c>
      <c r="AS12" s="22">
        <f t="shared" si="6"/>
        <v>5200</v>
      </c>
    </row>
    <row r="13" spans="1:45" x14ac:dyDescent="0.25">
      <c r="A13" s="12" t="s">
        <v>57</v>
      </c>
      <c r="B13" s="12" t="s">
        <v>58</v>
      </c>
      <c r="C13" s="13">
        <f>VLOOKUP(A13,'[1]Enrollment Proj'!A:C,3,0)</f>
        <v>306</v>
      </c>
      <c r="D13" s="14">
        <v>1614355</v>
      </c>
      <c r="E13" s="15">
        <f t="shared" si="0"/>
        <v>6.2818408154209204E-3</v>
      </c>
      <c r="F13" s="16">
        <f t="shared" si="1"/>
        <v>6347996.1841372838</v>
      </c>
      <c r="G13" s="16">
        <f t="shared" si="7"/>
        <v>7962351.1841372838</v>
      </c>
      <c r="H13" s="16">
        <f t="shared" si="12"/>
        <v>-159247.02368274567</v>
      </c>
      <c r="I13" s="16"/>
      <c r="J13" s="16">
        <f t="shared" si="8"/>
        <v>7803104.1604545377</v>
      </c>
      <c r="K13" s="16">
        <f t="shared" si="2"/>
        <v>7650.6727746235856</v>
      </c>
      <c r="L13" s="16">
        <f t="shared" si="3"/>
        <v>41767.626644170479</v>
      </c>
      <c r="M13" s="16">
        <f t="shared" si="4"/>
        <v>40805.670351105335</v>
      </c>
      <c r="N13" s="17">
        <f t="shared" si="9"/>
        <v>7893328.1302244375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4">
        <f t="shared" si="5"/>
        <v>7888128.1302244375</v>
      </c>
      <c r="Y13" s="19">
        <f t="shared" si="10"/>
        <v>788812.81302244379</v>
      </c>
      <c r="Z13" s="20">
        <f t="shared" si="11"/>
        <v>25795.189968053717</v>
      </c>
      <c r="AA13" s="21">
        <f>VLOOKUP($A13,[2]Copy!$A:$C,3,0)</f>
        <v>0</v>
      </c>
      <c r="AB13" s="21">
        <f>VLOOKUP($A13,[2]Copy!$A:$U,4,0)</f>
        <v>0</v>
      </c>
      <c r="AC13" s="21">
        <f>VLOOKUP($A13,[2]Copy!$A:$U,5,0)</f>
        <v>0</v>
      </c>
      <c r="AD13" s="21">
        <f>VLOOKUP($A13,[2]Copy!$A:$U,6,0)</f>
        <v>0</v>
      </c>
      <c r="AE13" s="21">
        <f>VLOOKUP($A13,[2]Copy!$A:$U,7,0)</f>
        <v>0</v>
      </c>
      <c r="AF13" s="21">
        <f>VLOOKUP($A13,[2]Copy!$A:$U,8,0)</f>
        <v>0</v>
      </c>
      <c r="AG13" s="21">
        <f>VLOOKUP($A13,[2]Copy!$A:$U,9,0)</f>
        <v>0</v>
      </c>
      <c r="AH13" s="21">
        <f>VLOOKUP($A13,[2]Copy!$A:$U,10,0)</f>
        <v>0</v>
      </c>
      <c r="AI13" s="21">
        <f>VLOOKUP($A13,[2]Copy!$A:$U,21,0)</f>
        <v>0</v>
      </c>
      <c r="AJ13" s="21">
        <f>VLOOKUP($A13,[2]Copy!$A:$U,12,0)</f>
        <v>0</v>
      </c>
      <c r="AK13" s="21">
        <f>VLOOKUP($A13,[2]Copy!$A:$U,13,0)</f>
        <v>3000</v>
      </c>
      <c r="AL13" s="21">
        <f>VLOOKUP($A13,[2]Copy!$A:$U,14,0)</f>
        <v>0</v>
      </c>
      <c r="AM13" s="21">
        <f>VLOOKUP($A13,[2]Copy!$A:$U,15,0)</f>
        <v>2000</v>
      </c>
      <c r="AN13" s="21">
        <f>VLOOKUP($A13,[2]Copy!$A:$U,16,0)</f>
        <v>0</v>
      </c>
      <c r="AO13" s="21">
        <f>VLOOKUP($A13,[2]Copy!$A:$U,17,0)</f>
        <v>0</v>
      </c>
      <c r="AP13" s="21">
        <f>VLOOKUP($A13,[2]Copy!$A:$U,18,0)</f>
        <v>200</v>
      </c>
      <c r="AQ13" s="21">
        <f>VLOOKUP($A13,[2]Copy!$A:$U,19,0)</f>
        <v>0</v>
      </c>
      <c r="AR13" s="21">
        <f>VLOOKUP($A13,[2]Copy!$A:$U,20,0)</f>
        <v>0</v>
      </c>
      <c r="AS13" s="22">
        <f t="shared" si="6"/>
        <v>5200</v>
      </c>
    </row>
    <row r="14" spans="1:45" x14ac:dyDescent="0.25">
      <c r="A14" s="12" t="s">
        <v>59</v>
      </c>
      <c r="B14" s="12" t="s">
        <v>60</v>
      </c>
      <c r="C14" s="13">
        <f>VLOOKUP(A14,'[1]Enrollment Proj'!A:C,3,0)</f>
        <v>533</v>
      </c>
      <c r="D14" s="14">
        <v>2392504</v>
      </c>
      <c r="E14" s="15">
        <f t="shared" si="0"/>
        <v>9.3098043975815819E-3</v>
      </c>
      <c r="F14" s="16">
        <f t="shared" si="1"/>
        <v>9407847.8788947836</v>
      </c>
      <c r="G14" s="16">
        <f t="shared" si="7"/>
        <v>11800351.878894784</v>
      </c>
      <c r="H14" s="16">
        <f t="shared" si="12"/>
        <v>-236007.03757789568</v>
      </c>
      <c r="I14" s="16"/>
      <c r="J14" s="16">
        <f t="shared" si="8"/>
        <v>11564344.841316888</v>
      </c>
      <c r="K14" s="16">
        <f t="shared" si="2"/>
        <v>11338.438705227802</v>
      </c>
      <c r="L14" s="16">
        <f t="shared" si="3"/>
        <v>61900.396019886866</v>
      </c>
      <c r="M14" s="16">
        <f t="shared" si="4"/>
        <v>71076.543454703075</v>
      </c>
      <c r="N14" s="17">
        <f t="shared" si="9"/>
        <v>11708660.219496707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4">
        <f t="shared" si="5"/>
        <v>11703460.219496707</v>
      </c>
      <c r="Y14" s="19">
        <f t="shared" si="10"/>
        <v>1170346.0219496707</v>
      </c>
      <c r="Z14" s="20">
        <f t="shared" si="11"/>
        <v>21967.467578793072</v>
      </c>
      <c r="AA14" s="21">
        <f>VLOOKUP($A14,[2]Copy!$A:$C,3,0)</f>
        <v>0</v>
      </c>
      <c r="AB14" s="21">
        <f>VLOOKUP($A14,[2]Copy!$A:$U,4,0)</f>
        <v>0</v>
      </c>
      <c r="AC14" s="21">
        <f>VLOOKUP($A14,[2]Copy!$A:$U,5,0)</f>
        <v>0</v>
      </c>
      <c r="AD14" s="21">
        <f>VLOOKUP($A14,[2]Copy!$A:$U,6,0)</f>
        <v>0</v>
      </c>
      <c r="AE14" s="21">
        <f>VLOOKUP($A14,[2]Copy!$A:$U,7,0)</f>
        <v>0</v>
      </c>
      <c r="AF14" s="21">
        <f>VLOOKUP($A14,[2]Copy!$A:$U,8,0)</f>
        <v>0</v>
      </c>
      <c r="AG14" s="21">
        <f>VLOOKUP($A14,[2]Copy!$A:$U,9,0)</f>
        <v>0</v>
      </c>
      <c r="AH14" s="21">
        <f>VLOOKUP($A14,[2]Copy!$A:$U,10,0)</f>
        <v>0</v>
      </c>
      <c r="AI14" s="21">
        <f>VLOOKUP($A14,[2]Copy!$A:$U,21,0)</f>
        <v>0</v>
      </c>
      <c r="AJ14" s="21">
        <f>VLOOKUP($A14,[2]Copy!$A:$U,12,0)</f>
        <v>0</v>
      </c>
      <c r="AK14" s="21">
        <f>VLOOKUP($A14,[2]Copy!$A:$U,13,0)</f>
        <v>3000</v>
      </c>
      <c r="AL14" s="21">
        <f>VLOOKUP($A14,[2]Copy!$A:$U,14,0)</f>
        <v>0</v>
      </c>
      <c r="AM14" s="21">
        <f>VLOOKUP($A14,[2]Copy!$A:$U,15,0)</f>
        <v>2000</v>
      </c>
      <c r="AN14" s="21">
        <f>VLOOKUP($A14,[2]Copy!$A:$U,16,0)</f>
        <v>0</v>
      </c>
      <c r="AO14" s="21">
        <f>VLOOKUP($A14,[2]Copy!$A:$U,17,0)</f>
        <v>0</v>
      </c>
      <c r="AP14" s="21">
        <f>VLOOKUP($A14,[2]Copy!$A:$U,18,0)</f>
        <v>200</v>
      </c>
      <c r="AQ14" s="21">
        <f>VLOOKUP($A14,[2]Copy!$A:$U,19,0)</f>
        <v>0</v>
      </c>
      <c r="AR14" s="21">
        <f>VLOOKUP($A14,[2]Copy!$A:$U,20,0)</f>
        <v>0</v>
      </c>
      <c r="AS14" s="22">
        <f t="shared" si="6"/>
        <v>5200</v>
      </c>
    </row>
    <row r="15" spans="1:45" x14ac:dyDescent="0.25">
      <c r="A15" s="12" t="s">
        <v>61</v>
      </c>
      <c r="B15" s="12" t="s">
        <v>62</v>
      </c>
      <c r="C15" s="13">
        <f>VLOOKUP(A15,'[1]Enrollment Proj'!A:C,3,0)</f>
        <v>277</v>
      </c>
      <c r="D15" s="14">
        <v>1292544</v>
      </c>
      <c r="E15" s="15">
        <f t="shared" si="0"/>
        <v>5.0295973654663432E-3</v>
      </c>
      <c r="F15" s="16">
        <f t="shared" si="1"/>
        <v>5082565.0986490212</v>
      </c>
      <c r="G15" s="16">
        <f t="shared" si="7"/>
        <v>6375109.0986490212</v>
      </c>
      <c r="H15" s="16">
        <f t="shared" si="12"/>
        <v>-127502.18197298043</v>
      </c>
      <c r="I15" s="16"/>
      <c r="J15" s="16">
        <f t="shared" si="8"/>
        <v>6247606.9166760407</v>
      </c>
      <c r="K15" s="16">
        <f t="shared" si="2"/>
        <v>6125.5617201935556</v>
      </c>
      <c r="L15" s="16">
        <f t="shared" si="3"/>
        <v>33441.526314325347</v>
      </c>
      <c r="M15" s="16">
        <f t="shared" si="4"/>
        <v>36938.466298222804</v>
      </c>
      <c r="N15" s="17">
        <f t="shared" si="9"/>
        <v>6324112.4710087823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4">
        <f t="shared" si="5"/>
        <v>6300492.9710087823</v>
      </c>
      <c r="Y15" s="19">
        <f t="shared" si="10"/>
        <v>630049.2971008782</v>
      </c>
      <c r="Z15" s="20">
        <f t="shared" si="11"/>
        <v>22830.730942269973</v>
      </c>
      <c r="AA15" s="21">
        <f>VLOOKUP($A15,[2]Copy!$A:$C,3,0)</f>
        <v>0</v>
      </c>
      <c r="AB15" s="21">
        <f>VLOOKUP($A15,[2]Copy!$A:$U,4,0)</f>
        <v>0</v>
      </c>
      <c r="AC15" s="21">
        <f>VLOOKUP($A15,[2]Copy!$A:$U,5,0)</f>
        <v>0</v>
      </c>
      <c r="AD15" s="21">
        <f>VLOOKUP($A15,[2]Copy!$A:$U,6,0)</f>
        <v>0</v>
      </c>
      <c r="AE15" s="21">
        <f>VLOOKUP($A15,[2]Copy!$A:$U,7,0)</f>
        <v>0</v>
      </c>
      <c r="AF15" s="21">
        <f>VLOOKUP($A15,[2]Copy!$A:$U,8,0)</f>
        <v>0</v>
      </c>
      <c r="AG15" s="21">
        <f>VLOOKUP($A15,[2]Copy!$A:$U,9,0)</f>
        <v>0</v>
      </c>
      <c r="AH15" s="21">
        <f>VLOOKUP($A15,[2]Copy!$A:$U,10,0)</f>
        <v>0</v>
      </c>
      <c r="AI15" s="21">
        <f>VLOOKUP($A15,[2]Copy!$A:$U,21,0)</f>
        <v>18419.5</v>
      </c>
      <c r="AJ15" s="21">
        <f>VLOOKUP($A15,[2]Copy!$A:$U,12,0)</f>
        <v>0</v>
      </c>
      <c r="AK15" s="21">
        <f>VLOOKUP($A15,[2]Copy!$A:$U,13,0)</f>
        <v>3000</v>
      </c>
      <c r="AL15" s="21">
        <f>VLOOKUP($A15,[2]Copy!$A:$U,14,0)</f>
        <v>0</v>
      </c>
      <c r="AM15" s="21">
        <f>VLOOKUP($A15,[2]Copy!$A:$U,15,0)</f>
        <v>2000</v>
      </c>
      <c r="AN15" s="21">
        <f>VLOOKUP($A15,[2]Copy!$A:$U,16,0)</f>
        <v>0</v>
      </c>
      <c r="AO15" s="21">
        <f>VLOOKUP($A15,[2]Copy!$A:$U,17,0)</f>
        <v>0</v>
      </c>
      <c r="AP15" s="21">
        <f>VLOOKUP($A15,[2]Copy!$A:$U,18,0)</f>
        <v>200</v>
      </c>
      <c r="AQ15" s="21">
        <f>VLOOKUP($A15,[2]Copy!$A:$U,19,0)</f>
        <v>0</v>
      </c>
      <c r="AR15" s="21">
        <f>VLOOKUP($A15,[2]Copy!$A:$U,20,0)</f>
        <v>0</v>
      </c>
      <c r="AS15" s="22">
        <f t="shared" si="6"/>
        <v>23619.5</v>
      </c>
    </row>
    <row r="16" spans="1:45" x14ac:dyDescent="0.25">
      <c r="A16" s="12" t="s">
        <v>63</v>
      </c>
      <c r="B16" s="12" t="s">
        <v>64</v>
      </c>
      <c r="C16" s="13">
        <f>VLOOKUP(A16,'[1]Enrollment Proj'!A:C,3,0)</f>
        <v>512</v>
      </c>
      <c r="D16" s="14">
        <v>2769288</v>
      </c>
      <c r="E16" s="15">
        <f t="shared" si="0"/>
        <v>1.0775960918171882E-2</v>
      </c>
      <c r="F16" s="16">
        <f t="shared" si="1"/>
        <v>10889444.797939219</v>
      </c>
      <c r="G16" s="16">
        <f t="shared" si="7"/>
        <v>13658732.797939219</v>
      </c>
      <c r="H16" s="16">
        <f t="shared" si="12"/>
        <v>-273174.65595878439</v>
      </c>
      <c r="I16" s="16"/>
      <c r="J16" s="16">
        <f t="shared" si="8"/>
        <v>13385558.141980434</v>
      </c>
      <c r="K16" s="16">
        <f t="shared" si="2"/>
        <v>13124.075130124289</v>
      </c>
      <c r="L16" s="16">
        <f t="shared" si="3"/>
        <v>71648.793018996177</v>
      </c>
      <c r="M16" s="16">
        <f t="shared" si="4"/>
        <v>68276.154312960556</v>
      </c>
      <c r="N16" s="17">
        <f t="shared" si="9"/>
        <v>13538607.164442515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4">
        <f t="shared" si="5"/>
        <v>13533407.164442515</v>
      </c>
      <c r="Y16" s="19">
        <f t="shared" si="10"/>
        <v>1353340.7164442516</v>
      </c>
      <c r="Z16" s="20">
        <f t="shared" si="11"/>
        <v>26442.592118051787</v>
      </c>
      <c r="AA16" s="21">
        <f>VLOOKUP($A16,[2]Copy!$A:$C,3,0)</f>
        <v>0</v>
      </c>
      <c r="AB16" s="21">
        <f>VLOOKUP($A16,[2]Copy!$A:$U,4,0)</f>
        <v>0</v>
      </c>
      <c r="AC16" s="21">
        <f>VLOOKUP($A16,[2]Copy!$A:$U,5,0)</f>
        <v>0</v>
      </c>
      <c r="AD16" s="21">
        <f>VLOOKUP($A16,[2]Copy!$A:$U,6,0)</f>
        <v>0</v>
      </c>
      <c r="AE16" s="21">
        <f>VLOOKUP($A16,[2]Copy!$A:$U,7,0)</f>
        <v>0</v>
      </c>
      <c r="AF16" s="21">
        <f>VLOOKUP($A16,[2]Copy!$A:$U,8,0)</f>
        <v>0</v>
      </c>
      <c r="AG16" s="21">
        <f>VLOOKUP($A16,[2]Copy!$A:$U,9,0)</f>
        <v>0</v>
      </c>
      <c r="AH16" s="21">
        <f>VLOOKUP($A16,[2]Copy!$A:$U,10,0)</f>
        <v>0</v>
      </c>
      <c r="AI16" s="21">
        <f>VLOOKUP($A16,[2]Copy!$A:$U,21,0)</f>
        <v>0</v>
      </c>
      <c r="AJ16" s="21">
        <f>VLOOKUP($A16,[2]Copy!$A:$U,12,0)</f>
        <v>0</v>
      </c>
      <c r="AK16" s="21">
        <f>VLOOKUP($A16,[2]Copy!$A:$U,13,0)</f>
        <v>3000</v>
      </c>
      <c r="AL16" s="21">
        <f>VLOOKUP($A16,[2]Copy!$A:$U,14,0)</f>
        <v>0</v>
      </c>
      <c r="AM16" s="21">
        <f>VLOOKUP($A16,[2]Copy!$A:$U,15,0)</f>
        <v>2000</v>
      </c>
      <c r="AN16" s="21">
        <f>VLOOKUP($A16,[2]Copy!$A:$U,16,0)</f>
        <v>0</v>
      </c>
      <c r="AO16" s="21">
        <f>VLOOKUP($A16,[2]Copy!$A:$U,17,0)</f>
        <v>0</v>
      </c>
      <c r="AP16" s="21">
        <f>VLOOKUP($A16,[2]Copy!$A:$U,18,0)</f>
        <v>200</v>
      </c>
      <c r="AQ16" s="21">
        <f>VLOOKUP($A16,[2]Copy!$A:$U,19,0)</f>
        <v>0</v>
      </c>
      <c r="AR16" s="21">
        <f>VLOOKUP($A16,[2]Copy!$A:$U,20,0)</f>
        <v>0</v>
      </c>
      <c r="AS16" s="22">
        <f t="shared" si="6"/>
        <v>5200</v>
      </c>
    </row>
    <row r="17" spans="1:45" x14ac:dyDescent="0.25">
      <c r="A17" s="12" t="s">
        <v>65</v>
      </c>
      <c r="B17" s="12" t="s">
        <v>66</v>
      </c>
      <c r="C17" s="13">
        <f>VLOOKUP(A17,'[1]Enrollment Proj'!A:C,3,0)</f>
        <v>824</v>
      </c>
      <c r="D17" s="14">
        <v>3939386</v>
      </c>
      <c r="E17" s="15">
        <f t="shared" si="0"/>
        <v>1.532909165734783E-2</v>
      </c>
      <c r="F17" s="16">
        <f t="shared" si="1"/>
        <v>15490525.501419351</v>
      </c>
      <c r="G17" s="16">
        <f t="shared" si="7"/>
        <v>19429911.501419351</v>
      </c>
      <c r="H17" s="16">
        <f t="shared" si="12"/>
        <v>-388598.23002838704</v>
      </c>
      <c r="I17" s="16"/>
      <c r="J17" s="16">
        <f t="shared" si="8"/>
        <v>19041313.271390963</v>
      </c>
      <c r="K17" s="16">
        <f t="shared" si="2"/>
        <v>18669.346716758893</v>
      </c>
      <c r="L17" s="16">
        <f t="shared" si="3"/>
        <v>101922.31798784788</v>
      </c>
      <c r="M17" s="16">
        <f t="shared" si="4"/>
        <v>109881.9358474209</v>
      </c>
      <c r="N17" s="17">
        <f t="shared" si="9"/>
        <v>19271786.87194299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4">
        <f t="shared" si="5"/>
        <v>19131286.87194299</v>
      </c>
      <c r="Y17" s="19">
        <f t="shared" si="10"/>
        <v>1913128.687194299</v>
      </c>
      <c r="Z17" s="20">
        <f t="shared" si="11"/>
        <v>23388.090864008482</v>
      </c>
      <c r="AA17" s="21">
        <f>VLOOKUP($A17,[2]Copy!$A:$C,3,0)</f>
        <v>0</v>
      </c>
      <c r="AB17" s="21">
        <f>VLOOKUP($A17,[2]Copy!$A:$U,4,0)</f>
        <v>0</v>
      </c>
      <c r="AC17" s="21">
        <f>VLOOKUP($A17,[2]Copy!$A:$U,5,0)</f>
        <v>0</v>
      </c>
      <c r="AD17" s="21">
        <f>VLOOKUP($A17,[2]Copy!$A:$U,6,0)</f>
        <v>0</v>
      </c>
      <c r="AE17" s="21">
        <f>VLOOKUP($A17,[2]Copy!$A:$U,7,0)</f>
        <v>0</v>
      </c>
      <c r="AF17" s="21">
        <f>VLOOKUP($A17,[2]Copy!$A:$U,8,0)</f>
        <v>0</v>
      </c>
      <c r="AG17" s="21">
        <f>VLOOKUP($A17,[2]Copy!$A:$U,9,0)</f>
        <v>0</v>
      </c>
      <c r="AH17" s="21">
        <f>VLOOKUP($A17,[2]Copy!$A:$U,10,0)</f>
        <v>0</v>
      </c>
      <c r="AI17" s="21">
        <f>VLOOKUP($A17,[2]Copy!$A:$U,21,0)</f>
        <v>0</v>
      </c>
      <c r="AJ17" s="21">
        <f>VLOOKUP($A17,[2]Copy!$A:$U,12,0)</f>
        <v>500</v>
      </c>
      <c r="AK17" s="21">
        <f>VLOOKUP($A17,[2]Copy!$A:$U,13,0)</f>
        <v>5000</v>
      </c>
      <c r="AL17" s="21">
        <f>VLOOKUP($A17,[2]Copy!$A:$U,14,0)</f>
        <v>125000</v>
      </c>
      <c r="AM17" s="21">
        <f>VLOOKUP($A17,[2]Copy!$A:$U,15,0)</f>
        <v>10000</v>
      </c>
      <c r="AN17" s="21">
        <f>VLOOKUP($A17,[2]Copy!$A:$U,16,0)</f>
        <v>0</v>
      </c>
      <c r="AO17" s="21">
        <f>VLOOKUP($A17,[2]Copy!$A:$U,17,0)</f>
        <v>0</v>
      </c>
      <c r="AP17" s="21">
        <f>VLOOKUP($A17,[2]Copy!$A:$U,18,0)</f>
        <v>0</v>
      </c>
      <c r="AQ17" s="21">
        <f>VLOOKUP($A17,[2]Copy!$A:$U,19,0)</f>
        <v>0</v>
      </c>
      <c r="AR17" s="21">
        <f>VLOOKUP($A17,[2]Copy!$A:$U,20,0)</f>
        <v>0</v>
      </c>
      <c r="AS17" s="22">
        <f t="shared" si="6"/>
        <v>140500</v>
      </c>
    </row>
    <row r="18" spans="1:45" x14ac:dyDescent="0.25">
      <c r="A18" s="12" t="s">
        <v>67</v>
      </c>
      <c r="B18" s="12" t="s">
        <v>68</v>
      </c>
      <c r="C18" s="13">
        <f>VLOOKUP(A18,'[1]Enrollment Proj'!A:C,3,0)</f>
        <v>346</v>
      </c>
      <c r="D18" s="14">
        <v>1944543</v>
      </c>
      <c r="E18" s="15">
        <f t="shared" si="0"/>
        <v>7.5666811728157951E-3</v>
      </c>
      <c r="F18" s="16">
        <f t="shared" si="1"/>
        <v>7646367.4618599163</v>
      </c>
      <c r="G18" s="16">
        <f t="shared" si="7"/>
        <v>9590910.4618599154</v>
      </c>
      <c r="H18" s="16">
        <f t="shared" si="12"/>
        <v>-191818.20923719832</v>
      </c>
      <c r="I18" s="16"/>
      <c r="J18" s="16">
        <f t="shared" si="8"/>
        <v>9399092.252622718</v>
      </c>
      <c r="K18" s="16">
        <f t="shared" si="2"/>
        <v>9215.4837004158744</v>
      </c>
      <c r="L18" s="16">
        <f t="shared" si="3"/>
        <v>50310.462083950064</v>
      </c>
      <c r="M18" s="16">
        <f t="shared" si="4"/>
        <v>46139.744906805376</v>
      </c>
      <c r="N18" s="17">
        <f t="shared" si="9"/>
        <v>9504757.9433138892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4">
        <f t="shared" si="5"/>
        <v>9428120.4233138897</v>
      </c>
      <c r="Y18" s="19">
        <f t="shared" si="10"/>
        <v>942812.04233138892</v>
      </c>
      <c r="Z18" s="20">
        <f t="shared" si="11"/>
        <v>27470.398680097947</v>
      </c>
      <c r="AA18" s="21">
        <f>VLOOKUP($A18,[2]Copy!$A:$C,3,0)</f>
        <v>8962.56</v>
      </c>
      <c r="AB18" s="21">
        <f>VLOOKUP($A18,[2]Copy!$A:$U,4,0)</f>
        <v>0</v>
      </c>
      <c r="AC18" s="21">
        <f>VLOOKUP($A18,[2]Copy!$A:$U,5,0)</f>
        <v>0</v>
      </c>
      <c r="AD18" s="21">
        <f>VLOOKUP($A18,[2]Copy!$A:$U,6,0)</f>
        <v>0</v>
      </c>
      <c r="AE18" s="21">
        <f>VLOOKUP($A18,[2]Copy!$A:$U,7,0)</f>
        <v>0</v>
      </c>
      <c r="AF18" s="21">
        <f>VLOOKUP($A18,[2]Copy!$A:$U,8,0)</f>
        <v>0</v>
      </c>
      <c r="AG18" s="21">
        <f>VLOOKUP($A18,[2]Copy!$A:$U,9,0)</f>
        <v>0</v>
      </c>
      <c r="AH18" s="21">
        <f>VLOOKUP($A18,[2]Copy!$A:$U,10,0)</f>
        <v>0</v>
      </c>
      <c r="AI18" s="21">
        <f>VLOOKUP($A18,[2]Copy!$A:$U,21,0)</f>
        <v>57674.96</v>
      </c>
      <c r="AJ18" s="21">
        <f>VLOOKUP($A18,[2]Copy!$A:$U,12,0)</f>
        <v>0</v>
      </c>
      <c r="AK18" s="21">
        <f>VLOOKUP($A18,[2]Copy!$A:$U,13,0)</f>
        <v>0</v>
      </c>
      <c r="AL18" s="21">
        <f>VLOOKUP($A18,[2]Copy!$A:$U,14,0)</f>
        <v>0</v>
      </c>
      <c r="AM18" s="21">
        <f>VLOOKUP($A18,[2]Copy!$A:$U,15,0)</f>
        <v>10000</v>
      </c>
      <c r="AN18" s="21">
        <f>VLOOKUP($A18,[2]Copy!$A:$U,16,0)</f>
        <v>0</v>
      </c>
      <c r="AO18" s="21">
        <f>VLOOKUP($A18,[2]Copy!$A:$U,17,0)</f>
        <v>0</v>
      </c>
      <c r="AP18" s="21">
        <f>VLOOKUP($A18,[2]Copy!$A:$U,18,0)</f>
        <v>0</v>
      </c>
      <c r="AQ18" s="21">
        <f>VLOOKUP($A18,[2]Copy!$A:$U,19,0)</f>
        <v>0</v>
      </c>
      <c r="AR18" s="21">
        <f>VLOOKUP($A18,[2]Copy!$A:$U,20,0)</f>
        <v>0</v>
      </c>
      <c r="AS18" s="22">
        <f t="shared" si="6"/>
        <v>76637.52</v>
      </c>
    </row>
    <row r="19" spans="1:45" s="23" customFormat="1" ht="16.5" customHeight="1" x14ac:dyDescent="0.25">
      <c r="B19" s="23" t="s">
        <v>69</v>
      </c>
      <c r="C19" s="23">
        <f>SUM(C2:C18)</f>
        <v>9228</v>
      </c>
      <c r="D19" s="24">
        <f>SUM(D2:D18)</f>
        <v>47169756</v>
      </c>
      <c r="E19" s="25">
        <f t="shared" si="0"/>
        <v>0.18354878480522924</v>
      </c>
      <c r="F19" s="24">
        <f>SUM(F2:F18)</f>
        <v>185481775.13290861</v>
      </c>
      <c r="G19" s="24">
        <f t="shared" ref="G19:Y19" si="13">SUM(G2:G18)</f>
        <v>232651531.13290861</v>
      </c>
      <c r="H19" s="24">
        <f t="shared" si="13"/>
        <v>-4653030.6226581726</v>
      </c>
      <c r="I19" s="24"/>
      <c r="J19" s="24">
        <f t="shared" si="13"/>
        <v>227998500.51025048</v>
      </c>
      <c r="K19" s="24">
        <f t="shared" si="13"/>
        <v>223544.61566064312</v>
      </c>
      <c r="L19" s="24">
        <f t="shared" si="13"/>
        <v>1220406.1420843746</v>
      </c>
      <c r="M19" s="24">
        <f t="shared" si="13"/>
        <v>1230571</v>
      </c>
      <c r="N19" s="26">
        <f t="shared" si="13"/>
        <v>230673022.26799548</v>
      </c>
      <c r="O19" s="27">
        <f t="shared" si="13"/>
        <v>0</v>
      </c>
      <c r="P19" s="28">
        <f t="shared" si="13"/>
        <v>0</v>
      </c>
      <c r="Q19" s="27">
        <f t="shared" si="13"/>
        <v>0</v>
      </c>
      <c r="R19" s="28">
        <f t="shared" si="13"/>
        <v>0</v>
      </c>
      <c r="S19" s="27">
        <f t="shared" si="13"/>
        <v>0</v>
      </c>
      <c r="T19" s="28">
        <f t="shared" si="13"/>
        <v>0</v>
      </c>
      <c r="U19" s="27">
        <f t="shared" si="13"/>
        <v>0</v>
      </c>
      <c r="V19" s="27">
        <f t="shared" si="13"/>
        <v>0</v>
      </c>
      <c r="W19" s="27">
        <f t="shared" si="13"/>
        <v>0</v>
      </c>
      <c r="X19" s="29">
        <f t="shared" si="13"/>
        <v>229028290.12799546</v>
      </c>
      <c r="Y19" s="24">
        <f t="shared" si="13"/>
        <v>22902829.012799546</v>
      </c>
      <c r="AA19" s="30" t="s">
        <v>70</v>
      </c>
      <c r="AB19" s="30"/>
      <c r="AC19" s="30"/>
      <c r="AD19" s="31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>
        <f>SUM(AS2:AS18)</f>
        <v>1644732.1400000001</v>
      </c>
    </row>
    <row r="20" spans="1:45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>
        <v>11</v>
      </c>
      <c r="L20">
        <v>12</v>
      </c>
      <c r="M20">
        <v>13</v>
      </c>
      <c r="N20">
        <v>14</v>
      </c>
      <c r="O20">
        <v>15</v>
      </c>
      <c r="P20">
        <v>16</v>
      </c>
      <c r="Q20">
        <v>17</v>
      </c>
      <c r="R20">
        <v>18</v>
      </c>
      <c r="S20">
        <v>19</v>
      </c>
      <c r="T20">
        <v>20</v>
      </c>
      <c r="U20">
        <v>21</v>
      </c>
      <c r="V20">
        <v>22</v>
      </c>
      <c r="W20">
        <v>23</v>
      </c>
      <c r="X20">
        <v>24</v>
      </c>
      <c r="Y20">
        <v>25</v>
      </c>
      <c r="Z20">
        <v>26</v>
      </c>
      <c r="AA20">
        <v>27</v>
      </c>
      <c r="AB20">
        <v>28</v>
      </c>
      <c r="AC20">
        <v>29</v>
      </c>
      <c r="AD20">
        <v>30</v>
      </c>
      <c r="AE20">
        <v>31</v>
      </c>
      <c r="AF20">
        <v>32</v>
      </c>
      <c r="AG20">
        <v>33</v>
      </c>
      <c r="AH20">
        <v>34</v>
      </c>
      <c r="AI20">
        <v>35</v>
      </c>
      <c r="AJ20">
        <v>36</v>
      </c>
      <c r="AK20">
        <v>37</v>
      </c>
      <c r="AL20">
        <v>38</v>
      </c>
      <c r="AM20">
        <v>39</v>
      </c>
      <c r="AN20">
        <v>40</v>
      </c>
      <c r="AO20">
        <v>41</v>
      </c>
      <c r="AP20">
        <v>42</v>
      </c>
      <c r="AQ20">
        <v>43</v>
      </c>
      <c r="AR20">
        <v>44</v>
      </c>
      <c r="AS20">
        <v>45</v>
      </c>
    </row>
    <row r="21" spans="1:45" x14ac:dyDescent="0.25">
      <c r="D21" s="32">
        <v>46272035.250000007</v>
      </c>
      <c r="F21" s="33">
        <v>184920858.64389551</v>
      </c>
      <c r="N21" s="33">
        <v>229092916.41456616</v>
      </c>
      <c r="X21" s="33">
        <v>229092916.41456616</v>
      </c>
    </row>
    <row r="22" spans="1:45" ht="15.75" x14ac:dyDescent="0.25">
      <c r="D22" s="35">
        <f>D19-D21</f>
        <v>897720.74999999255</v>
      </c>
      <c r="F22" s="33">
        <f>F19-F21</f>
        <v>560916.48901310563</v>
      </c>
      <c r="M22" s="36"/>
      <c r="N22" s="36">
        <f>N19-N21</f>
        <v>1580105.8534293175</v>
      </c>
      <c r="X22" s="33">
        <f>X19-X21</f>
        <v>-64626.286570698023</v>
      </c>
      <c r="Y22" s="33"/>
      <c r="Z22" s="33"/>
      <c r="AA22" s="34">
        <f>Z22-X21</f>
        <v>-229092916.41456616</v>
      </c>
    </row>
    <row r="23" spans="1:45" ht="15.75" x14ac:dyDescent="0.25">
      <c r="A23" s="37" t="s">
        <v>71</v>
      </c>
      <c r="B23" s="38">
        <v>0</v>
      </c>
      <c r="M23" s="36"/>
      <c r="N23" s="36"/>
      <c r="X23" s="33"/>
      <c r="Y23" s="33"/>
      <c r="AA23" s="39"/>
    </row>
    <row r="24" spans="1:45" x14ac:dyDescent="0.25">
      <c r="A24" s="37" t="s">
        <v>72</v>
      </c>
      <c r="B24" s="38">
        <v>0</v>
      </c>
      <c r="Y24" s="33"/>
      <c r="AA24" s="39"/>
    </row>
    <row r="25" spans="1:45" x14ac:dyDescent="0.25">
      <c r="Y25" s="33"/>
    </row>
    <row r="27" spans="1:45" x14ac:dyDescent="0.25">
      <c r="A27" s="40" t="s">
        <v>73</v>
      </c>
      <c r="B27" s="41"/>
    </row>
    <row r="28" spans="1:45" x14ac:dyDescent="0.25">
      <c r="A28" s="42" t="s">
        <v>74</v>
      </c>
      <c r="B28" s="43">
        <v>1010246625.43747</v>
      </c>
      <c r="C28" t="s">
        <v>75</v>
      </c>
      <c r="D28" s="44">
        <v>978074154</v>
      </c>
      <c r="E28" s="45">
        <v>-946937979.56565809</v>
      </c>
      <c r="F28" s="33">
        <v>1010246625.43747</v>
      </c>
    </row>
    <row r="29" spans="1:45" x14ac:dyDescent="0.25">
      <c r="A29" s="42" t="s">
        <v>76</v>
      </c>
      <c r="B29" s="43">
        <f>C29*D29</f>
        <v>284582</v>
      </c>
      <c r="C29" s="33">
        <v>1422910</v>
      </c>
      <c r="D29" s="46">
        <v>0.2</v>
      </c>
    </row>
    <row r="30" spans="1:45" x14ac:dyDescent="0.25">
      <c r="A30" s="42" t="s">
        <v>77</v>
      </c>
      <c r="B30" s="43">
        <v>0</v>
      </c>
      <c r="C30" t="s">
        <v>70</v>
      </c>
      <c r="G30" s="33">
        <f>C29*-0.2</f>
        <v>-284582</v>
      </c>
    </row>
    <row r="31" spans="1:45" x14ac:dyDescent="0.25">
      <c r="A31" s="47" t="s">
        <v>78</v>
      </c>
      <c r="B31" s="48">
        <f>SUM(B28:B30)</f>
        <v>1010531207.43747</v>
      </c>
    </row>
    <row r="32" spans="1:45" x14ac:dyDescent="0.25">
      <c r="A32" s="49" t="s">
        <v>79</v>
      </c>
      <c r="B32" s="50">
        <v>0</v>
      </c>
    </row>
    <row r="33" spans="1:3" x14ac:dyDescent="0.25">
      <c r="A33" s="49" t="s">
        <v>80</v>
      </c>
      <c r="B33" s="51">
        <v>-190369225</v>
      </c>
      <c r="C33" t="s">
        <v>81</v>
      </c>
    </row>
    <row r="34" spans="1:3" x14ac:dyDescent="0.25">
      <c r="A34" s="49" t="s">
        <v>82</v>
      </c>
      <c r="B34" s="52"/>
    </row>
    <row r="35" spans="1:3" x14ac:dyDescent="0.25">
      <c r="B35" s="41"/>
    </row>
    <row r="36" spans="1:3" x14ac:dyDescent="0.25">
      <c r="A36" s="42" t="s">
        <v>83</v>
      </c>
      <c r="B36" s="43">
        <v>256987569</v>
      </c>
      <c r="C36" s="53" t="s">
        <v>75</v>
      </c>
    </row>
    <row r="37" spans="1:3" x14ac:dyDescent="0.25">
      <c r="A37" s="42" t="s">
        <v>84</v>
      </c>
      <c r="B37" s="54">
        <v>1217903</v>
      </c>
    </row>
    <row r="38" spans="1:3" x14ac:dyDescent="0.25">
      <c r="A38" s="42" t="s">
        <v>10</v>
      </c>
      <c r="B38" s="54">
        <v>6648947</v>
      </c>
    </row>
    <row r="39" spans="1:3" x14ac:dyDescent="0.25">
      <c r="A39" s="42" t="s">
        <v>85</v>
      </c>
      <c r="B39" s="54">
        <v>1230571</v>
      </c>
      <c r="C39" s="55">
        <f>B39/C19</f>
        <v>133.35186389250109</v>
      </c>
    </row>
    <row r="41" spans="1:3" hidden="1" x14ac:dyDescent="0.25">
      <c r="A41" s="42" t="s">
        <v>86</v>
      </c>
      <c r="B41" s="54">
        <f>+'[3]Average Salaries'!$K$31</f>
        <v>149750.98538873281</v>
      </c>
    </row>
    <row r="42" spans="1:3" hidden="1" x14ac:dyDescent="0.25">
      <c r="A42" s="42" t="s">
        <v>87</v>
      </c>
      <c r="B42" s="54">
        <f>+'[3]Average Salaries'!$K$41</f>
        <v>110180.1024023324</v>
      </c>
    </row>
    <row r="43" spans="1:3" hidden="1" x14ac:dyDescent="0.25">
      <c r="A43" s="42" t="s">
        <v>88</v>
      </c>
      <c r="B43" s="54">
        <f>+'[3]Average Salaries'!$K$46</f>
        <v>126217.57216332885</v>
      </c>
    </row>
  </sheetData>
  <autoFilter ref="A1:AS24" xr:uid="{2E5A96BA-DBDE-472F-8E25-4BDD2F0007C6}"/>
  <pageMargins left="0.7" right="0.7" top="0.75" bottom="0.75" header="0.3" footer="0.3"/>
  <pageSetup scale="21" orientation="landscape" r:id="rId1"/>
  <colBreaks count="1" manualBreakCount="1">
    <brk id="24" max="4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9942-EC7C-4727-B9C3-9C971599DD19}">
  <sheetPr>
    <tabColor rgb="FFFF0000"/>
  </sheetPr>
  <dimension ref="A1:AO28"/>
  <sheetViews>
    <sheetView workbookViewId="0">
      <pane xSplit="2" ySplit="1" topLeftCell="C2" activePane="bottomRight" state="frozen"/>
      <selection activeCell="D25" sqref="D25"/>
      <selection pane="topRight" activeCell="D25" sqref="D25"/>
      <selection pane="bottomLeft" activeCell="D25" sqref="D25"/>
      <selection pane="bottomRight" activeCell="D25" sqref="D25"/>
    </sheetView>
  </sheetViews>
  <sheetFormatPr defaultRowHeight="15" x14ac:dyDescent="0.25"/>
  <cols>
    <col min="1" max="1" width="29.42578125" bestFit="1" customWidth="1"/>
    <col min="2" max="2" width="27.5703125" customWidth="1"/>
    <col min="3" max="3" width="28.28515625" customWidth="1"/>
    <col min="4" max="4" width="15.85546875" customWidth="1"/>
    <col min="5" max="7" width="15.85546875" style="33" customWidth="1"/>
    <col min="8" max="8" width="19.28515625" style="33" customWidth="1"/>
    <col min="9" max="10" width="15.85546875" style="33" customWidth="1"/>
    <col min="11" max="14" width="15.28515625" style="33" customWidth="1"/>
    <col min="15" max="15" width="20.140625" style="32" customWidth="1"/>
    <col min="16" max="16" width="24.5703125" style="33" customWidth="1"/>
    <col min="17" max="18" width="25.85546875" customWidth="1"/>
    <col min="19" max="19" width="21.7109375" customWidth="1"/>
    <col min="20" max="22" width="9.5703125" style="32" bestFit="1" customWidth="1"/>
    <col min="23" max="27" width="9.28515625" style="32" bestFit="1" customWidth="1"/>
    <col min="28" max="28" width="11.5703125" style="32" bestFit="1" customWidth="1"/>
    <col min="29" max="30" width="9.28515625" style="32" bestFit="1" customWidth="1"/>
    <col min="31" max="31" width="9.5703125" style="32" bestFit="1" customWidth="1"/>
    <col min="32" max="32" width="11.5703125" style="32" bestFit="1" customWidth="1"/>
    <col min="33" max="33" width="10.5703125" style="32" bestFit="1" customWidth="1"/>
    <col min="34" max="38" width="9.28515625" style="32" bestFit="1" customWidth="1"/>
    <col min="39" max="39" width="13.28515625" style="32" bestFit="1" customWidth="1"/>
    <col min="40" max="41" width="11.5703125" bestFit="1" customWidth="1"/>
  </cols>
  <sheetData>
    <row r="1" spans="1:41" s="11" customFormat="1" ht="120" x14ac:dyDescent="0.25">
      <c r="A1" s="1" t="s">
        <v>0</v>
      </c>
      <c r="B1" s="1" t="s">
        <v>89</v>
      </c>
      <c r="C1" s="1" t="s">
        <v>90</v>
      </c>
      <c r="D1" s="56" t="s">
        <v>91</v>
      </c>
      <c r="E1" s="57" t="s">
        <v>92</v>
      </c>
      <c r="F1" s="57" t="s">
        <v>93</v>
      </c>
      <c r="G1" s="57" t="s">
        <v>94</v>
      </c>
      <c r="H1" s="4" t="s">
        <v>95</v>
      </c>
      <c r="I1" s="4" t="s">
        <v>96</v>
      </c>
      <c r="J1" s="4" t="s">
        <v>97</v>
      </c>
      <c r="K1" s="5" t="s">
        <v>98</v>
      </c>
      <c r="L1" s="5" t="s">
        <v>99</v>
      </c>
      <c r="M1" s="5" t="s">
        <v>100</v>
      </c>
      <c r="N1" s="5" t="s">
        <v>101</v>
      </c>
      <c r="O1" s="58" t="s">
        <v>102</v>
      </c>
      <c r="P1" s="5" t="s">
        <v>103</v>
      </c>
      <c r="Q1" s="59" t="s">
        <v>104</v>
      </c>
      <c r="R1" s="60" t="s">
        <v>105</v>
      </c>
      <c r="S1" s="61" t="s">
        <v>106</v>
      </c>
      <c r="T1" s="62" t="s">
        <v>16</v>
      </c>
      <c r="U1" s="63" t="s">
        <v>17</v>
      </c>
      <c r="V1" s="62" t="s">
        <v>18</v>
      </c>
      <c r="W1" s="62" t="s">
        <v>19</v>
      </c>
      <c r="X1" s="62" t="s">
        <v>20</v>
      </c>
      <c r="Y1" s="62" t="s">
        <v>21</v>
      </c>
      <c r="Z1" s="62" t="s">
        <v>22</v>
      </c>
      <c r="AA1" s="62" t="s">
        <v>23</v>
      </c>
      <c r="AC1" s="62" t="s">
        <v>24</v>
      </c>
      <c r="AD1" s="63" t="s">
        <v>25</v>
      </c>
      <c r="AE1" s="62" t="s">
        <v>26</v>
      </c>
      <c r="AF1" s="62" t="s">
        <v>27</v>
      </c>
      <c r="AG1" s="63" t="s">
        <v>28</v>
      </c>
      <c r="AH1" s="62" t="s">
        <v>29</v>
      </c>
      <c r="AI1" s="62" t="s">
        <v>30</v>
      </c>
      <c r="AJ1" s="63" t="s">
        <v>31</v>
      </c>
      <c r="AK1" s="62" t="s">
        <v>32</v>
      </c>
      <c r="AL1" s="62" t="s">
        <v>33</v>
      </c>
      <c r="AM1" s="62" t="s">
        <v>107</v>
      </c>
      <c r="AN1" s="11" t="s">
        <v>108</v>
      </c>
      <c r="AO1" s="11" t="s">
        <v>109</v>
      </c>
    </row>
    <row r="2" spans="1:41" x14ac:dyDescent="0.25">
      <c r="A2" s="64" t="s">
        <v>110</v>
      </c>
      <c r="B2" s="12" t="s">
        <v>111</v>
      </c>
      <c r="C2" s="13">
        <v>354</v>
      </c>
      <c r="D2" s="65">
        <f>$B$16</f>
        <v>1302753519</v>
      </c>
      <c r="E2" s="66">
        <f>-$B$17</f>
        <v>-16630087</v>
      </c>
      <c r="F2" s="66">
        <f>-$B$18</f>
        <v>-5727955</v>
      </c>
      <c r="G2" s="66">
        <f>-$B$20</f>
        <v>-43000000</v>
      </c>
      <c r="H2" s="67">
        <f>SUM(D2:G2)</f>
        <v>1237395477</v>
      </c>
      <c r="I2" s="68">
        <f>'[1]Weighted Ave Partner Midterm'!C31</f>
        <v>48710.400000000001</v>
      </c>
      <c r="J2" s="17">
        <f>H2/I2</f>
        <v>25403.106461864405</v>
      </c>
      <c r="K2" s="18">
        <f>B28</f>
        <v>583.17603339442064</v>
      </c>
      <c r="L2" s="18">
        <f>J2+K2</f>
        <v>25986.282495258827</v>
      </c>
      <c r="M2" s="18">
        <f>-L2*0.02</f>
        <v>-519.72564990517651</v>
      </c>
      <c r="N2" s="69">
        <v>354</v>
      </c>
      <c r="O2" s="70">
        <f>L2*N2</f>
        <v>9199144.0033216253</v>
      </c>
      <c r="P2" s="71">
        <f>M2*N2</f>
        <v>-183982.8800664325</v>
      </c>
      <c r="Q2" s="72">
        <f>O2+P2</f>
        <v>9015161.1232551932</v>
      </c>
      <c r="R2" s="72">
        <f>Q2-AM2</f>
        <v>8860157.7832551934</v>
      </c>
      <c r="S2" s="18">
        <f>R2/10</f>
        <v>886015.77832551929</v>
      </c>
      <c r="T2" s="21">
        <f>VLOOKUP($A2,[2]Copy!$A:$U,3,0)</f>
        <v>1805</v>
      </c>
      <c r="U2" s="21">
        <f>VLOOKUP($A2,[2]Copy!$A:$U,4,0)</f>
        <v>0</v>
      </c>
      <c r="V2" s="21">
        <f>VLOOKUP($A2,[2]Copy!$A:$U,5,0)</f>
        <v>0</v>
      </c>
      <c r="W2" s="21">
        <f>VLOOKUP($A2,[2]Copy!$A:$U,6,0)</f>
        <v>0</v>
      </c>
      <c r="X2" s="21">
        <f>VLOOKUP($A2,[2]Copy!$A:$U,7,0)</f>
        <v>0</v>
      </c>
      <c r="Y2" s="21">
        <f>VLOOKUP($A2,[2]Copy!$A:$U,8,0)</f>
        <v>500</v>
      </c>
      <c r="Z2" s="21">
        <f>VLOOKUP($A2,[2]Copy!$A:$U,9,0)</f>
        <v>0</v>
      </c>
      <c r="AA2" s="21">
        <f>VLOOKUP($A2,[2]Copy!$A:$U,10,0)</f>
        <v>0</v>
      </c>
      <c r="AB2" s="21"/>
      <c r="AC2" s="21">
        <f>VLOOKUP($A2,[2]Copy!$A:$U,21,0)</f>
        <v>17498.34</v>
      </c>
      <c r="AD2" s="21">
        <f>VLOOKUP($A2,[2]Copy!$A:$U,12,0)</f>
        <v>0</v>
      </c>
      <c r="AE2" s="21">
        <f>VLOOKUP($A2,[2]Copy!$A:$U,13,0)</f>
        <v>0</v>
      </c>
      <c r="AF2" s="21">
        <f>VLOOKUP($A2,[2]Copy!$A:$U,14,0)</f>
        <v>125000</v>
      </c>
      <c r="AG2" s="21">
        <f>VLOOKUP($A2,[2]Copy!$A:$U,15,0)</f>
        <v>10000</v>
      </c>
      <c r="AH2" s="21">
        <f>VLOOKUP($A2,[2]Copy!$A:$U,16,0)</f>
        <v>0</v>
      </c>
      <c r="AI2" s="21">
        <f>VLOOKUP($A2,[2]Copy!$A:$U,17,0)</f>
        <v>0</v>
      </c>
      <c r="AJ2" s="21">
        <f>VLOOKUP($A2,[2]Copy!$A:$U,18,0)</f>
        <v>200</v>
      </c>
      <c r="AK2" s="21">
        <f>VLOOKUP($A2,[2]Copy!$A:$U,19,0)</f>
        <v>0</v>
      </c>
      <c r="AL2" s="21">
        <f>VLOOKUP($A2,[2]Copy!$A:$U,20,0)</f>
        <v>0</v>
      </c>
      <c r="AM2" s="73">
        <f>SUM(T2:AL2)</f>
        <v>155003.34</v>
      </c>
    </row>
    <row r="3" spans="1:41" s="77" customFormat="1" x14ac:dyDescent="0.25">
      <c r="A3" s="74" t="s">
        <v>112</v>
      </c>
      <c r="B3" s="13" t="s">
        <v>113</v>
      </c>
      <c r="C3" s="13">
        <v>218</v>
      </c>
      <c r="D3" s="17">
        <f>$B$16</f>
        <v>1302753519</v>
      </c>
      <c r="E3" s="67">
        <f t="shared" ref="E3:E6" si="0">-$B$17</f>
        <v>-16630087</v>
      </c>
      <c r="F3" s="67">
        <f t="shared" ref="F3:F6" si="1">-$B$18</f>
        <v>-5727955</v>
      </c>
      <c r="G3" s="67">
        <f>-$B$20</f>
        <v>-43000000</v>
      </c>
      <c r="H3" s="67">
        <f>SUM(D3:G3)</f>
        <v>1237395477</v>
      </c>
      <c r="I3" s="68">
        <v>48710.400000000001</v>
      </c>
      <c r="J3" s="17">
        <f>H3/I3</f>
        <v>25403.106461864405</v>
      </c>
      <c r="K3" s="17">
        <f>$B$28</f>
        <v>583.17603339442064</v>
      </c>
      <c r="L3" s="17">
        <f>J3+K3</f>
        <v>25986.282495258827</v>
      </c>
      <c r="M3" s="17">
        <f>-L3*0.02</f>
        <v>-519.72564990517651</v>
      </c>
      <c r="N3" s="69">
        <v>218</v>
      </c>
      <c r="O3" s="75">
        <f>L3*N3</f>
        <v>5665009.5839664247</v>
      </c>
      <c r="P3" s="76">
        <f>M3*N3</f>
        <v>-113300.19167932848</v>
      </c>
      <c r="Q3" s="75">
        <f>O3+P3</f>
        <v>5551709.392287096</v>
      </c>
      <c r="R3" s="75">
        <f>Q3-AM3</f>
        <v>5385880.9622870963</v>
      </c>
      <c r="S3" s="17">
        <f t="shared" ref="S3:S7" si="2">R3/10</f>
        <v>538588.09622870968</v>
      </c>
      <c r="T3" s="21">
        <f>VLOOKUP($A3,[2]Copy!$A:$U,3,0)</f>
        <v>1805</v>
      </c>
      <c r="U3" s="21">
        <f>VLOOKUP($A3,[2]Copy!$A:$U,4,0)</f>
        <v>0</v>
      </c>
      <c r="V3" s="21">
        <f>VLOOKUP($A3,[2]Copy!$A:$U,5,0)</f>
        <v>0</v>
      </c>
      <c r="W3" s="21">
        <f>VLOOKUP($A3,[2]Copy!$A:$U,6,0)</f>
        <v>2000</v>
      </c>
      <c r="X3" s="21">
        <f>VLOOKUP($A3,[2]Copy!$A:$U,7,0)</f>
        <v>0</v>
      </c>
      <c r="Y3" s="21">
        <f>VLOOKUP($A3,[2]Copy!$A:$U,8,0)</f>
        <v>0</v>
      </c>
      <c r="Z3" s="21">
        <f>VLOOKUP($A3,[2]Copy!$A:$U,9,0)</f>
        <v>0</v>
      </c>
      <c r="AA3" s="21">
        <f>VLOOKUP($A3,[2]Copy!$A:$U,10,0)</f>
        <v>0</v>
      </c>
      <c r="AB3" s="21"/>
      <c r="AC3" s="21">
        <f>VLOOKUP($A3,[2]Copy!$A:$U,21,0)</f>
        <v>37023.43</v>
      </c>
      <c r="AD3" s="21">
        <f>VLOOKUP($A3,[2]Copy!$A:$U,12,0)</f>
        <v>0</v>
      </c>
      <c r="AE3" s="21">
        <f>VLOOKUP($A3,[2]Copy!$A:$U,13,0)</f>
        <v>0</v>
      </c>
      <c r="AF3" s="21">
        <f>VLOOKUP($A3,[2]Copy!$A:$U,14,0)</f>
        <v>125000</v>
      </c>
      <c r="AG3" s="21">
        <f>VLOOKUP($A3,[2]Copy!$A:$U,15,0)</f>
        <v>0</v>
      </c>
      <c r="AH3" s="21">
        <f>VLOOKUP($A3,[2]Copy!$A:$U,16,0)</f>
        <v>0</v>
      </c>
      <c r="AI3" s="21">
        <f>VLOOKUP($A3,[2]Copy!$A:$U,17,0)</f>
        <v>0</v>
      </c>
      <c r="AJ3" s="21">
        <f>VLOOKUP($A3,[2]Copy!$A:$U,18,0)</f>
        <v>0</v>
      </c>
      <c r="AK3" s="21">
        <f>VLOOKUP($A3,[2]Copy!$A:$U,19,0)</f>
        <v>0</v>
      </c>
      <c r="AL3" s="21">
        <f>VLOOKUP($A3,[2]Copy!$A:$U,20,0)</f>
        <v>0</v>
      </c>
      <c r="AM3" s="73">
        <f t="shared" ref="AM3:AM6" si="3">SUM(T3:AL3)</f>
        <v>165828.43</v>
      </c>
    </row>
    <row r="4" spans="1:41" s="77" customFormat="1" ht="15" customHeight="1" x14ac:dyDescent="0.25">
      <c r="A4" s="74" t="s">
        <v>114</v>
      </c>
      <c r="B4" s="13" t="s">
        <v>115</v>
      </c>
      <c r="C4" s="13">
        <v>475</v>
      </c>
      <c r="D4" s="17">
        <f>$B$16</f>
        <v>1302753519</v>
      </c>
      <c r="E4" s="67">
        <f t="shared" si="0"/>
        <v>-16630087</v>
      </c>
      <c r="F4" s="67">
        <f t="shared" si="1"/>
        <v>-5727955</v>
      </c>
      <c r="G4" s="67">
        <f>-$B$20</f>
        <v>-43000000</v>
      </c>
      <c r="H4" s="67">
        <f>SUM(D4:G4)</f>
        <v>1237395477</v>
      </c>
      <c r="I4" s="68">
        <v>48710.400000000001</v>
      </c>
      <c r="J4" s="17">
        <f>H4/I4</f>
        <v>25403.106461864405</v>
      </c>
      <c r="K4" s="17">
        <f>$B$28</f>
        <v>583.17603339442064</v>
      </c>
      <c r="L4" s="17">
        <f>J4+K4</f>
        <v>25986.282495258827</v>
      </c>
      <c r="M4" s="17">
        <f>-L4*0.02</f>
        <v>-519.72564990517651</v>
      </c>
      <c r="N4" s="69">
        <v>475</v>
      </c>
      <c r="O4" s="75">
        <f>L4*N4</f>
        <v>12343484.185247943</v>
      </c>
      <c r="P4" s="76">
        <f>M4*N4</f>
        <v>-246869.68370495885</v>
      </c>
      <c r="Q4" s="75">
        <f>O4+P4</f>
        <v>12096614.501542984</v>
      </c>
      <c r="R4" s="75">
        <f>Q4-AM4</f>
        <v>11947472.031542983</v>
      </c>
      <c r="S4" s="17">
        <f t="shared" si="2"/>
        <v>1194747.2031542982</v>
      </c>
      <c r="T4" s="21">
        <f>VLOOKUP($A4,[2]Copy!$A:$U,3,0)</f>
        <v>1805</v>
      </c>
      <c r="U4" s="21">
        <f>VLOOKUP($A4,[2]Copy!$A:$U,4,0)</f>
        <v>0</v>
      </c>
      <c r="V4" s="21">
        <f>VLOOKUP($A4,[2]Copy!$A:$U,5,0)</f>
        <v>0</v>
      </c>
      <c r="W4" s="21">
        <f>VLOOKUP($A4,[2]Copy!$A:$U,6,0)</f>
        <v>0</v>
      </c>
      <c r="X4" s="21">
        <f>VLOOKUP($A4,[2]Copy!$A:$U,7,0)</f>
        <v>0</v>
      </c>
      <c r="Y4" s="21">
        <f>VLOOKUP($A4,[2]Copy!$A:$U,8,0)</f>
        <v>0</v>
      </c>
      <c r="Z4" s="21">
        <f>VLOOKUP($A4,[2]Copy!$A:$U,9,0)</f>
        <v>0</v>
      </c>
      <c r="AA4" s="21">
        <f>VLOOKUP($A4,[2]Copy!$A:$U,10,0)</f>
        <v>0</v>
      </c>
      <c r="AB4" s="21"/>
      <c r="AC4" s="21">
        <f>VLOOKUP($A4,[2]Copy!$A:$U,21,0)</f>
        <v>17337.47</v>
      </c>
      <c r="AD4" s="21">
        <f>VLOOKUP($A4,[2]Copy!$A:$U,12,0)</f>
        <v>0</v>
      </c>
      <c r="AE4" s="21">
        <f>VLOOKUP($A4,[2]Copy!$A:$U,13,0)</f>
        <v>5000</v>
      </c>
      <c r="AF4" s="21">
        <f>VLOOKUP($A4,[2]Copy!$A:$U,14,0)</f>
        <v>125000</v>
      </c>
      <c r="AG4" s="21">
        <f>VLOOKUP($A4,[2]Copy!$A:$U,15,0)</f>
        <v>0</v>
      </c>
      <c r="AH4" s="21">
        <f>VLOOKUP($A4,[2]Copy!$A:$U,16,0)</f>
        <v>0</v>
      </c>
      <c r="AI4" s="21">
        <f>VLOOKUP($A4,[2]Copy!$A:$U,17,0)</f>
        <v>0</v>
      </c>
      <c r="AJ4" s="21">
        <f>VLOOKUP($A4,[2]Copy!$A:$U,18,0)</f>
        <v>0</v>
      </c>
      <c r="AK4" s="21">
        <f>VLOOKUP($A4,[2]Copy!$A:$U,19,0)</f>
        <v>0</v>
      </c>
      <c r="AL4" s="21">
        <f>VLOOKUP($A4,[2]Copy!$A:$U,20,0)</f>
        <v>0</v>
      </c>
      <c r="AM4" s="73">
        <f t="shared" si="3"/>
        <v>149142.47</v>
      </c>
    </row>
    <row r="5" spans="1:41" s="77" customFormat="1" x14ac:dyDescent="0.25">
      <c r="A5" s="74" t="s">
        <v>116</v>
      </c>
      <c r="B5" s="13" t="s">
        <v>117</v>
      </c>
      <c r="C5" s="78">
        <v>569</v>
      </c>
      <c r="D5" s="17">
        <f>$B$16</f>
        <v>1302753519</v>
      </c>
      <c r="E5" s="67">
        <f t="shared" si="0"/>
        <v>-16630087</v>
      </c>
      <c r="F5" s="67">
        <f t="shared" si="1"/>
        <v>-5727955</v>
      </c>
      <c r="G5" s="67">
        <f>-$B$20</f>
        <v>-43000000</v>
      </c>
      <c r="H5" s="67">
        <f>SUM(D5:G5)</f>
        <v>1237395477</v>
      </c>
      <c r="I5" s="68">
        <v>48710.400000000001</v>
      </c>
      <c r="J5" s="17">
        <f>H5/I5</f>
        <v>25403.106461864405</v>
      </c>
      <c r="K5" s="17">
        <f>$B$28</f>
        <v>583.17603339442064</v>
      </c>
      <c r="L5" s="17">
        <f>J5+K5</f>
        <v>25986.282495258827</v>
      </c>
      <c r="M5" s="17">
        <f>-L5*0.02</f>
        <v>-519.72564990517651</v>
      </c>
      <c r="N5" s="69">
        <f>C5</f>
        <v>569</v>
      </c>
      <c r="O5" s="75">
        <f>L5*N5</f>
        <v>14786194.739802273</v>
      </c>
      <c r="P5" s="76">
        <f>M5*N5</f>
        <v>-295723.89479604544</v>
      </c>
      <c r="Q5" s="75">
        <f>O5+P5</f>
        <v>14490470.845006227</v>
      </c>
      <c r="R5" s="79">
        <f>Q5-AM5-AN5-AO5</f>
        <v>13651683.115006227</v>
      </c>
      <c r="S5" s="80">
        <f t="shared" si="2"/>
        <v>1365168.3115006227</v>
      </c>
      <c r="T5" s="21">
        <f>VLOOKUP($A5,[2]Copy!$A:$U,3,0)</f>
        <v>1805</v>
      </c>
      <c r="U5" s="21">
        <f>VLOOKUP($A5,[2]Copy!$A:$U,4,0)</f>
        <v>0</v>
      </c>
      <c r="V5" s="21">
        <f>VLOOKUP($A5,[2]Copy!$A:$U,5,0)</f>
        <v>25000</v>
      </c>
      <c r="W5" s="21">
        <f>VLOOKUP($A5,[2]Copy!$A:$U,6,0)</f>
        <v>0</v>
      </c>
      <c r="X5" s="21">
        <f>VLOOKUP($A5,[2]Copy!$A:$U,7,0)</f>
        <v>0</v>
      </c>
      <c r="Y5" s="21">
        <f>VLOOKUP($A5,[2]Copy!$A:$U,8,0)</f>
        <v>0</v>
      </c>
      <c r="Z5" s="21">
        <f>VLOOKUP($A5,[2]Copy!$A:$U,9,0)</f>
        <v>0</v>
      </c>
      <c r="AA5" s="21">
        <f>VLOOKUP($A5,[2]Copy!$A:$U,10,0)</f>
        <v>0</v>
      </c>
      <c r="AB5" s="21"/>
      <c r="AC5" s="21">
        <f>VLOOKUP($A5,[2]Copy!$A:$U,21,0)</f>
        <v>18637.73</v>
      </c>
      <c r="AD5" s="21">
        <f>VLOOKUP($A5,[2]Copy!$A:$U,12,0)</f>
        <v>0</v>
      </c>
      <c r="AE5" s="21">
        <f>VLOOKUP($A5,[2]Copy!$A:$U,13,0)</f>
        <v>0</v>
      </c>
      <c r="AF5" s="21">
        <f>VLOOKUP($A5,[2]Copy!$A:$U,14,0)</f>
        <v>250000</v>
      </c>
      <c r="AG5" s="21">
        <f>VLOOKUP($A5,[2]Copy!$A:$U,15,0)</f>
        <v>0</v>
      </c>
      <c r="AH5" s="21">
        <f>VLOOKUP($A5,[2]Copy!$A:$U,16,0)</f>
        <v>0</v>
      </c>
      <c r="AI5" s="21">
        <f>VLOOKUP($A5,[2]Copy!$A:$U,17,0)</f>
        <v>0</v>
      </c>
      <c r="AJ5" s="21">
        <f>VLOOKUP($A5,[2]Copy!$A:$U,18,0)</f>
        <v>0</v>
      </c>
      <c r="AK5" s="21">
        <f>VLOOKUP($A5,[2]Copy!$A:$U,19,0)</f>
        <v>0</v>
      </c>
      <c r="AL5" s="21">
        <f>VLOOKUP($A5,[2]Copy!$A:$U,20,0)</f>
        <v>0</v>
      </c>
      <c r="AM5" s="73">
        <f t="shared" si="3"/>
        <v>295442.73</v>
      </c>
      <c r="AN5" s="81">
        <v>210000</v>
      </c>
      <c r="AO5" s="81">
        <v>333345</v>
      </c>
    </row>
    <row r="6" spans="1:41" x14ac:dyDescent="0.25">
      <c r="A6" s="64" t="s">
        <v>118</v>
      </c>
      <c r="B6" s="12" t="s">
        <v>119</v>
      </c>
      <c r="C6" s="13">
        <v>644</v>
      </c>
      <c r="D6" s="65">
        <f>$B$16</f>
        <v>1302753519</v>
      </c>
      <c r="E6" s="66">
        <f t="shared" si="0"/>
        <v>-16630087</v>
      </c>
      <c r="F6" s="66">
        <f t="shared" si="1"/>
        <v>-5727955</v>
      </c>
      <c r="G6" s="66">
        <f>-$B$20</f>
        <v>-43000000</v>
      </c>
      <c r="H6" s="67">
        <f>SUM(D6:G6)</f>
        <v>1237395477</v>
      </c>
      <c r="I6" s="68">
        <v>48710.400000000001</v>
      </c>
      <c r="J6" s="17">
        <f>H6/I6</f>
        <v>25403.106461864405</v>
      </c>
      <c r="K6" s="18">
        <f>$B$28</f>
        <v>583.17603339442064</v>
      </c>
      <c r="L6" s="18">
        <f>J6+K6</f>
        <v>25986.282495258827</v>
      </c>
      <c r="M6" s="18">
        <f>-L6*0.02</f>
        <v>-519.72564990517651</v>
      </c>
      <c r="N6" s="69">
        <v>644</v>
      </c>
      <c r="O6" s="70">
        <f>L6*N6</f>
        <v>16735165.926946685</v>
      </c>
      <c r="P6" s="71">
        <f>M6*N6</f>
        <v>-334703.3185389337</v>
      </c>
      <c r="Q6" s="72">
        <f>O6+P6</f>
        <v>16400462.608407751</v>
      </c>
      <c r="R6" s="72">
        <f>Q6-AM6</f>
        <v>16383457.608407751</v>
      </c>
      <c r="S6" s="18">
        <f t="shared" si="2"/>
        <v>1638345.760840775</v>
      </c>
      <c r="T6" s="21">
        <f>VLOOKUP($A6,[2]Copy!$A:$U,3,0)</f>
        <v>1805</v>
      </c>
      <c r="U6" s="21">
        <f>VLOOKUP($A6,[2]Copy!$A:$U,4,0)</f>
        <v>0</v>
      </c>
      <c r="V6" s="21">
        <f>VLOOKUP($A6,[2]Copy!$A:$U,5,0)</f>
        <v>0</v>
      </c>
      <c r="W6" s="21">
        <f>VLOOKUP($A6,[2]Copy!$A:$U,6,0)</f>
        <v>5000</v>
      </c>
      <c r="X6" s="21">
        <f>VLOOKUP($A6,[2]Copy!$A:$U,7,0)</f>
        <v>0</v>
      </c>
      <c r="Y6" s="21">
        <f>VLOOKUP($A6,[2]Copy!$A:$U,8,0)</f>
        <v>0</v>
      </c>
      <c r="Z6" s="21">
        <f>VLOOKUP($A6,[2]Copy!$A:$U,9,0)</f>
        <v>0</v>
      </c>
      <c r="AA6" s="21">
        <f>VLOOKUP($A6,[2]Copy!$A:$U,10,0)</f>
        <v>0</v>
      </c>
      <c r="AB6" s="21"/>
      <c r="AC6" s="21">
        <f>VLOOKUP($A6,[2]Copy!$A:$U,21,0)</f>
        <v>0</v>
      </c>
      <c r="AD6" s="21">
        <f>VLOOKUP($A6,[2]Copy!$A:$U,12,0)</f>
        <v>0</v>
      </c>
      <c r="AE6" s="21">
        <f>VLOOKUP($A6,[2]Copy!$A:$U,13,0)</f>
        <v>6000</v>
      </c>
      <c r="AF6" s="21">
        <f>VLOOKUP($A6,[2]Copy!$A:$U,14,0)</f>
        <v>0</v>
      </c>
      <c r="AG6" s="21">
        <f>VLOOKUP($A6,[2]Copy!$A:$U,15,0)</f>
        <v>4000</v>
      </c>
      <c r="AH6" s="21">
        <f>VLOOKUP($A6,[2]Copy!$A:$U,16,0)</f>
        <v>0</v>
      </c>
      <c r="AI6" s="21">
        <f>VLOOKUP($A6,[2]Copy!$A:$U,17,0)</f>
        <v>0</v>
      </c>
      <c r="AJ6" s="21">
        <f>VLOOKUP($A6,[2]Copy!$A:$U,18,0)</f>
        <v>200</v>
      </c>
      <c r="AK6" s="21">
        <f>VLOOKUP($A6,[2]Copy!$A:$U,19,0)</f>
        <v>0</v>
      </c>
      <c r="AL6" s="21">
        <f>VLOOKUP($A6,[2]Copy!$A:$U,20,0)</f>
        <v>0</v>
      </c>
      <c r="AM6" s="73">
        <f t="shared" si="3"/>
        <v>17005</v>
      </c>
    </row>
    <row r="7" spans="1:41" s="40" customFormat="1" ht="15.75" thickBot="1" x14ac:dyDescent="0.3">
      <c r="C7" s="82">
        <f>SUM(C2:C6)</f>
        <v>2260</v>
      </c>
      <c r="D7" s="35"/>
      <c r="E7" s="83"/>
      <c r="F7" s="83"/>
      <c r="G7" s="83"/>
      <c r="H7" s="83"/>
      <c r="I7" s="83"/>
      <c r="J7" s="84"/>
      <c r="K7" s="85"/>
      <c r="L7" s="85"/>
      <c r="M7" s="85"/>
      <c r="N7" s="86">
        <f>SUM(N2:N6)</f>
        <v>2260</v>
      </c>
      <c r="O7" s="87"/>
      <c r="P7" s="85"/>
      <c r="Q7" s="88">
        <f>SUM(Q2:Q6)</f>
        <v>57554418.470499247</v>
      </c>
      <c r="R7" s="89">
        <f>SUM(R2:R6)</f>
        <v>56228651.500499249</v>
      </c>
      <c r="S7" s="90">
        <f t="shared" si="2"/>
        <v>5622865.1500499249</v>
      </c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>
        <f>SUM(AM2:AM6)</f>
        <v>782421.97</v>
      </c>
    </row>
    <row r="8" spans="1:41" x14ac:dyDescent="0.25">
      <c r="A8">
        <v>1</v>
      </c>
      <c r="B8">
        <v>2</v>
      </c>
      <c r="C8">
        <v>3</v>
      </c>
      <c r="D8">
        <v>4</v>
      </c>
      <c r="E8" s="92">
        <v>5</v>
      </c>
      <c r="J8">
        <v>14</v>
      </c>
      <c r="K8">
        <v>15</v>
      </c>
      <c r="L8"/>
      <c r="M8"/>
      <c r="N8" s="86"/>
      <c r="P8"/>
      <c r="Q8">
        <v>16</v>
      </c>
      <c r="R8" s="32">
        <v>56422342.858792514</v>
      </c>
      <c r="S8" s="93"/>
      <c r="T8" s="34">
        <v>20</v>
      </c>
      <c r="U8" s="34">
        <v>21</v>
      </c>
    </row>
    <row r="9" spans="1:41" x14ac:dyDescent="0.25">
      <c r="R9" s="94">
        <f>R8-R7</f>
        <v>193691.3582932651</v>
      </c>
    </row>
    <row r="10" spans="1:41" x14ac:dyDescent="0.25">
      <c r="P10" s="95"/>
      <c r="Q10" s="96"/>
      <c r="R10" s="96"/>
      <c r="T10" s="96"/>
    </row>
    <row r="11" spans="1:41" x14ac:dyDescent="0.25">
      <c r="A11" t="s">
        <v>120</v>
      </c>
      <c r="B11" s="46">
        <v>0.02</v>
      </c>
      <c r="Q11" s="94">
        <v>15390461.657688731</v>
      </c>
      <c r="R11" s="94"/>
      <c r="S11" s="94"/>
      <c r="T11" s="96"/>
    </row>
    <row r="12" spans="1:41" x14ac:dyDescent="0.25">
      <c r="Q12" s="94">
        <v>14620938.574804293</v>
      </c>
      <c r="R12" s="94"/>
      <c r="S12" s="94"/>
      <c r="T12" s="96"/>
    </row>
    <row r="13" spans="1:41" x14ac:dyDescent="0.25">
      <c r="Q13" s="94">
        <f>Q11-Q12</f>
        <v>769523.08288443834</v>
      </c>
      <c r="T13" s="96"/>
    </row>
    <row r="14" spans="1:41" x14ac:dyDescent="0.25">
      <c r="T14" s="96"/>
    </row>
    <row r="15" spans="1:41" x14ac:dyDescent="0.25">
      <c r="A15" s="40" t="s">
        <v>73</v>
      </c>
      <c r="B15" s="41"/>
      <c r="T15" s="96"/>
    </row>
    <row r="16" spans="1:41" x14ac:dyDescent="0.25">
      <c r="A16" s="42" t="s">
        <v>121</v>
      </c>
      <c r="B16" s="43">
        <v>1302753519</v>
      </c>
      <c r="C16" s="97" t="s">
        <v>122</v>
      </c>
      <c r="D16" s="33">
        <v>1261847212</v>
      </c>
      <c r="F16" s="98">
        <v>1302658859.1959701</v>
      </c>
      <c r="G16" s="99"/>
      <c r="H16" s="33" t="s">
        <v>123</v>
      </c>
      <c r="T16" s="96"/>
    </row>
    <row r="17" spans="1:3" x14ac:dyDescent="0.25">
      <c r="A17" s="42" t="s">
        <v>124</v>
      </c>
      <c r="B17" s="54">
        <v>16630087</v>
      </c>
      <c r="C17" s="97" t="s">
        <v>125</v>
      </c>
    </row>
    <row r="18" spans="1:3" x14ac:dyDescent="0.25">
      <c r="A18" s="42" t="s">
        <v>93</v>
      </c>
      <c r="B18" s="54">
        <v>5727955</v>
      </c>
      <c r="C18" s="100" t="s">
        <v>126</v>
      </c>
    </row>
    <row r="19" spans="1:3" x14ac:dyDescent="0.25">
      <c r="A19" s="101" t="s">
        <v>78</v>
      </c>
      <c r="B19" s="54">
        <f>B16-B17-B18-B20</f>
        <v>1237395477</v>
      </c>
      <c r="C19" s="100"/>
    </row>
    <row r="20" spans="1:3" x14ac:dyDescent="0.25">
      <c r="A20" s="49" t="s">
        <v>82</v>
      </c>
      <c r="B20" s="52">
        <v>43000000</v>
      </c>
      <c r="C20" s="100"/>
    </row>
    <row r="21" spans="1:3" x14ac:dyDescent="0.25">
      <c r="B21" s="41"/>
    </row>
    <row r="23" spans="1:3" x14ac:dyDescent="0.25">
      <c r="A23" s="42" t="s">
        <v>86</v>
      </c>
      <c r="B23" s="54">
        <f>+'[3]Average Salaries'!$K$31</f>
        <v>149750.98538873281</v>
      </c>
    </row>
    <row r="24" spans="1:3" x14ac:dyDescent="0.25">
      <c r="A24" s="42" t="s">
        <v>87</v>
      </c>
      <c r="B24" s="54">
        <f>+'[3]Average Salaries'!$K$41</f>
        <v>110180.1024023324</v>
      </c>
    </row>
    <row r="25" spans="1:3" x14ac:dyDescent="0.25">
      <c r="A25" s="42" t="s">
        <v>88</v>
      </c>
      <c r="B25" s="54">
        <f>+'[3]Average Salaries'!$K$46</f>
        <v>126217.57216332885</v>
      </c>
    </row>
    <row r="27" spans="1:3" x14ac:dyDescent="0.25">
      <c r="A27" s="102" t="s">
        <v>127</v>
      </c>
      <c r="B27" s="103">
        <f>'[1]APPROVED TURNAROUND'!D20</f>
        <v>9822</v>
      </c>
    </row>
    <row r="28" spans="1:3" x14ac:dyDescent="0.25">
      <c r="A28" t="s">
        <v>128</v>
      </c>
      <c r="B28" s="33">
        <f>B18/B27</f>
        <v>583.17603339442064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8BA6E2320404898DE28A1B3400362" ma:contentTypeVersion="17" ma:contentTypeDescription="Create a new document." ma:contentTypeScope="" ma:versionID="9a04ae1951911f42d099a949bc53cdda">
  <xsd:schema xmlns:xsd="http://www.w3.org/2001/XMLSchema" xmlns:xs="http://www.w3.org/2001/XMLSchema" xmlns:p="http://schemas.microsoft.com/office/2006/metadata/properties" xmlns:ns2="cfad4e7d-e41c-46dc-9a11-10fe019b36fd" xmlns:ns3="5a43d883-3099-4abd-ab5d-5fdb688b331d" targetNamespace="http://schemas.microsoft.com/office/2006/metadata/properties" ma:root="true" ma:fieldsID="2731373c3bb66cd553cecb11bc7ca083" ns2:_="" ns3:_="">
    <xsd:import namespace="cfad4e7d-e41c-46dc-9a11-10fe019b36fd"/>
    <xsd:import namespace="5a43d883-3099-4abd-ab5d-5fdb688b33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d4e7d-e41c-46dc-9a11-10fe019b3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67761e9-a222-483c-a923-fec0f7575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3d883-3099-4abd-ab5d-5fdb688b33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2c228ad-4ea7-44be-9975-4ba1934f0b38}" ma:internalName="TaxCatchAll" ma:showField="CatchAllData" ma:web="5a43d883-3099-4abd-ab5d-5fdb688b33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43d883-3099-4abd-ab5d-5fdb688b331d" xsi:nil="true"/>
    <lcf76f155ced4ddcb4097134ff3c332f xmlns="cfad4e7d-e41c-46dc-9a11-10fe019b36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FE74CB-E225-49E1-A222-D5E79D8626F9}"/>
</file>

<file path=customXml/itemProps2.xml><?xml version="1.0" encoding="utf-8"?>
<ds:datastoreItem xmlns:ds="http://schemas.openxmlformats.org/officeDocument/2006/customXml" ds:itemID="{4A7E3790-51CF-4812-84AF-64E348B772DD}"/>
</file>

<file path=customXml/itemProps3.xml><?xml version="1.0" encoding="utf-8"?>
<ds:datastoreItem xmlns:ds="http://schemas.openxmlformats.org/officeDocument/2006/customXml" ds:itemID="{BE07B023-50E4-42E9-9166-CA5D906E17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FY2027 Charter GADOE upd</vt:lpstr>
      <vt:lpstr>FY2027 Partner with Carver upd</vt:lpstr>
      <vt:lpstr>'FY2027 Charter GADOE upd'!Charters</vt:lpstr>
      <vt:lpstr>'FY2027 Partner with Carver upd'!Partners</vt:lpstr>
      <vt:lpstr>'FY2027 Charter GADOE upd'!Schools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Kathleen</dc:creator>
  <cp:lastModifiedBy>Underwood, Matthew</cp:lastModifiedBy>
  <cp:lastPrinted>2026-08-04T14:40:46Z</cp:lastPrinted>
  <dcterms:created xsi:type="dcterms:W3CDTF">2026-08-03T15:35:36Z</dcterms:created>
  <dcterms:modified xsi:type="dcterms:W3CDTF">2026-08-04T14:40:47Z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0x0101006A38BA6E2320404898DE28A1B3400362</vt:lpwstr>
  </property>
</Properties>
</file>