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V:\Charter Schools\!!FEFP\FY 27 - FEFP Funding\!Payments 2026-27\2026-07\"/>
    </mc:Choice>
  </mc:AlternateContent>
  <xr:revisionPtr revIDLastSave="0" documentId="13_ncr:1_{4E06F30B-7081-46ED-A8F6-BF59E4965A1B}" xr6:coauthVersionLast="47" xr6:coauthVersionMax="47" xr10:uidLastSave="{00000000-0000-0000-0000-000000000000}"/>
  <bookViews>
    <workbookView xWindow="-120" yWindow="-120" windowWidth="29040" windowHeight="15720" tabRatio="988" firstSheet="1" activeTab="2" xr2:uid="{59C60F74-6336-4F91-B581-6AC1AE562698}"/>
  </bookViews>
  <sheets>
    <sheet name="Surveys" sheetId="53" state="hidden" r:id="rId1"/>
    <sheet name="Net Payment" sheetId="106" r:id="rId2"/>
    <sheet name="Annual Rev &amp; Fees" sheetId="54" r:id="rId3"/>
    <sheet name="Charter Schools" sheetId="55" r:id="rId4"/>
    <sheet name="Cumulative Payments" sheetId="57" r:id="rId5"/>
    <sheet name="Consolidated" sheetId="56" state="hidden" r:id="rId6"/>
    <sheet name="Surv2-3" sheetId="109" state="hidden" r:id="rId7"/>
    <sheet name="0040" sheetId="2" r:id="rId8"/>
    <sheet name="0571" sheetId="107" r:id="rId9"/>
    <sheet name="0100" sheetId="58" r:id="rId10"/>
    <sheet name="1461" sheetId="59" r:id="rId11"/>
    <sheet name="1571" sheetId="60" r:id="rId12"/>
    <sheet name="2521" sheetId="61" r:id="rId13"/>
    <sheet name="2531" sheetId="62" r:id="rId14"/>
    <sheet name="2791" sheetId="63" r:id="rId15"/>
    <sheet name="2801" sheetId="64" r:id="rId16"/>
    <sheet name="2911" sheetId="65" r:id="rId17"/>
    <sheet name="2941" sheetId="66" r:id="rId18"/>
    <sheet name="3083" sheetId="67" r:id="rId19"/>
    <sheet name="3345" sheetId="68" r:id="rId20"/>
    <sheet name="3362" sheetId="108" r:id="rId21"/>
    <sheet name="3381" sheetId="69" r:id="rId22"/>
    <sheet name="3382" sheetId="70" r:id="rId23"/>
    <sheet name="3391" sheetId="71" r:id="rId24"/>
    <sheet name="3394" sheetId="72" r:id="rId25"/>
    <sheet name="3395" sheetId="73" r:id="rId26"/>
    <sheet name="3396" sheetId="74" r:id="rId27"/>
    <sheet name="3398" sheetId="75" r:id="rId28"/>
    <sheet name="3400" sheetId="76" r:id="rId29"/>
    <sheet name="3401" sheetId="77" r:id="rId30"/>
    <sheet name="3413" sheetId="78" r:id="rId31"/>
    <sheet name="3421" sheetId="79" r:id="rId32"/>
    <sheet name="3431" sheetId="80" r:id="rId33"/>
    <sheet name="3441" sheetId="81" r:id="rId34"/>
    <sheet name="3924" sheetId="82" r:id="rId35"/>
    <sheet name="3941" sheetId="83" r:id="rId36"/>
    <sheet name="3961" sheetId="84" r:id="rId37"/>
    <sheet name="3971" sheetId="85" r:id="rId38"/>
    <sheet name="4001" sheetId="86" r:id="rId39"/>
    <sheet name="4002" sheetId="87" r:id="rId40"/>
    <sheet name="4012" sheetId="88" r:id="rId41"/>
    <sheet name="4013" sheetId="89" r:id="rId42"/>
    <sheet name="4020" sheetId="90" r:id="rId43"/>
    <sheet name="4030" sheetId="91" r:id="rId44"/>
    <sheet name="4031" sheetId="92" r:id="rId45"/>
    <sheet name="4041" sheetId="93" r:id="rId46"/>
    <sheet name="4050" sheetId="94" r:id="rId47"/>
    <sheet name="4051" sheetId="95" r:id="rId48"/>
    <sheet name="4061" sheetId="96" r:id="rId49"/>
    <sheet name="4080" sheetId="97" r:id="rId50"/>
    <sheet name="4081" sheetId="98" r:id="rId51"/>
    <sheet name="4090" sheetId="99" r:id="rId52"/>
    <sheet name="4091" sheetId="100" r:id="rId53"/>
    <sheet name="4100" sheetId="101" r:id="rId54"/>
    <sheet name="4102" sheetId="102" r:id="rId55"/>
    <sheet name="4103" sheetId="103" r:id="rId56"/>
    <sheet name="4111" sheetId="104" r:id="rId57"/>
    <sheet name="4131" sheetId="105" r:id="rId58"/>
    <sheet name="4141" sheetId="111" r:id="rId59"/>
  </sheets>
  <definedNames>
    <definedName name="_1" localSheetId="9">'0100'!$A$11</definedName>
    <definedName name="_1" localSheetId="8">'0571'!$A$11</definedName>
    <definedName name="_1" localSheetId="10">'1461'!$A$11</definedName>
    <definedName name="_1" localSheetId="11">'1571'!$A$11</definedName>
    <definedName name="_1" localSheetId="12">'2521'!$A$11</definedName>
    <definedName name="_1" localSheetId="13">'2531'!$A$11</definedName>
    <definedName name="_1" localSheetId="14">'2791'!$A$11</definedName>
    <definedName name="_1" localSheetId="15">'2801'!$A$11</definedName>
    <definedName name="_1" localSheetId="16">'2911'!$A$11</definedName>
    <definedName name="_1" localSheetId="17">'2941'!$A$11</definedName>
    <definedName name="_1" localSheetId="18">'3083'!$A$11</definedName>
    <definedName name="_1" localSheetId="19">'3345'!$A$11</definedName>
    <definedName name="_1" localSheetId="20">'3362'!$A$11</definedName>
    <definedName name="_1" localSheetId="21">'3381'!$A$11</definedName>
    <definedName name="_1" localSheetId="22">'3382'!$A$11</definedName>
    <definedName name="_1" localSheetId="23">'3391'!$A$11</definedName>
    <definedName name="_1" localSheetId="24">'3394'!$A$11</definedName>
    <definedName name="_1" localSheetId="25">'3395'!$A$11</definedName>
    <definedName name="_1" localSheetId="26">'3396'!$A$11</definedName>
    <definedName name="_1" localSheetId="27">'3398'!$A$11</definedName>
    <definedName name="_1" localSheetId="28">'3400'!$A$11</definedName>
    <definedName name="_1" localSheetId="29">'3401'!$A$11</definedName>
    <definedName name="_1" localSheetId="30">'3413'!$A$11</definedName>
    <definedName name="_1" localSheetId="31">'3421'!$A$11</definedName>
    <definedName name="_1" localSheetId="32">'3431'!$A$11</definedName>
    <definedName name="_1" localSheetId="33">'3441'!$A$11</definedName>
    <definedName name="_1" localSheetId="34">'3924'!$A$11</definedName>
    <definedName name="_1" localSheetId="35">'3941'!$A$11</definedName>
    <definedName name="_1" localSheetId="36">'3961'!$A$11</definedName>
    <definedName name="_1" localSheetId="37">'3971'!$A$11</definedName>
    <definedName name="_1" localSheetId="38">'4001'!$A$11</definedName>
    <definedName name="_1" localSheetId="39">'4002'!$A$11</definedName>
    <definedName name="_1" localSheetId="40">'4012'!$A$11</definedName>
    <definedName name="_1" localSheetId="41">'4013'!$A$11</definedName>
    <definedName name="_1" localSheetId="42">'4020'!$A$11</definedName>
    <definedName name="_1" localSheetId="43">'4030'!$A$11</definedName>
    <definedName name="_1" localSheetId="44">'4031'!$A$11</definedName>
    <definedName name="_1" localSheetId="45">'4041'!$A$11</definedName>
    <definedName name="_1" localSheetId="46">'4050'!$A$11</definedName>
    <definedName name="_1" localSheetId="47">'4051'!$A$11</definedName>
    <definedName name="_1" localSheetId="48">'4061'!$A$11</definedName>
    <definedName name="_1" localSheetId="49">'4080'!$A$11</definedName>
    <definedName name="_1" localSheetId="50">'4081'!$A$11</definedName>
    <definedName name="_1" localSheetId="51">'4090'!$A$11</definedName>
    <definedName name="_1" localSheetId="52">'4091'!$A$11</definedName>
    <definedName name="_1" localSheetId="53">'4100'!$A$11</definedName>
    <definedName name="_1" localSheetId="54">'4102'!$A$11</definedName>
    <definedName name="_1" localSheetId="55">'4103'!$A$11</definedName>
    <definedName name="_1" localSheetId="56">'4111'!$A$11</definedName>
    <definedName name="_1" localSheetId="57">'4131'!$A$11</definedName>
    <definedName name="_1" localSheetId="58">'4141'!$A$11</definedName>
    <definedName name="_1">'0040'!$A$11</definedName>
    <definedName name="_1.__2009_10_FEFP_State_and_Local_Funding" localSheetId="9">'0100'!$A$5</definedName>
    <definedName name="_1.__2009_10_FEFP_State_and_Local_Funding" localSheetId="8">'0571'!$A$5</definedName>
    <definedName name="_1.__2009_10_FEFP_State_and_Local_Funding" localSheetId="10">'1461'!$A$5</definedName>
    <definedName name="_1.__2009_10_FEFP_State_and_Local_Funding" localSheetId="11">'1571'!$A$5</definedName>
    <definedName name="_1.__2009_10_FEFP_State_and_Local_Funding" localSheetId="12">'2521'!$A$5</definedName>
    <definedName name="_1.__2009_10_FEFP_State_and_Local_Funding" localSheetId="13">'2531'!$A$5</definedName>
    <definedName name="_1.__2009_10_FEFP_State_and_Local_Funding" localSheetId="14">'2791'!$A$5</definedName>
    <definedName name="_1.__2009_10_FEFP_State_and_Local_Funding" localSheetId="15">'2801'!$A$5</definedName>
    <definedName name="_1.__2009_10_FEFP_State_and_Local_Funding" localSheetId="16">'2911'!$A$5</definedName>
    <definedName name="_1.__2009_10_FEFP_State_and_Local_Funding" localSheetId="17">'2941'!$A$5</definedName>
    <definedName name="_1.__2009_10_FEFP_State_and_Local_Funding" localSheetId="18">'3083'!$A$5</definedName>
    <definedName name="_1.__2009_10_FEFP_State_and_Local_Funding" localSheetId="19">'3345'!$A$5</definedName>
    <definedName name="_1.__2009_10_FEFP_State_and_Local_Funding" localSheetId="20">'3362'!$A$5</definedName>
    <definedName name="_1.__2009_10_FEFP_State_and_Local_Funding" localSheetId="21">'3381'!$A$5</definedName>
    <definedName name="_1.__2009_10_FEFP_State_and_Local_Funding" localSheetId="22">'3382'!$A$5</definedName>
    <definedName name="_1.__2009_10_FEFP_State_and_Local_Funding" localSheetId="23">'3391'!$A$5</definedName>
    <definedName name="_1.__2009_10_FEFP_State_and_Local_Funding" localSheetId="24">'3394'!$A$5</definedName>
    <definedName name="_1.__2009_10_FEFP_State_and_Local_Funding" localSheetId="25">'3395'!$A$5</definedName>
    <definedName name="_1.__2009_10_FEFP_State_and_Local_Funding" localSheetId="26">'3396'!$A$5</definedName>
    <definedName name="_1.__2009_10_FEFP_State_and_Local_Funding" localSheetId="27">'3398'!$A$5</definedName>
    <definedName name="_1.__2009_10_FEFP_State_and_Local_Funding" localSheetId="28">'3400'!$A$5</definedName>
    <definedName name="_1.__2009_10_FEFP_State_and_Local_Funding" localSheetId="29">'3401'!$A$5</definedName>
    <definedName name="_1.__2009_10_FEFP_State_and_Local_Funding" localSheetId="30">'3413'!$A$5</definedName>
    <definedName name="_1.__2009_10_FEFP_State_and_Local_Funding" localSheetId="31">'3421'!$A$5</definedName>
    <definedName name="_1.__2009_10_FEFP_State_and_Local_Funding" localSheetId="32">'3431'!$A$5</definedName>
    <definedName name="_1.__2009_10_FEFP_State_and_Local_Funding" localSheetId="33">'3441'!$A$5</definedName>
    <definedName name="_1.__2009_10_FEFP_State_and_Local_Funding" localSheetId="34">'3924'!$A$5</definedName>
    <definedName name="_1.__2009_10_FEFP_State_and_Local_Funding" localSheetId="35">'3941'!$A$5</definedName>
    <definedName name="_1.__2009_10_FEFP_State_and_Local_Funding" localSheetId="36">'3961'!$A$5</definedName>
    <definedName name="_1.__2009_10_FEFP_State_and_Local_Funding" localSheetId="37">'3971'!$A$5</definedName>
    <definedName name="_1.__2009_10_FEFP_State_and_Local_Funding" localSheetId="38">'4001'!$A$5</definedName>
    <definedName name="_1.__2009_10_FEFP_State_and_Local_Funding" localSheetId="39">'4002'!$A$5</definedName>
    <definedName name="_1.__2009_10_FEFP_State_and_Local_Funding" localSheetId="40">'4012'!$A$5</definedName>
    <definedName name="_1.__2009_10_FEFP_State_and_Local_Funding" localSheetId="41">'4013'!$A$5</definedName>
    <definedName name="_1.__2009_10_FEFP_State_and_Local_Funding" localSheetId="42">'4020'!$A$5</definedName>
    <definedName name="_1.__2009_10_FEFP_State_and_Local_Funding" localSheetId="43">'4030'!$A$5</definedName>
    <definedName name="_1.__2009_10_FEFP_State_and_Local_Funding" localSheetId="44">'4031'!$A$5</definedName>
    <definedName name="_1.__2009_10_FEFP_State_and_Local_Funding" localSheetId="45">'4041'!$A$5</definedName>
    <definedName name="_1.__2009_10_FEFP_State_and_Local_Funding" localSheetId="46">'4050'!$A$5</definedName>
    <definedName name="_1.__2009_10_FEFP_State_and_Local_Funding" localSheetId="47">'4051'!$A$5</definedName>
    <definedName name="_1.__2009_10_FEFP_State_and_Local_Funding" localSheetId="48">'4061'!$A$5</definedName>
    <definedName name="_1.__2009_10_FEFP_State_and_Local_Funding" localSheetId="49">'4080'!$A$5</definedName>
    <definedName name="_1.__2009_10_FEFP_State_and_Local_Funding" localSheetId="50">'4081'!$A$5</definedName>
    <definedName name="_1.__2009_10_FEFP_State_and_Local_Funding" localSheetId="51">'4090'!$A$5</definedName>
    <definedName name="_1.__2009_10_FEFP_State_and_Local_Funding" localSheetId="52">'4091'!$A$5</definedName>
    <definedName name="_1.__2009_10_FEFP_State_and_Local_Funding" localSheetId="53">'4100'!$A$5</definedName>
    <definedName name="_1.__2009_10_FEFP_State_and_Local_Funding" localSheetId="54">'4102'!$A$5</definedName>
    <definedName name="_1.__2009_10_FEFP_State_and_Local_Funding" localSheetId="55">'4103'!$A$5</definedName>
    <definedName name="_1.__2009_10_FEFP_State_and_Local_Funding" localSheetId="56">'4111'!$A$5</definedName>
    <definedName name="_1.__2009_10_FEFP_State_and_Local_Funding" localSheetId="57">'4131'!$A$5</definedName>
    <definedName name="_1.__2009_10_FEFP_State_and_Local_Funding" localSheetId="58">'4141'!$A$5</definedName>
    <definedName name="_1.__2009_10_FEFP_State_and_Local_Funding">'0040'!$A$5</definedName>
    <definedName name="_1.__2010_11_FEFP_State_and_Local_Funding" localSheetId="9">'0100'!$A$5</definedName>
    <definedName name="_1.__2010_11_FEFP_State_and_Local_Funding" localSheetId="8">'0571'!$A$5</definedName>
    <definedName name="_1.__2010_11_FEFP_State_and_Local_Funding" localSheetId="10">'1461'!$A$5</definedName>
    <definedName name="_1.__2010_11_FEFP_State_and_Local_Funding" localSheetId="11">'1571'!$A$5</definedName>
    <definedName name="_1.__2010_11_FEFP_State_and_Local_Funding" localSheetId="12">'2521'!$A$5</definedName>
    <definedName name="_1.__2010_11_FEFP_State_and_Local_Funding" localSheetId="13">'2531'!$A$5</definedName>
    <definedName name="_1.__2010_11_FEFP_State_and_Local_Funding" localSheetId="14">'2791'!$A$5</definedName>
    <definedName name="_1.__2010_11_FEFP_State_and_Local_Funding" localSheetId="15">'2801'!$A$5</definedName>
    <definedName name="_1.__2010_11_FEFP_State_and_Local_Funding" localSheetId="16">'2911'!$A$5</definedName>
    <definedName name="_1.__2010_11_FEFP_State_and_Local_Funding" localSheetId="17">'2941'!$A$5</definedName>
    <definedName name="_1.__2010_11_FEFP_State_and_Local_Funding" localSheetId="18">'3083'!$A$5</definedName>
    <definedName name="_1.__2010_11_FEFP_State_and_Local_Funding" localSheetId="19">'3345'!$A$5</definedName>
    <definedName name="_1.__2010_11_FEFP_State_and_Local_Funding" localSheetId="20">'3362'!$A$5</definedName>
    <definedName name="_1.__2010_11_FEFP_State_and_Local_Funding" localSheetId="21">'3381'!$A$5</definedName>
    <definedName name="_1.__2010_11_FEFP_State_and_Local_Funding" localSheetId="22">'3382'!$A$5</definedName>
    <definedName name="_1.__2010_11_FEFP_State_and_Local_Funding" localSheetId="23">'3391'!$A$5</definedName>
    <definedName name="_1.__2010_11_FEFP_State_and_Local_Funding" localSheetId="24">'3394'!$A$5</definedName>
    <definedName name="_1.__2010_11_FEFP_State_and_Local_Funding" localSheetId="25">'3395'!$A$5</definedName>
    <definedName name="_1.__2010_11_FEFP_State_and_Local_Funding" localSheetId="26">'3396'!$A$5</definedName>
    <definedName name="_1.__2010_11_FEFP_State_and_Local_Funding" localSheetId="27">'3398'!$A$5</definedName>
    <definedName name="_1.__2010_11_FEFP_State_and_Local_Funding" localSheetId="28">'3400'!$A$5</definedName>
    <definedName name="_1.__2010_11_FEFP_State_and_Local_Funding" localSheetId="29">'3401'!$A$5</definedName>
    <definedName name="_1.__2010_11_FEFP_State_and_Local_Funding" localSheetId="30">'3413'!$A$5</definedName>
    <definedName name="_1.__2010_11_FEFP_State_and_Local_Funding" localSheetId="31">'3421'!$A$5</definedName>
    <definedName name="_1.__2010_11_FEFP_State_and_Local_Funding" localSheetId="32">'3431'!$A$5</definedName>
    <definedName name="_1.__2010_11_FEFP_State_and_Local_Funding" localSheetId="33">'3441'!$A$5</definedName>
    <definedName name="_1.__2010_11_FEFP_State_and_Local_Funding" localSheetId="34">'3924'!$A$5</definedName>
    <definedName name="_1.__2010_11_FEFP_State_and_Local_Funding" localSheetId="35">'3941'!$A$5</definedName>
    <definedName name="_1.__2010_11_FEFP_State_and_Local_Funding" localSheetId="36">'3961'!$A$5</definedName>
    <definedName name="_1.__2010_11_FEFP_State_and_Local_Funding" localSheetId="37">'3971'!$A$5</definedName>
    <definedName name="_1.__2010_11_FEFP_State_and_Local_Funding" localSheetId="38">'4001'!$A$5</definedName>
    <definedName name="_1.__2010_11_FEFP_State_and_Local_Funding" localSheetId="39">'4002'!$A$5</definedName>
    <definedName name="_1.__2010_11_FEFP_State_and_Local_Funding" localSheetId="40">'4012'!$A$5</definedName>
    <definedName name="_1.__2010_11_FEFP_State_and_Local_Funding" localSheetId="41">'4013'!$A$5</definedName>
    <definedName name="_1.__2010_11_FEFP_State_and_Local_Funding" localSheetId="42">'4020'!$A$5</definedName>
    <definedName name="_1.__2010_11_FEFP_State_and_Local_Funding" localSheetId="43">'4030'!$A$5</definedName>
    <definedName name="_1.__2010_11_FEFP_State_and_Local_Funding" localSheetId="44">'4031'!$A$5</definedName>
    <definedName name="_1.__2010_11_FEFP_State_and_Local_Funding" localSheetId="45">'4041'!$A$5</definedName>
    <definedName name="_1.__2010_11_FEFP_State_and_Local_Funding" localSheetId="46">'4050'!$A$5</definedName>
    <definedName name="_1.__2010_11_FEFP_State_and_Local_Funding" localSheetId="47">'4051'!$A$5</definedName>
    <definedName name="_1.__2010_11_FEFP_State_and_Local_Funding" localSheetId="48">'4061'!$A$5</definedName>
    <definedName name="_1.__2010_11_FEFP_State_and_Local_Funding" localSheetId="49">'4080'!$A$5</definedName>
    <definedName name="_1.__2010_11_FEFP_State_and_Local_Funding" localSheetId="50">'4081'!$A$5</definedName>
    <definedName name="_1.__2010_11_FEFP_State_and_Local_Funding" localSheetId="51">'4090'!$A$5</definedName>
    <definedName name="_1.__2010_11_FEFP_State_and_Local_Funding" localSheetId="52">'4091'!$A$5</definedName>
    <definedName name="_1.__2010_11_FEFP_State_and_Local_Funding" localSheetId="53">'4100'!$A$5</definedName>
    <definedName name="_1.__2010_11_FEFP_State_and_Local_Funding" localSheetId="54">'4102'!$A$5</definedName>
    <definedName name="_1.__2010_11_FEFP_State_and_Local_Funding" localSheetId="55">'4103'!$A$5</definedName>
    <definedName name="_1.__2010_11_FEFP_State_and_Local_Funding" localSheetId="56">'4111'!$A$5</definedName>
    <definedName name="_1.__2010_11_FEFP_State_and_Local_Funding" localSheetId="57">'4131'!$A$5</definedName>
    <definedName name="_1.__2010_11_FEFP_State_and_Local_Funding" localSheetId="58">'4141'!$A$5</definedName>
    <definedName name="_1.__2010_11_FEFP_State_and_Local_Funding">'0040'!$A$5</definedName>
    <definedName name="_101_Basic_K_3" localSheetId="9">'0100'!$A$12</definedName>
    <definedName name="_101_Basic_K_3" localSheetId="8">'0571'!$A$12</definedName>
    <definedName name="_101_Basic_K_3" localSheetId="10">'1461'!$A$12</definedName>
    <definedName name="_101_Basic_K_3" localSheetId="11">'1571'!$A$12</definedName>
    <definedName name="_101_Basic_K_3" localSheetId="12">'2521'!$A$12</definedName>
    <definedName name="_101_Basic_K_3" localSheetId="13">'2531'!$A$12</definedName>
    <definedName name="_101_Basic_K_3" localSheetId="14">'2791'!$A$12</definedName>
    <definedName name="_101_Basic_K_3" localSheetId="15">'2801'!$A$12</definedName>
    <definedName name="_101_Basic_K_3" localSheetId="16">'2911'!$A$12</definedName>
    <definedName name="_101_Basic_K_3" localSheetId="17">'2941'!$A$12</definedName>
    <definedName name="_101_Basic_K_3" localSheetId="18">'3083'!$A$12</definedName>
    <definedName name="_101_Basic_K_3" localSheetId="19">'3345'!$A$12</definedName>
    <definedName name="_101_Basic_K_3" localSheetId="20">'3362'!$A$12</definedName>
    <definedName name="_101_Basic_K_3" localSheetId="21">'3381'!$A$12</definedName>
    <definedName name="_101_Basic_K_3" localSheetId="22">'3382'!$A$12</definedName>
    <definedName name="_101_Basic_K_3" localSheetId="23">'3391'!$A$12</definedName>
    <definedName name="_101_Basic_K_3" localSheetId="24">'3394'!$A$12</definedName>
    <definedName name="_101_Basic_K_3" localSheetId="25">'3395'!$A$12</definedName>
    <definedName name="_101_Basic_K_3" localSheetId="26">'3396'!$A$12</definedName>
    <definedName name="_101_Basic_K_3" localSheetId="27">'3398'!$A$12</definedName>
    <definedName name="_101_Basic_K_3" localSheetId="28">'3400'!$A$12</definedName>
    <definedName name="_101_Basic_K_3" localSheetId="29">'3401'!$A$12</definedName>
    <definedName name="_101_Basic_K_3" localSheetId="30">'3413'!$A$12</definedName>
    <definedName name="_101_Basic_K_3" localSheetId="31">'3421'!$A$12</definedName>
    <definedName name="_101_Basic_K_3" localSheetId="32">'3431'!$A$12</definedName>
    <definedName name="_101_Basic_K_3" localSheetId="33">'3441'!$A$12</definedName>
    <definedName name="_101_Basic_K_3" localSheetId="34">'3924'!$A$12</definedName>
    <definedName name="_101_Basic_K_3" localSheetId="35">'3941'!$A$12</definedName>
    <definedName name="_101_Basic_K_3" localSheetId="36">'3961'!$A$12</definedName>
    <definedName name="_101_Basic_K_3" localSheetId="37">'3971'!$A$12</definedName>
    <definedName name="_101_Basic_K_3" localSheetId="38">'4001'!$A$12</definedName>
    <definedName name="_101_Basic_K_3" localSheetId="39">'4002'!$A$12</definedName>
    <definedName name="_101_Basic_K_3" localSheetId="40">'4012'!$A$12</definedName>
    <definedName name="_101_Basic_K_3" localSheetId="41">'4013'!$A$12</definedName>
    <definedName name="_101_Basic_K_3" localSheetId="42">'4020'!$A$12</definedName>
    <definedName name="_101_Basic_K_3" localSheetId="43">'4030'!$A$12</definedName>
    <definedName name="_101_Basic_K_3" localSheetId="44">'4031'!$A$12</definedName>
    <definedName name="_101_Basic_K_3" localSheetId="45">'4041'!$A$12</definedName>
    <definedName name="_101_Basic_K_3" localSheetId="46">'4050'!$A$12</definedName>
    <definedName name="_101_Basic_K_3" localSheetId="47">'4051'!$A$12</definedName>
    <definedName name="_101_Basic_K_3" localSheetId="48">'4061'!$A$12</definedName>
    <definedName name="_101_Basic_K_3" localSheetId="49">'4080'!$A$12</definedName>
    <definedName name="_101_Basic_K_3" localSheetId="50">'4081'!$A$12</definedName>
    <definedName name="_101_Basic_K_3" localSheetId="51">'4090'!$A$12</definedName>
    <definedName name="_101_Basic_K_3" localSheetId="52">'4091'!$A$12</definedName>
    <definedName name="_101_Basic_K_3" localSheetId="53">'4100'!$A$12</definedName>
    <definedName name="_101_Basic_K_3" localSheetId="54">'4102'!$A$12</definedName>
    <definedName name="_101_Basic_K_3" localSheetId="55">'4103'!$A$12</definedName>
    <definedName name="_101_Basic_K_3" localSheetId="56">'4111'!$A$12</definedName>
    <definedName name="_101_Basic_K_3" localSheetId="57">'4131'!$A$12</definedName>
    <definedName name="_101_Basic_K_3" localSheetId="58">'4141'!$A$12</definedName>
    <definedName name="_101_Basic_K_3">'0040'!$A$12</definedName>
    <definedName name="_102_Basic_4_8" localSheetId="9">'0100'!$A$14</definedName>
    <definedName name="_102_Basic_4_8" localSheetId="8">'0571'!$A$14</definedName>
    <definedName name="_102_Basic_4_8" localSheetId="10">'1461'!$A$14</definedName>
    <definedName name="_102_Basic_4_8" localSheetId="11">'1571'!$A$14</definedName>
    <definedName name="_102_Basic_4_8" localSheetId="12">'2521'!$A$14</definedName>
    <definedName name="_102_Basic_4_8" localSheetId="13">'2531'!$A$14</definedName>
    <definedName name="_102_Basic_4_8" localSheetId="14">'2791'!$A$14</definedName>
    <definedName name="_102_Basic_4_8" localSheetId="15">'2801'!$A$14</definedName>
    <definedName name="_102_Basic_4_8" localSheetId="16">'2911'!$A$14</definedName>
    <definedName name="_102_Basic_4_8" localSheetId="17">'2941'!$A$14</definedName>
    <definedName name="_102_Basic_4_8" localSheetId="18">'3083'!$A$14</definedName>
    <definedName name="_102_Basic_4_8" localSheetId="19">'3345'!$A$14</definedName>
    <definedName name="_102_Basic_4_8" localSheetId="20">'3362'!$A$14</definedName>
    <definedName name="_102_Basic_4_8" localSheetId="21">'3381'!$A$14</definedName>
    <definedName name="_102_Basic_4_8" localSheetId="22">'3382'!$A$14</definedName>
    <definedName name="_102_Basic_4_8" localSheetId="23">'3391'!$A$14</definedName>
    <definedName name="_102_Basic_4_8" localSheetId="24">'3394'!$A$14</definedName>
    <definedName name="_102_Basic_4_8" localSheetId="25">'3395'!$A$14</definedName>
    <definedName name="_102_Basic_4_8" localSheetId="26">'3396'!$A$14</definedName>
    <definedName name="_102_Basic_4_8" localSheetId="27">'3398'!$A$14</definedName>
    <definedName name="_102_Basic_4_8" localSheetId="28">'3400'!$A$14</definedName>
    <definedName name="_102_Basic_4_8" localSheetId="29">'3401'!$A$14</definedName>
    <definedName name="_102_Basic_4_8" localSheetId="30">'3413'!$A$14</definedName>
    <definedName name="_102_Basic_4_8" localSheetId="31">'3421'!$A$14</definedName>
    <definedName name="_102_Basic_4_8" localSheetId="32">'3431'!$A$14</definedName>
    <definedName name="_102_Basic_4_8" localSheetId="33">'3441'!$A$14</definedName>
    <definedName name="_102_Basic_4_8" localSheetId="34">'3924'!$A$14</definedName>
    <definedName name="_102_Basic_4_8" localSheetId="35">'3941'!$A$14</definedName>
    <definedName name="_102_Basic_4_8" localSheetId="36">'3961'!$A$14</definedName>
    <definedName name="_102_Basic_4_8" localSheetId="37">'3971'!$A$14</definedName>
    <definedName name="_102_Basic_4_8" localSheetId="38">'4001'!$A$14</definedName>
    <definedName name="_102_Basic_4_8" localSheetId="39">'4002'!$A$14</definedName>
    <definedName name="_102_Basic_4_8" localSheetId="40">'4012'!$A$14</definedName>
    <definedName name="_102_Basic_4_8" localSheetId="41">'4013'!$A$14</definedName>
    <definedName name="_102_Basic_4_8" localSheetId="42">'4020'!$A$14</definedName>
    <definedName name="_102_Basic_4_8" localSheetId="43">'4030'!$A$14</definedName>
    <definedName name="_102_Basic_4_8" localSheetId="44">'4031'!$A$14</definedName>
    <definedName name="_102_Basic_4_8" localSheetId="45">'4041'!$A$14</definedName>
    <definedName name="_102_Basic_4_8" localSheetId="46">'4050'!$A$14</definedName>
    <definedName name="_102_Basic_4_8" localSheetId="47">'4051'!$A$14</definedName>
    <definedName name="_102_Basic_4_8" localSheetId="48">'4061'!$A$14</definedName>
    <definedName name="_102_Basic_4_8" localSheetId="49">'4080'!$A$14</definedName>
    <definedName name="_102_Basic_4_8" localSheetId="50">'4081'!$A$14</definedName>
    <definedName name="_102_Basic_4_8" localSheetId="51">'4090'!$A$14</definedName>
    <definedName name="_102_Basic_4_8" localSheetId="52">'4091'!$A$14</definedName>
    <definedName name="_102_Basic_4_8" localSheetId="53">'4100'!$A$14</definedName>
    <definedName name="_102_Basic_4_8" localSheetId="54">'4102'!$A$14</definedName>
    <definedName name="_102_Basic_4_8" localSheetId="55">'4103'!$A$14</definedName>
    <definedName name="_102_Basic_4_8" localSheetId="56">'4111'!$A$14</definedName>
    <definedName name="_102_Basic_4_8" localSheetId="57">'4131'!$A$14</definedName>
    <definedName name="_102_Basic_4_8" localSheetId="58">'4141'!$A$14</definedName>
    <definedName name="_102_Basic_4_8">'0040'!$A$14</definedName>
    <definedName name="_103_Basic_9_12" localSheetId="9">'0100'!$A$16</definedName>
    <definedName name="_103_Basic_9_12" localSheetId="8">'0571'!$A$16</definedName>
    <definedName name="_103_Basic_9_12" localSheetId="10">'1461'!$A$16</definedName>
    <definedName name="_103_Basic_9_12" localSheetId="11">'1571'!$A$16</definedName>
    <definedName name="_103_Basic_9_12" localSheetId="12">'2521'!$A$16</definedName>
    <definedName name="_103_Basic_9_12" localSheetId="13">'2531'!$A$16</definedName>
    <definedName name="_103_Basic_9_12" localSheetId="14">'2791'!$A$16</definedName>
    <definedName name="_103_Basic_9_12" localSheetId="15">'2801'!$A$16</definedName>
    <definedName name="_103_Basic_9_12" localSheetId="16">'2911'!$A$16</definedName>
    <definedName name="_103_Basic_9_12" localSheetId="17">'2941'!$A$16</definedName>
    <definedName name="_103_Basic_9_12" localSheetId="18">'3083'!$A$16</definedName>
    <definedName name="_103_Basic_9_12" localSheetId="19">'3345'!$A$16</definedName>
    <definedName name="_103_Basic_9_12" localSheetId="20">'3362'!$A$16</definedName>
    <definedName name="_103_Basic_9_12" localSheetId="21">'3381'!$A$16</definedName>
    <definedName name="_103_Basic_9_12" localSheetId="22">'3382'!$A$16</definedName>
    <definedName name="_103_Basic_9_12" localSheetId="23">'3391'!$A$16</definedName>
    <definedName name="_103_Basic_9_12" localSheetId="24">'3394'!$A$16</definedName>
    <definedName name="_103_Basic_9_12" localSheetId="25">'3395'!$A$16</definedName>
    <definedName name="_103_Basic_9_12" localSheetId="26">'3396'!$A$16</definedName>
    <definedName name="_103_Basic_9_12" localSheetId="27">'3398'!$A$16</definedName>
    <definedName name="_103_Basic_9_12" localSheetId="28">'3400'!$A$16</definedName>
    <definedName name="_103_Basic_9_12" localSheetId="29">'3401'!$A$16</definedName>
    <definedName name="_103_Basic_9_12" localSheetId="30">'3413'!$A$16</definedName>
    <definedName name="_103_Basic_9_12" localSheetId="31">'3421'!$A$16</definedName>
    <definedName name="_103_Basic_9_12" localSheetId="32">'3431'!$A$16</definedName>
    <definedName name="_103_Basic_9_12" localSheetId="33">'3441'!$A$16</definedName>
    <definedName name="_103_Basic_9_12" localSheetId="34">'3924'!$A$16</definedName>
    <definedName name="_103_Basic_9_12" localSheetId="35">'3941'!$A$16</definedName>
    <definedName name="_103_Basic_9_12" localSheetId="36">'3961'!$A$16</definedName>
    <definedName name="_103_Basic_9_12" localSheetId="37">'3971'!$A$16</definedName>
    <definedName name="_103_Basic_9_12" localSheetId="38">'4001'!$A$16</definedName>
    <definedName name="_103_Basic_9_12" localSheetId="39">'4002'!$A$16</definedName>
    <definedName name="_103_Basic_9_12" localSheetId="40">'4012'!$A$16</definedName>
    <definedName name="_103_Basic_9_12" localSheetId="41">'4013'!$A$16</definedName>
    <definedName name="_103_Basic_9_12" localSheetId="42">'4020'!$A$16</definedName>
    <definedName name="_103_Basic_9_12" localSheetId="43">'4030'!$A$16</definedName>
    <definedName name="_103_Basic_9_12" localSheetId="44">'4031'!$A$16</definedName>
    <definedName name="_103_Basic_9_12" localSheetId="45">'4041'!$A$16</definedName>
    <definedName name="_103_Basic_9_12" localSheetId="46">'4050'!$A$16</definedName>
    <definedName name="_103_Basic_9_12" localSheetId="47">'4051'!$A$16</definedName>
    <definedName name="_103_Basic_9_12" localSheetId="48">'4061'!$A$16</definedName>
    <definedName name="_103_Basic_9_12" localSheetId="49">'4080'!$A$16</definedName>
    <definedName name="_103_Basic_9_12" localSheetId="50">'4081'!$A$16</definedName>
    <definedName name="_103_Basic_9_12" localSheetId="51">'4090'!$A$16</definedName>
    <definedName name="_103_Basic_9_12" localSheetId="52">'4091'!$A$16</definedName>
    <definedName name="_103_Basic_9_12" localSheetId="53">'4100'!$A$16</definedName>
    <definedName name="_103_Basic_9_12" localSheetId="54">'4102'!$A$16</definedName>
    <definedName name="_103_Basic_9_12" localSheetId="55">'4103'!$A$16</definedName>
    <definedName name="_103_Basic_9_12" localSheetId="56">'4111'!$A$16</definedName>
    <definedName name="_103_Basic_9_12" localSheetId="57">'4131'!$A$16</definedName>
    <definedName name="_103_Basic_9_12" localSheetId="58">'4141'!$A$16</definedName>
    <definedName name="_103_Basic_9_12">'0040'!$A$16</definedName>
    <definedName name="_111_Basic_K_3_with_ESE_Services" localSheetId="9">'0100'!$A$13</definedName>
    <definedName name="_111_Basic_K_3_with_ESE_Services" localSheetId="8">'0571'!$A$13</definedName>
    <definedName name="_111_Basic_K_3_with_ESE_Services" localSheetId="10">'1461'!$A$13</definedName>
    <definedName name="_111_Basic_K_3_with_ESE_Services" localSheetId="11">'1571'!$A$13</definedName>
    <definedName name="_111_Basic_K_3_with_ESE_Services" localSheetId="12">'2521'!$A$13</definedName>
    <definedName name="_111_Basic_K_3_with_ESE_Services" localSheetId="13">'2531'!$A$13</definedName>
    <definedName name="_111_Basic_K_3_with_ESE_Services" localSheetId="14">'2791'!$A$13</definedName>
    <definedName name="_111_Basic_K_3_with_ESE_Services" localSheetId="15">'2801'!$A$13</definedName>
    <definedName name="_111_Basic_K_3_with_ESE_Services" localSheetId="16">'2911'!$A$13</definedName>
    <definedName name="_111_Basic_K_3_with_ESE_Services" localSheetId="17">'2941'!$A$13</definedName>
    <definedName name="_111_Basic_K_3_with_ESE_Services" localSheetId="18">'3083'!$A$13</definedName>
    <definedName name="_111_Basic_K_3_with_ESE_Services" localSheetId="19">'3345'!$A$13</definedName>
    <definedName name="_111_Basic_K_3_with_ESE_Services" localSheetId="20">'3362'!$A$13</definedName>
    <definedName name="_111_Basic_K_3_with_ESE_Services" localSheetId="21">'3381'!$A$13</definedName>
    <definedName name="_111_Basic_K_3_with_ESE_Services" localSheetId="22">'3382'!$A$13</definedName>
    <definedName name="_111_Basic_K_3_with_ESE_Services" localSheetId="23">'3391'!$A$13</definedName>
    <definedName name="_111_Basic_K_3_with_ESE_Services" localSheetId="24">'3394'!$A$13</definedName>
    <definedName name="_111_Basic_K_3_with_ESE_Services" localSheetId="25">'3395'!$A$13</definedName>
    <definedName name="_111_Basic_K_3_with_ESE_Services" localSheetId="26">'3396'!$A$13</definedName>
    <definedName name="_111_Basic_K_3_with_ESE_Services" localSheetId="27">'3398'!$A$13</definedName>
    <definedName name="_111_Basic_K_3_with_ESE_Services" localSheetId="28">'3400'!$A$13</definedName>
    <definedName name="_111_Basic_K_3_with_ESE_Services" localSheetId="29">'3401'!$A$13</definedName>
    <definedName name="_111_Basic_K_3_with_ESE_Services" localSheetId="30">'3413'!$A$13</definedName>
    <definedName name="_111_Basic_K_3_with_ESE_Services" localSheetId="31">'3421'!$A$13</definedName>
    <definedName name="_111_Basic_K_3_with_ESE_Services" localSheetId="32">'3431'!$A$13</definedName>
    <definedName name="_111_Basic_K_3_with_ESE_Services" localSheetId="33">'3441'!$A$13</definedName>
    <definedName name="_111_Basic_K_3_with_ESE_Services" localSheetId="34">'3924'!$A$13</definedName>
    <definedName name="_111_Basic_K_3_with_ESE_Services" localSheetId="35">'3941'!$A$13</definedName>
    <definedName name="_111_Basic_K_3_with_ESE_Services" localSheetId="36">'3961'!$A$13</definedName>
    <definedName name="_111_Basic_K_3_with_ESE_Services" localSheetId="37">'3971'!$A$13</definedName>
    <definedName name="_111_Basic_K_3_with_ESE_Services" localSheetId="38">'4001'!$A$13</definedName>
    <definedName name="_111_Basic_K_3_with_ESE_Services" localSheetId="39">'4002'!$A$13</definedName>
    <definedName name="_111_Basic_K_3_with_ESE_Services" localSheetId="40">'4012'!$A$13</definedName>
    <definedName name="_111_Basic_K_3_with_ESE_Services" localSheetId="41">'4013'!$A$13</definedName>
    <definedName name="_111_Basic_K_3_with_ESE_Services" localSheetId="42">'4020'!$A$13</definedName>
    <definedName name="_111_Basic_K_3_with_ESE_Services" localSheetId="43">'4030'!$A$13</definedName>
    <definedName name="_111_Basic_K_3_with_ESE_Services" localSheetId="44">'4031'!$A$13</definedName>
    <definedName name="_111_Basic_K_3_with_ESE_Services" localSheetId="45">'4041'!$A$13</definedName>
    <definedName name="_111_Basic_K_3_with_ESE_Services" localSheetId="46">'4050'!$A$13</definedName>
    <definedName name="_111_Basic_K_3_with_ESE_Services" localSheetId="47">'4051'!$A$13</definedName>
    <definedName name="_111_Basic_K_3_with_ESE_Services" localSheetId="48">'4061'!$A$13</definedName>
    <definedName name="_111_Basic_K_3_with_ESE_Services" localSheetId="49">'4080'!$A$13</definedName>
    <definedName name="_111_Basic_K_3_with_ESE_Services" localSheetId="50">'4081'!$A$13</definedName>
    <definedName name="_111_Basic_K_3_with_ESE_Services" localSheetId="51">'4090'!$A$13</definedName>
    <definedName name="_111_Basic_K_3_with_ESE_Services" localSheetId="52">'4091'!$A$13</definedName>
    <definedName name="_111_Basic_K_3_with_ESE_Services" localSheetId="53">'4100'!$A$13</definedName>
    <definedName name="_111_Basic_K_3_with_ESE_Services" localSheetId="54">'4102'!$A$13</definedName>
    <definedName name="_111_Basic_K_3_with_ESE_Services" localSheetId="55">'4103'!$A$13</definedName>
    <definedName name="_111_Basic_K_3_with_ESE_Services" localSheetId="56">'4111'!$A$13</definedName>
    <definedName name="_111_Basic_K_3_with_ESE_Services" localSheetId="57">'4131'!$A$13</definedName>
    <definedName name="_111_Basic_K_3_with_ESE_Services" localSheetId="58">'4141'!$A$13</definedName>
    <definedName name="_111_Basic_K_3_with_ESE_Services">'0040'!$A$13</definedName>
    <definedName name="_112_Basic_4_8_with_ESE_Services" localSheetId="9">'0100'!$A$15</definedName>
    <definedName name="_112_Basic_4_8_with_ESE_Services" localSheetId="8">'0571'!$A$15</definedName>
    <definedName name="_112_Basic_4_8_with_ESE_Services" localSheetId="10">'1461'!$A$15</definedName>
    <definedName name="_112_Basic_4_8_with_ESE_Services" localSheetId="11">'1571'!$A$15</definedName>
    <definedName name="_112_Basic_4_8_with_ESE_Services" localSheetId="12">'2521'!$A$15</definedName>
    <definedName name="_112_Basic_4_8_with_ESE_Services" localSheetId="13">'2531'!$A$15</definedName>
    <definedName name="_112_Basic_4_8_with_ESE_Services" localSheetId="14">'2791'!$A$15</definedName>
    <definedName name="_112_Basic_4_8_with_ESE_Services" localSheetId="15">'2801'!$A$15</definedName>
    <definedName name="_112_Basic_4_8_with_ESE_Services" localSheetId="16">'2911'!$A$15</definedName>
    <definedName name="_112_Basic_4_8_with_ESE_Services" localSheetId="17">'2941'!$A$15</definedName>
    <definedName name="_112_Basic_4_8_with_ESE_Services" localSheetId="18">'3083'!$A$15</definedName>
    <definedName name="_112_Basic_4_8_with_ESE_Services" localSheetId="19">'3345'!$A$15</definedName>
    <definedName name="_112_Basic_4_8_with_ESE_Services" localSheetId="20">'3362'!$A$15</definedName>
    <definedName name="_112_Basic_4_8_with_ESE_Services" localSheetId="21">'3381'!$A$15</definedName>
    <definedName name="_112_Basic_4_8_with_ESE_Services" localSheetId="22">'3382'!$A$15</definedName>
    <definedName name="_112_Basic_4_8_with_ESE_Services" localSheetId="23">'3391'!$A$15</definedName>
    <definedName name="_112_Basic_4_8_with_ESE_Services" localSheetId="24">'3394'!$A$15</definedName>
    <definedName name="_112_Basic_4_8_with_ESE_Services" localSheetId="25">'3395'!$A$15</definedName>
    <definedName name="_112_Basic_4_8_with_ESE_Services" localSheetId="26">'3396'!$A$15</definedName>
    <definedName name="_112_Basic_4_8_with_ESE_Services" localSheetId="27">'3398'!$A$15</definedName>
    <definedName name="_112_Basic_4_8_with_ESE_Services" localSheetId="28">'3400'!$A$15</definedName>
    <definedName name="_112_Basic_4_8_with_ESE_Services" localSheetId="29">'3401'!$A$15</definedName>
    <definedName name="_112_Basic_4_8_with_ESE_Services" localSheetId="30">'3413'!$A$15</definedName>
    <definedName name="_112_Basic_4_8_with_ESE_Services" localSheetId="31">'3421'!$A$15</definedName>
    <definedName name="_112_Basic_4_8_with_ESE_Services" localSheetId="32">'3431'!$A$15</definedName>
    <definedName name="_112_Basic_4_8_with_ESE_Services" localSheetId="33">'3441'!$A$15</definedName>
    <definedName name="_112_Basic_4_8_with_ESE_Services" localSheetId="34">'3924'!$A$15</definedName>
    <definedName name="_112_Basic_4_8_with_ESE_Services" localSheetId="35">'3941'!$A$15</definedName>
    <definedName name="_112_Basic_4_8_with_ESE_Services" localSheetId="36">'3961'!$A$15</definedName>
    <definedName name="_112_Basic_4_8_with_ESE_Services" localSheetId="37">'3971'!$A$15</definedName>
    <definedName name="_112_Basic_4_8_with_ESE_Services" localSheetId="38">'4001'!$A$15</definedName>
    <definedName name="_112_Basic_4_8_with_ESE_Services" localSheetId="39">'4002'!$A$15</definedName>
    <definedName name="_112_Basic_4_8_with_ESE_Services" localSheetId="40">'4012'!$A$15</definedName>
    <definedName name="_112_Basic_4_8_with_ESE_Services" localSheetId="41">'4013'!$A$15</definedName>
    <definedName name="_112_Basic_4_8_with_ESE_Services" localSheetId="42">'4020'!$A$15</definedName>
    <definedName name="_112_Basic_4_8_with_ESE_Services" localSheetId="43">'4030'!$A$15</definedName>
    <definedName name="_112_Basic_4_8_with_ESE_Services" localSheetId="44">'4031'!$A$15</definedName>
    <definedName name="_112_Basic_4_8_with_ESE_Services" localSheetId="45">'4041'!$A$15</definedName>
    <definedName name="_112_Basic_4_8_with_ESE_Services" localSheetId="46">'4050'!$A$15</definedName>
    <definedName name="_112_Basic_4_8_with_ESE_Services" localSheetId="47">'4051'!$A$15</definedName>
    <definedName name="_112_Basic_4_8_with_ESE_Services" localSheetId="48">'4061'!$A$15</definedName>
    <definedName name="_112_Basic_4_8_with_ESE_Services" localSheetId="49">'4080'!$A$15</definedName>
    <definedName name="_112_Basic_4_8_with_ESE_Services" localSheetId="50">'4081'!$A$15</definedName>
    <definedName name="_112_Basic_4_8_with_ESE_Services" localSheetId="51">'4090'!$A$15</definedName>
    <definedName name="_112_Basic_4_8_with_ESE_Services" localSheetId="52">'4091'!$A$15</definedName>
    <definedName name="_112_Basic_4_8_with_ESE_Services" localSheetId="53">'4100'!$A$15</definedName>
    <definedName name="_112_Basic_4_8_with_ESE_Services" localSheetId="54">'4102'!$A$15</definedName>
    <definedName name="_112_Basic_4_8_with_ESE_Services" localSheetId="55">'4103'!$A$15</definedName>
    <definedName name="_112_Basic_4_8_with_ESE_Services" localSheetId="56">'4111'!$A$15</definedName>
    <definedName name="_112_Basic_4_8_with_ESE_Services" localSheetId="57">'4131'!$A$15</definedName>
    <definedName name="_112_Basic_4_8_with_ESE_Services" localSheetId="58">'4141'!$A$15</definedName>
    <definedName name="_112_Basic_4_8_with_ESE_Services">'0040'!$A$15</definedName>
    <definedName name="_113_Basic_9_12_with_ESE_Services" localSheetId="9">'0100'!$A$17</definedName>
    <definedName name="_113_Basic_9_12_with_ESE_Services" localSheetId="8">'0571'!$A$17</definedName>
    <definedName name="_113_Basic_9_12_with_ESE_Services" localSheetId="10">'1461'!$A$17</definedName>
    <definedName name="_113_Basic_9_12_with_ESE_Services" localSheetId="11">'1571'!$A$17</definedName>
    <definedName name="_113_Basic_9_12_with_ESE_Services" localSheetId="12">'2521'!$A$17</definedName>
    <definedName name="_113_Basic_9_12_with_ESE_Services" localSheetId="13">'2531'!$A$17</definedName>
    <definedName name="_113_Basic_9_12_with_ESE_Services" localSheetId="14">'2791'!$A$17</definedName>
    <definedName name="_113_Basic_9_12_with_ESE_Services" localSheetId="15">'2801'!$A$17</definedName>
    <definedName name="_113_Basic_9_12_with_ESE_Services" localSheetId="16">'2911'!$A$17</definedName>
    <definedName name="_113_Basic_9_12_with_ESE_Services" localSheetId="17">'2941'!$A$17</definedName>
    <definedName name="_113_Basic_9_12_with_ESE_Services" localSheetId="18">'3083'!$A$17</definedName>
    <definedName name="_113_Basic_9_12_with_ESE_Services" localSheetId="19">'3345'!$A$17</definedName>
    <definedName name="_113_Basic_9_12_with_ESE_Services" localSheetId="20">'3362'!$A$17</definedName>
    <definedName name="_113_Basic_9_12_with_ESE_Services" localSheetId="21">'3381'!$A$17</definedName>
    <definedName name="_113_Basic_9_12_with_ESE_Services" localSheetId="22">'3382'!$A$17</definedName>
    <definedName name="_113_Basic_9_12_with_ESE_Services" localSheetId="23">'3391'!$A$17</definedName>
    <definedName name="_113_Basic_9_12_with_ESE_Services" localSheetId="24">'3394'!$A$17</definedName>
    <definedName name="_113_Basic_9_12_with_ESE_Services" localSheetId="25">'3395'!$A$17</definedName>
    <definedName name="_113_Basic_9_12_with_ESE_Services" localSheetId="26">'3396'!$A$17</definedName>
    <definedName name="_113_Basic_9_12_with_ESE_Services" localSheetId="27">'3398'!$A$17</definedName>
    <definedName name="_113_Basic_9_12_with_ESE_Services" localSheetId="28">'3400'!$A$17</definedName>
    <definedName name="_113_Basic_9_12_with_ESE_Services" localSheetId="29">'3401'!$A$17</definedName>
    <definedName name="_113_Basic_9_12_with_ESE_Services" localSheetId="30">'3413'!$A$17</definedName>
    <definedName name="_113_Basic_9_12_with_ESE_Services" localSheetId="31">'3421'!$A$17</definedName>
    <definedName name="_113_Basic_9_12_with_ESE_Services" localSheetId="32">'3431'!$A$17</definedName>
    <definedName name="_113_Basic_9_12_with_ESE_Services" localSheetId="33">'3441'!$A$17</definedName>
    <definedName name="_113_Basic_9_12_with_ESE_Services" localSheetId="34">'3924'!$A$17</definedName>
    <definedName name="_113_Basic_9_12_with_ESE_Services" localSheetId="35">'3941'!$A$17</definedName>
    <definedName name="_113_Basic_9_12_with_ESE_Services" localSheetId="36">'3961'!$A$17</definedName>
    <definedName name="_113_Basic_9_12_with_ESE_Services" localSheetId="37">'3971'!$A$17</definedName>
    <definedName name="_113_Basic_9_12_with_ESE_Services" localSheetId="38">'4001'!$A$17</definedName>
    <definedName name="_113_Basic_9_12_with_ESE_Services" localSheetId="39">'4002'!$A$17</definedName>
    <definedName name="_113_Basic_9_12_with_ESE_Services" localSheetId="40">'4012'!$A$17</definedName>
    <definedName name="_113_Basic_9_12_with_ESE_Services" localSheetId="41">'4013'!$A$17</definedName>
    <definedName name="_113_Basic_9_12_with_ESE_Services" localSheetId="42">'4020'!$A$17</definedName>
    <definedName name="_113_Basic_9_12_with_ESE_Services" localSheetId="43">'4030'!$A$17</definedName>
    <definedName name="_113_Basic_9_12_with_ESE_Services" localSheetId="44">'4031'!$A$17</definedName>
    <definedName name="_113_Basic_9_12_with_ESE_Services" localSheetId="45">'4041'!$A$17</definedName>
    <definedName name="_113_Basic_9_12_with_ESE_Services" localSheetId="46">'4050'!$A$17</definedName>
    <definedName name="_113_Basic_9_12_with_ESE_Services" localSheetId="47">'4051'!$A$17</definedName>
    <definedName name="_113_Basic_9_12_with_ESE_Services" localSheetId="48">'4061'!$A$17</definedName>
    <definedName name="_113_Basic_9_12_with_ESE_Services" localSheetId="49">'4080'!$A$17</definedName>
    <definedName name="_113_Basic_9_12_with_ESE_Services" localSheetId="50">'4081'!$A$17</definedName>
    <definedName name="_113_Basic_9_12_with_ESE_Services" localSheetId="51">'4090'!$A$17</definedName>
    <definedName name="_113_Basic_9_12_with_ESE_Services" localSheetId="52">'4091'!$A$17</definedName>
    <definedName name="_113_Basic_9_12_with_ESE_Services" localSheetId="53">'4100'!$A$17</definedName>
    <definedName name="_113_Basic_9_12_with_ESE_Services" localSheetId="54">'4102'!$A$17</definedName>
    <definedName name="_113_Basic_9_12_with_ESE_Services" localSheetId="55">'4103'!$A$17</definedName>
    <definedName name="_113_Basic_9_12_with_ESE_Services" localSheetId="56">'4111'!$A$17</definedName>
    <definedName name="_113_Basic_9_12_with_ESE_Services" localSheetId="57">'4131'!$A$17</definedName>
    <definedName name="_113_Basic_9_12_with_ESE_Services" localSheetId="58">'4141'!$A$17</definedName>
    <definedName name="_113_Basic_9_12_with_ESE_Services">'0040'!$A$17</definedName>
    <definedName name="_130_ESOL__Grade_Level_4_8" localSheetId="9">'0100'!$A$25</definedName>
    <definedName name="_130_ESOL__Grade_Level_4_8" localSheetId="8">'0571'!$A$25</definedName>
    <definedName name="_130_ESOL__Grade_Level_4_8" localSheetId="10">'1461'!$A$25</definedName>
    <definedName name="_130_ESOL__Grade_Level_4_8" localSheetId="11">'1571'!$A$25</definedName>
    <definedName name="_130_ESOL__Grade_Level_4_8" localSheetId="12">'2521'!$A$25</definedName>
    <definedName name="_130_ESOL__Grade_Level_4_8" localSheetId="13">'2531'!$A$25</definedName>
    <definedName name="_130_ESOL__Grade_Level_4_8" localSheetId="14">'2791'!$A$25</definedName>
    <definedName name="_130_ESOL__Grade_Level_4_8" localSheetId="15">'2801'!$A$25</definedName>
    <definedName name="_130_ESOL__Grade_Level_4_8" localSheetId="16">'2911'!$A$25</definedName>
    <definedName name="_130_ESOL__Grade_Level_4_8" localSheetId="17">'2941'!$A$25</definedName>
    <definedName name="_130_ESOL__Grade_Level_4_8" localSheetId="18">'3083'!$A$25</definedName>
    <definedName name="_130_ESOL__Grade_Level_4_8" localSheetId="19">'3345'!$A$25</definedName>
    <definedName name="_130_ESOL__Grade_Level_4_8" localSheetId="20">'3362'!$A$25</definedName>
    <definedName name="_130_ESOL__Grade_Level_4_8" localSheetId="21">'3381'!$A$25</definedName>
    <definedName name="_130_ESOL__Grade_Level_4_8" localSheetId="22">'3382'!$A$25</definedName>
    <definedName name="_130_ESOL__Grade_Level_4_8" localSheetId="23">'3391'!$A$25</definedName>
    <definedName name="_130_ESOL__Grade_Level_4_8" localSheetId="24">'3394'!$A$25</definedName>
    <definedName name="_130_ESOL__Grade_Level_4_8" localSheetId="25">'3395'!$A$25</definedName>
    <definedName name="_130_ESOL__Grade_Level_4_8" localSheetId="26">'3396'!$A$25</definedName>
    <definedName name="_130_ESOL__Grade_Level_4_8" localSheetId="27">'3398'!$A$25</definedName>
    <definedName name="_130_ESOL__Grade_Level_4_8" localSheetId="28">'3400'!$A$25</definedName>
    <definedName name="_130_ESOL__Grade_Level_4_8" localSheetId="29">'3401'!$A$25</definedName>
    <definedName name="_130_ESOL__Grade_Level_4_8" localSheetId="30">'3413'!$A$25</definedName>
    <definedName name="_130_ESOL__Grade_Level_4_8" localSheetId="31">'3421'!$A$25</definedName>
    <definedName name="_130_ESOL__Grade_Level_4_8" localSheetId="32">'3431'!$A$25</definedName>
    <definedName name="_130_ESOL__Grade_Level_4_8" localSheetId="33">'3441'!$A$25</definedName>
    <definedName name="_130_ESOL__Grade_Level_4_8" localSheetId="34">'3924'!$A$25</definedName>
    <definedName name="_130_ESOL__Grade_Level_4_8" localSheetId="35">'3941'!$A$25</definedName>
    <definedName name="_130_ESOL__Grade_Level_4_8" localSheetId="36">'3961'!$A$25</definedName>
    <definedName name="_130_ESOL__Grade_Level_4_8" localSheetId="37">'3971'!$A$25</definedName>
    <definedName name="_130_ESOL__Grade_Level_4_8" localSheetId="38">'4001'!$A$25</definedName>
    <definedName name="_130_ESOL__Grade_Level_4_8" localSheetId="39">'4002'!$A$25</definedName>
    <definedName name="_130_ESOL__Grade_Level_4_8" localSheetId="40">'4012'!$A$25</definedName>
    <definedName name="_130_ESOL__Grade_Level_4_8" localSheetId="41">'4013'!$A$25</definedName>
    <definedName name="_130_ESOL__Grade_Level_4_8" localSheetId="42">'4020'!$A$25</definedName>
    <definedName name="_130_ESOL__Grade_Level_4_8" localSheetId="43">'4030'!$A$25</definedName>
    <definedName name="_130_ESOL__Grade_Level_4_8" localSheetId="44">'4031'!$A$25</definedName>
    <definedName name="_130_ESOL__Grade_Level_4_8" localSheetId="45">'4041'!$A$25</definedName>
    <definedName name="_130_ESOL__Grade_Level_4_8" localSheetId="46">'4050'!$A$25</definedName>
    <definedName name="_130_ESOL__Grade_Level_4_8" localSheetId="47">'4051'!$A$25</definedName>
    <definedName name="_130_ESOL__Grade_Level_4_8" localSheetId="48">'4061'!$A$25</definedName>
    <definedName name="_130_ESOL__Grade_Level_4_8" localSheetId="49">'4080'!$A$25</definedName>
    <definedName name="_130_ESOL__Grade_Level_4_8" localSheetId="50">'4081'!$A$25</definedName>
    <definedName name="_130_ESOL__Grade_Level_4_8" localSheetId="51">'4090'!$A$25</definedName>
    <definedName name="_130_ESOL__Grade_Level_4_8" localSheetId="52">'4091'!$A$25</definedName>
    <definedName name="_130_ESOL__Grade_Level_4_8" localSheetId="53">'4100'!$A$25</definedName>
    <definedName name="_130_ESOL__Grade_Level_4_8" localSheetId="54">'4102'!$A$25</definedName>
    <definedName name="_130_ESOL__Grade_Level_4_8" localSheetId="55">'4103'!$A$25</definedName>
    <definedName name="_130_ESOL__Grade_Level_4_8" localSheetId="56">'4111'!$A$25</definedName>
    <definedName name="_130_ESOL__Grade_Level_4_8" localSheetId="57">'4131'!$A$25</definedName>
    <definedName name="_130_ESOL__Grade_Level_4_8" localSheetId="58">'4141'!$A$25</definedName>
    <definedName name="_130_ESOL__Grade_Level_4_8">'0040'!$A$25</definedName>
    <definedName name="_130_ESOL__Grade_Level_9_12" localSheetId="9">'0100'!$A$26</definedName>
    <definedName name="_130_ESOL__Grade_Level_9_12" localSheetId="8">'0571'!$A$26</definedName>
    <definedName name="_130_ESOL__Grade_Level_9_12" localSheetId="10">'1461'!$A$26</definedName>
    <definedName name="_130_ESOL__Grade_Level_9_12" localSheetId="11">'1571'!$A$26</definedName>
    <definedName name="_130_ESOL__Grade_Level_9_12" localSheetId="12">'2521'!$A$26</definedName>
    <definedName name="_130_ESOL__Grade_Level_9_12" localSheetId="13">'2531'!$A$26</definedName>
    <definedName name="_130_ESOL__Grade_Level_9_12" localSheetId="14">'2791'!$A$26</definedName>
    <definedName name="_130_ESOL__Grade_Level_9_12" localSheetId="15">'2801'!$A$26</definedName>
    <definedName name="_130_ESOL__Grade_Level_9_12" localSheetId="16">'2911'!$A$26</definedName>
    <definedName name="_130_ESOL__Grade_Level_9_12" localSheetId="17">'2941'!$A$26</definedName>
    <definedName name="_130_ESOL__Grade_Level_9_12" localSheetId="18">'3083'!$A$26</definedName>
    <definedName name="_130_ESOL__Grade_Level_9_12" localSheetId="19">'3345'!$A$26</definedName>
    <definedName name="_130_ESOL__Grade_Level_9_12" localSheetId="20">'3362'!$A$26</definedName>
    <definedName name="_130_ESOL__Grade_Level_9_12" localSheetId="21">'3381'!$A$26</definedName>
    <definedName name="_130_ESOL__Grade_Level_9_12" localSheetId="22">'3382'!$A$26</definedName>
    <definedName name="_130_ESOL__Grade_Level_9_12" localSheetId="23">'3391'!$A$26</definedName>
    <definedName name="_130_ESOL__Grade_Level_9_12" localSheetId="24">'3394'!$A$26</definedName>
    <definedName name="_130_ESOL__Grade_Level_9_12" localSheetId="25">'3395'!$A$26</definedName>
    <definedName name="_130_ESOL__Grade_Level_9_12" localSheetId="26">'3396'!$A$26</definedName>
    <definedName name="_130_ESOL__Grade_Level_9_12" localSheetId="27">'3398'!$A$26</definedName>
    <definedName name="_130_ESOL__Grade_Level_9_12" localSheetId="28">'3400'!$A$26</definedName>
    <definedName name="_130_ESOL__Grade_Level_9_12" localSheetId="29">'3401'!$A$26</definedName>
    <definedName name="_130_ESOL__Grade_Level_9_12" localSheetId="30">'3413'!$A$26</definedName>
    <definedName name="_130_ESOL__Grade_Level_9_12" localSheetId="31">'3421'!$A$26</definedName>
    <definedName name="_130_ESOL__Grade_Level_9_12" localSheetId="32">'3431'!$A$26</definedName>
    <definedName name="_130_ESOL__Grade_Level_9_12" localSheetId="33">'3441'!$A$26</definedName>
    <definedName name="_130_ESOL__Grade_Level_9_12" localSheetId="34">'3924'!$A$26</definedName>
    <definedName name="_130_ESOL__Grade_Level_9_12" localSheetId="35">'3941'!$A$26</definedName>
    <definedName name="_130_ESOL__Grade_Level_9_12" localSheetId="36">'3961'!$A$26</definedName>
    <definedName name="_130_ESOL__Grade_Level_9_12" localSheetId="37">'3971'!$A$26</definedName>
    <definedName name="_130_ESOL__Grade_Level_9_12" localSheetId="38">'4001'!$A$26</definedName>
    <definedName name="_130_ESOL__Grade_Level_9_12" localSheetId="39">'4002'!$A$26</definedName>
    <definedName name="_130_ESOL__Grade_Level_9_12" localSheetId="40">'4012'!$A$26</definedName>
    <definedName name="_130_ESOL__Grade_Level_9_12" localSheetId="41">'4013'!$A$26</definedName>
    <definedName name="_130_ESOL__Grade_Level_9_12" localSheetId="42">'4020'!$A$26</definedName>
    <definedName name="_130_ESOL__Grade_Level_9_12" localSheetId="43">'4030'!$A$26</definedName>
    <definedName name="_130_ESOL__Grade_Level_9_12" localSheetId="44">'4031'!$A$26</definedName>
    <definedName name="_130_ESOL__Grade_Level_9_12" localSheetId="45">'4041'!$A$26</definedName>
    <definedName name="_130_ESOL__Grade_Level_9_12" localSheetId="46">'4050'!$A$26</definedName>
    <definedName name="_130_ESOL__Grade_Level_9_12" localSheetId="47">'4051'!$A$26</definedName>
    <definedName name="_130_ESOL__Grade_Level_9_12" localSheetId="48">'4061'!$A$26</definedName>
    <definedName name="_130_ESOL__Grade_Level_9_12" localSheetId="49">'4080'!$A$26</definedName>
    <definedName name="_130_ESOL__Grade_Level_9_12" localSheetId="50">'4081'!$A$26</definedName>
    <definedName name="_130_ESOL__Grade_Level_9_12" localSheetId="51">'4090'!$A$26</definedName>
    <definedName name="_130_ESOL__Grade_Level_9_12" localSheetId="52">'4091'!$A$26</definedName>
    <definedName name="_130_ESOL__Grade_Level_9_12" localSheetId="53">'4100'!$A$26</definedName>
    <definedName name="_130_ESOL__Grade_Level_9_12" localSheetId="54">'4102'!$A$26</definedName>
    <definedName name="_130_ESOL__Grade_Level_9_12" localSheetId="55">'4103'!$A$26</definedName>
    <definedName name="_130_ESOL__Grade_Level_9_12" localSheetId="56">'4111'!$A$26</definedName>
    <definedName name="_130_ESOL__Grade_Level_9_12" localSheetId="57">'4131'!$A$26</definedName>
    <definedName name="_130_ESOL__Grade_Level_9_12" localSheetId="58">'4141'!$A$26</definedName>
    <definedName name="_130_ESOL__Grade_Level_9_12">'0040'!$A$26</definedName>
    <definedName name="_130_ESOL__Grade_Level_PK_3" localSheetId="9">'0100'!$A$24</definedName>
    <definedName name="_130_ESOL__Grade_Level_PK_3" localSheetId="8">'0571'!$A$24</definedName>
    <definedName name="_130_ESOL__Grade_Level_PK_3" localSheetId="10">'1461'!$A$24</definedName>
    <definedName name="_130_ESOL__Grade_Level_PK_3" localSheetId="11">'1571'!$A$24</definedName>
    <definedName name="_130_ESOL__Grade_Level_PK_3" localSheetId="12">'2521'!$A$24</definedName>
    <definedName name="_130_ESOL__Grade_Level_PK_3" localSheetId="13">'2531'!$A$24</definedName>
    <definedName name="_130_ESOL__Grade_Level_PK_3" localSheetId="14">'2791'!$A$24</definedName>
    <definedName name="_130_ESOL__Grade_Level_PK_3" localSheetId="15">'2801'!$A$24</definedName>
    <definedName name="_130_ESOL__Grade_Level_PK_3" localSheetId="16">'2911'!$A$24</definedName>
    <definedName name="_130_ESOL__Grade_Level_PK_3" localSheetId="17">'2941'!$A$24</definedName>
    <definedName name="_130_ESOL__Grade_Level_PK_3" localSheetId="18">'3083'!$A$24</definedName>
    <definedName name="_130_ESOL__Grade_Level_PK_3" localSheetId="19">'3345'!$A$24</definedName>
    <definedName name="_130_ESOL__Grade_Level_PK_3" localSheetId="20">'3362'!$A$24</definedName>
    <definedName name="_130_ESOL__Grade_Level_PK_3" localSheetId="21">'3381'!$A$24</definedName>
    <definedName name="_130_ESOL__Grade_Level_PK_3" localSheetId="22">'3382'!$A$24</definedName>
    <definedName name="_130_ESOL__Grade_Level_PK_3" localSheetId="23">'3391'!$A$24</definedName>
    <definedName name="_130_ESOL__Grade_Level_PK_3" localSheetId="24">'3394'!$A$24</definedName>
    <definedName name="_130_ESOL__Grade_Level_PK_3" localSheetId="25">'3395'!$A$24</definedName>
    <definedName name="_130_ESOL__Grade_Level_PK_3" localSheetId="26">'3396'!$A$24</definedName>
    <definedName name="_130_ESOL__Grade_Level_PK_3" localSheetId="27">'3398'!$A$24</definedName>
    <definedName name="_130_ESOL__Grade_Level_PK_3" localSheetId="28">'3400'!$A$24</definedName>
    <definedName name="_130_ESOL__Grade_Level_PK_3" localSheetId="29">'3401'!$A$24</definedName>
    <definedName name="_130_ESOL__Grade_Level_PK_3" localSheetId="30">'3413'!$A$24</definedName>
    <definedName name="_130_ESOL__Grade_Level_PK_3" localSheetId="31">'3421'!$A$24</definedName>
    <definedName name="_130_ESOL__Grade_Level_PK_3" localSheetId="32">'3431'!$A$24</definedName>
    <definedName name="_130_ESOL__Grade_Level_PK_3" localSheetId="33">'3441'!$A$24</definedName>
    <definedName name="_130_ESOL__Grade_Level_PK_3" localSheetId="34">'3924'!$A$24</definedName>
    <definedName name="_130_ESOL__Grade_Level_PK_3" localSheetId="35">'3941'!$A$24</definedName>
    <definedName name="_130_ESOL__Grade_Level_PK_3" localSheetId="36">'3961'!$A$24</definedName>
    <definedName name="_130_ESOL__Grade_Level_PK_3" localSheetId="37">'3971'!$A$24</definedName>
    <definedName name="_130_ESOL__Grade_Level_PK_3" localSheetId="38">'4001'!$A$24</definedName>
    <definedName name="_130_ESOL__Grade_Level_PK_3" localSheetId="39">'4002'!$A$24</definedName>
    <definedName name="_130_ESOL__Grade_Level_PK_3" localSheetId="40">'4012'!$A$24</definedName>
    <definedName name="_130_ESOL__Grade_Level_PK_3" localSheetId="41">'4013'!$A$24</definedName>
    <definedName name="_130_ESOL__Grade_Level_PK_3" localSheetId="42">'4020'!$A$24</definedName>
    <definedName name="_130_ESOL__Grade_Level_PK_3" localSheetId="43">'4030'!$A$24</definedName>
    <definedName name="_130_ESOL__Grade_Level_PK_3" localSheetId="44">'4031'!$A$24</definedName>
    <definedName name="_130_ESOL__Grade_Level_PK_3" localSheetId="45">'4041'!$A$24</definedName>
    <definedName name="_130_ESOL__Grade_Level_PK_3" localSheetId="46">'4050'!$A$24</definedName>
    <definedName name="_130_ESOL__Grade_Level_PK_3" localSheetId="47">'4051'!$A$24</definedName>
    <definedName name="_130_ESOL__Grade_Level_PK_3" localSheetId="48">'4061'!$A$24</definedName>
    <definedName name="_130_ESOL__Grade_Level_PK_3" localSheetId="49">'4080'!$A$24</definedName>
    <definedName name="_130_ESOL__Grade_Level_PK_3" localSheetId="50">'4081'!$A$24</definedName>
    <definedName name="_130_ESOL__Grade_Level_PK_3" localSheetId="51">'4090'!$A$24</definedName>
    <definedName name="_130_ESOL__Grade_Level_PK_3" localSheetId="52">'4091'!$A$24</definedName>
    <definedName name="_130_ESOL__Grade_Level_PK_3" localSheetId="53">'4100'!$A$24</definedName>
    <definedName name="_130_ESOL__Grade_Level_PK_3" localSheetId="54">'4102'!$A$24</definedName>
    <definedName name="_130_ESOL__Grade_Level_PK_3" localSheetId="55">'4103'!$A$24</definedName>
    <definedName name="_130_ESOL__Grade_Level_PK_3" localSheetId="56">'4111'!$A$24</definedName>
    <definedName name="_130_ESOL__Grade_Level_PK_3" localSheetId="57">'4131'!$A$24</definedName>
    <definedName name="_130_ESOL__Grade_Level_PK_3" localSheetId="58">'4141'!$A$24</definedName>
    <definedName name="_130_ESOL__Grade_Level_PK_3">'0040'!$A$24</definedName>
    <definedName name="_1A.___2023_24_FEFP_State_and_Local_Funding" localSheetId="7">'0040'!$A$5</definedName>
    <definedName name="_1A.___2023_24_FEFP_State_and_Local_Funding" localSheetId="9">'0100'!$A$5</definedName>
    <definedName name="_1A.___2023_24_FEFP_State_and_Local_Funding" localSheetId="8">'0571'!$A$5</definedName>
    <definedName name="_1A.___2023_24_FEFP_State_and_Local_Funding" localSheetId="10">'1461'!$A$5</definedName>
    <definedName name="_1A.___2023_24_FEFP_State_and_Local_Funding" localSheetId="11">'1571'!$A$5</definedName>
    <definedName name="_1A.___2023_24_FEFP_State_and_Local_Funding" localSheetId="12">'2521'!$A$5</definedName>
    <definedName name="_1A.___2023_24_FEFP_State_and_Local_Funding" localSheetId="13">'2531'!$A$5</definedName>
    <definedName name="_1A.___2023_24_FEFP_State_and_Local_Funding" localSheetId="14">'2791'!$A$5</definedName>
    <definedName name="_1A.___2023_24_FEFP_State_and_Local_Funding" localSheetId="15">'2801'!$A$5</definedName>
    <definedName name="_1A.___2023_24_FEFP_State_and_Local_Funding" localSheetId="16">'2911'!$A$5</definedName>
    <definedName name="_1A.___2023_24_FEFP_State_and_Local_Funding" localSheetId="17">'2941'!$A$5</definedName>
    <definedName name="_1A.___2023_24_FEFP_State_and_Local_Funding" localSheetId="18">'3083'!$A$5</definedName>
    <definedName name="_1A.___2023_24_FEFP_State_and_Local_Funding" localSheetId="19">'3345'!$A$5</definedName>
    <definedName name="_1A.___2023_24_FEFP_State_and_Local_Funding" localSheetId="20">'3362'!$A$5</definedName>
    <definedName name="_1A.___2023_24_FEFP_State_and_Local_Funding" localSheetId="21">'3381'!$A$5</definedName>
    <definedName name="_1A.___2023_24_FEFP_State_and_Local_Funding" localSheetId="22">'3382'!$A$5</definedName>
    <definedName name="_1A.___2023_24_FEFP_State_and_Local_Funding" localSheetId="23">'3391'!$A$5</definedName>
    <definedName name="_1A.___2023_24_FEFP_State_and_Local_Funding" localSheetId="24">'3394'!$A$5</definedName>
    <definedName name="_1A.___2023_24_FEFP_State_and_Local_Funding" localSheetId="25">'3395'!$A$5</definedName>
    <definedName name="_1A.___2023_24_FEFP_State_and_Local_Funding" localSheetId="26">'3396'!$A$5</definedName>
    <definedName name="_1A.___2023_24_FEFP_State_and_Local_Funding" localSheetId="27">'3398'!$A$5</definedName>
    <definedName name="_1A.___2023_24_FEFP_State_and_Local_Funding" localSheetId="28">'3400'!$A$5</definedName>
    <definedName name="_1A.___2023_24_FEFP_State_and_Local_Funding" localSheetId="29">'3401'!$A$5</definedName>
    <definedName name="_1A.___2023_24_FEFP_State_and_Local_Funding" localSheetId="30">'3413'!$A$5</definedName>
    <definedName name="_1A.___2023_24_FEFP_State_and_Local_Funding" localSheetId="31">'3421'!$A$5</definedName>
    <definedName name="_1A.___2023_24_FEFP_State_and_Local_Funding" localSheetId="32">'3431'!$A$5</definedName>
    <definedName name="_1A.___2023_24_FEFP_State_and_Local_Funding" localSheetId="33">'3441'!$A$5</definedName>
    <definedName name="_1A.___2023_24_FEFP_State_and_Local_Funding" localSheetId="34">'3924'!$A$5</definedName>
    <definedName name="_1A.___2023_24_FEFP_State_and_Local_Funding" localSheetId="35">'3941'!$A$5</definedName>
    <definedName name="_1A.___2023_24_FEFP_State_and_Local_Funding" localSheetId="36">'3961'!$A$5</definedName>
    <definedName name="_1A.___2023_24_FEFP_State_and_Local_Funding" localSheetId="37">'3971'!$A$5</definedName>
    <definedName name="_1A.___2023_24_FEFP_State_and_Local_Funding" localSheetId="38">'4001'!$A$5</definedName>
    <definedName name="_1A.___2023_24_FEFP_State_and_Local_Funding" localSheetId="39">'4002'!$A$5</definedName>
    <definedName name="_1A.___2023_24_FEFP_State_and_Local_Funding" localSheetId="40">'4012'!$A$5</definedName>
    <definedName name="_1A.___2023_24_FEFP_State_and_Local_Funding" localSheetId="41">'4013'!$A$5</definedName>
    <definedName name="_1A.___2023_24_FEFP_State_and_Local_Funding" localSheetId="42">'4020'!$A$5</definedName>
    <definedName name="_1A.___2023_24_FEFP_State_and_Local_Funding" localSheetId="43">'4030'!$A$5</definedName>
    <definedName name="_1A.___2023_24_FEFP_State_and_Local_Funding" localSheetId="44">'4031'!$A$5</definedName>
    <definedName name="_1A.___2023_24_FEFP_State_and_Local_Funding" localSheetId="45">'4041'!$A$5</definedName>
    <definedName name="_1A.___2023_24_FEFP_State_and_Local_Funding" localSheetId="46">'4050'!$A$5</definedName>
    <definedName name="_1A.___2023_24_FEFP_State_and_Local_Funding" localSheetId="47">'4051'!$A$5</definedName>
    <definedName name="_1A.___2023_24_FEFP_State_and_Local_Funding" localSheetId="48">'4061'!$A$5</definedName>
    <definedName name="_1A.___2023_24_FEFP_State_and_Local_Funding" localSheetId="49">'4080'!$A$5</definedName>
    <definedName name="_1A.___2023_24_FEFP_State_and_Local_Funding" localSheetId="50">'4081'!$A$5</definedName>
    <definedName name="_1A.___2023_24_FEFP_State_and_Local_Funding" localSheetId="51">'4090'!$A$5</definedName>
    <definedName name="_1A.___2023_24_FEFP_State_and_Local_Funding" localSheetId="52">'4091'!$A$5</definedName>
    <definedName name="_1A.___2023_24_FEFP_State_and_Local_Funding" localSheetId="53">'4100'!$A$5</definedName>
    <definedName name="_1A.___2023_24_FEFP_State_and_Local_Funding" localSheetId="54">'4102'!$A$5</definedName>
    <definedName name="_1A.___2023_24_FEFP_State_and_Local_Funding" localSheetId="55">'4103'!$A$5</definedName>
    <definedName name="_1A.___2023_24_FEFP_State_and_Local_Funding" localSheetId="56">'4111'!$A$5</definedName>
    <definedName name="_1A.___2023_24_FEFP_State_and_Local_Funding" localSheetId="57">'4131'!$A$5</definedName>
    <definedName name="_1A.___2023_24_FEFP_State_and_Local_Funding" localSheetId="58">'4141'!$A$5</definedName>
    <definedName name="_2" localSheetId="9">'0100'!$E$11</definedName>
    <definedName name="_2" localSheetId="8">'0571'!$E$11</definedName>
    <definedName name="_2" localSheetId="10">'1461'!$E$11</definedName>
    <definedName name="_2" localSheetId="11">'1571'!$E$11</definedName>
    <definedName name="_2" localSheetId="12">'2521'!$E$11</definedName>
    <definedName name="_2" localSheetId="13">'2531'!$E$11</definedName>
    <definedName name="_2" localSheetId="14">'2791'!$E$11</definedName>
    <definedName name="_2" localSheetId="15">'2801'!$E$11</definedName>
    <definedName name="_2" localSheetId="16">'2911'!$E$11</definedName>
    <definedName name="_2" localSheetId="17">'2941'!$E$11</definedName>
    <definedName name="_2" localSheetId="18">'3083'!$E$11</definedName>
    <definedName name="_2" localSheetId="19">'3345'!$E$11</definedName>
    <definedName name="_2" localSheetId="20">'3362'!$E$11</definedName>
    <definedName name="_2" localSheetId="21">'3381'!$E$11</definedName>
    <definedName name="_2" localSheetId="22">'3382'!$E$11</definedName>
    <definedName name="_2" localSheetId="23">'3391'!$E$11</definedName>
    <definedName name="_2" localSheetId="24">'3394'!$E$11</definedName>
    <definedName name="_2" localSheetId="25">'3395'!$E$11</definedName>
    <definedName name="_2" localSheetId="26">'3396'!$E$11</definedName>
    <definedName name="_2" localSheetId="27">'3398'!$E$11</definedName>
    <definedName name="_2" localSheetId="28">'3400'!$E$11</definedName>
    <definedName name="_2" localSheetId="29">'3401'!$E$11</definedName>
    <definedName name="_2" localSheetId="30">'3413'!$E$11</definedName>
    <definedName name="_2" localSheetId="31">'3421'!$E$11</definedName>
    <definedName name="_2" localSheetId="32">'3431'!$E$11</definedName>
    <definedName name="_2" localSheetId="33">'3441'!$E$11</definedName>
    <definedName name="_2" localSheetId="34">'3924'!$E$11</definedName>
    <definedName name="_2" localSheetId="35">'3941'!$E$11</definedName>
    <definedName name="_2" localSheetId="36">'3961'!$E$11</definedName>
    <definedName name="_2" localSheetId="37">'3971'!$E$11</definedName>
    <definedName name="_2" localSheetId="38">'4001'!$E$11</definedName>
    <definedName name="_2" localSheetId="39">'4002'!$E$11</definedName>
    <definedName name="_2" localSheetId="40">'4012'!$E$11</definedName>
    <definedName name="_2" localSheetId="41">'4013'!$E$11</definedName>
    <definedName name="_2" localSheetId="42">'4020'!$E$11</definedName>
    <definedName name="_2" localSheetId="43">'4030'!$E$11</definedName>
    <definedName name="_2" localSheetId="44">'4031'!$E$11</definedName>
    <definedName name="_2" localSheetId="45">'4041'!$E$11</definedName>
    <definedName name="_2" localSheetId="46">'4050'!$E$11</definedName>
    <definedName name="_2" localSheetId="47">'4051'!$E$11</definedName>
    <definedName name="_2" localSheetId="48">'4061'!$E$11</definedName>
    <definedName name="_2" localSheetId="49">'4080'!$E$11</definedName>
    <definedName name="_2" localSheetId="50">'4081'!$E$11</definedName>
    <definedName name="_2" localSheetId="51">'4090'!$E$11</definedName>
    <definedName name="_2" localSheetId="52">'4091'!$E$11</definedName>
    <definedName name="_2" localSheetId="53">'4100'!$E$11</definedName>
    <definedName name="_2" localSheetId="54">'4102'!$E$11</definedName>
    <definedName name="_2" localSheetId="55">'4103'!$E$11</definedName>
    <definedName name="_2" localSheetId="56">'4111'!$E$11</definedName>
    <definedName name="_2" localSheetId="57">'4131'!$E$11</definedName>
    <definedName name="_2" localSheetId="58">'4141'!$E$11</definedName>
    <definedName name="_2">'0040'!$E$11</definedName>
    <definedName name="_2.__ESE_Guaranteed_Allocation" localSheetId="9">'0100'!#REF!</definedName>
    <definedName name="_2.__ESE_Guaranteed_Allocation" localSheetId="8">'0571'!#REF!</definedName>
    <definedName name="_2.__ESE_Guaranteed_Allocation" localSheetId="10">'1461'!#REF!</definedName>
    <definedName name="_2.__ESE_Guaranteed_Allocation" localSheetId="11">'1571'!#REF!</definedName>
    <definedName name="_2.__ESE_Guaranteed_Allocation" localSheetId="12">'2521'!#REF!</definedName>
    <definedName name="_2.__ESE_Guaranteed_Allocation" localSheetId="13">'2531'!#REF!</definedName>
    <definedName name="_2.__ESE_Guaranteed_Allocation" localSheetId="14">'2791'!#REF!</definedName>
    <definedName name="_2.__ESE_Guaranteed_Allocation" localSheetId="15">'2801'!#REF!</definedName>
    <definedName name="_2.__ESE_Guaranteed_Allocation" localSheetId="16">'2911'!#REF!</definedName>
    <definedName name="_2.__ESE_Guaranteed_Allocation" localSheetId="17">'2941'!#REF!</definedName>
    <definedName name="_2.__ESE_Guaranteed_Allocation" localSheetId="18">'3083'!#REF!</definedName>
    <definedName name="_2.__ESE_Guaranteed_Allocation" localSheetId="19">'3345'!#REF!</definedName>
    <definedName name="_2.__ESE_Guaranteed_Allocation" localSheetId="20">'3362'!#REF!</definedName>
    <definedName name="_2.__ESE_Guaranteed_Allocation" localSheetId="21">'3381'!#REF!</definedName>
    <definedName name="_2.__ESE_Guaranteed_Allocation" localSheetId="22">'3382'!#REF!</definedName>
    <definedName name="_2.__ESE_Guaranteed_Allocation" localSheetId="23">'3391'!#REF!</definedName>
    <definedName name="_2.__ESE_Guaranteed_Allocation" localSheetId="24">'3394'!#REF!</definedName>
    <definedName name="_2.__ESE_Guaranteed_Allocation" localSheetId="25">'3395'!#REF!</definedName>
    <definedName name="_2.__ESE_Guaranteed_Allocation" localSheetId="26">'3396'!#REF!</definedName>
    <definedName name="_2.__ESE_Guaranteed_Allocation" localSheetId="27">'3398'!#REF!</definedName>
    <definedName name="_2.__ESE_Guaranteed_Allocation" localSheetId="28">'3400'!#REF!</definedName>
    <definedName name="_2.__ESE_Guaranteed_Allocation" localSheetId="29">'3401'!#REF!</definedName>
    <definedName name="_2.__ESE_Guaranteed_Allocation" localSheetId="30">'3413'!#REF!</definedName>
    <definedName name="_2.__ESE_Guaranteed_Allocation" localSheetId="31">'3421'!#REF!</definedName>
    <definedName name="_2.__ESE_Guaranteed_Allocation" localSheetId="32">'3431'!#REF!</definedName>
    <definedName name="_2.__ESE_Guaranteed_Allocation" localSheetId="33">'3441'!#REF!</definedName>
    <definedName name="_2.__ESE_Guaranteed_Allocation" localSheetId="34">'3924'!#REF!</definedName>
    <definedName name="_2.__ESE_Guaranteed_Allocation" localSheetId="35">'3941'!#REF!</definedName>
    <definedName name="_2.__ESE_Guaranteed_Allocation" localSheetId="36">'3961'!#REF!</definedName>
    <definedName name="_2.__ESE_Guaranteed_Allocation" localSheetId="37">'3971'!#REF!</definedName>
    <definedName name="_2.__ESE_Guaranteed_Allocation" localSheetId="38">'4001'!#REF!</definedName>
    <definedName name="_2.__ESE_Guaranteed_Allocation" localSheetId="39">'4002'!#REF!</definedName>
    <definedName name="_2.__ESE_Guaranteed_Allocation" localSheetId="40">'4012'!#REF!</definedName>
    <definedName name="_2.__ESE_Guaranteed_Allocation" localSheetId="41">'4013'!#REF!</definedName>
    <definedName name="_2.__ESE_Guaranteed_Allocation" localSheetId="42">'4020'!#REF!</definedName>
    <definedName name="_2.__ESE_Guaranteed_Allocation" localSheetId="43">'4030'!#REF!</definedName>
    <definedName name="_2.__ESE_Guaranteed_Allocation" localSheetId="44">'4031'!#REF!</definedName>
    <definedName name="_2.__ESE_Guaranteed_Allocation" localSheetId="45">'4041'!#REF!</definedName>
    <definedName name="_2.__ESE_Guaranteed_Allocation" localSheetId="46">'4050'!#REF!</definedName>
    <definedName name="_2.__ESE_Guaranteed_Allocation" localSheetId="47">'4051'!#REF!</definedName>
    <definedName name="_2.__ESE_Guaranteed_Allocation" localSheetId="48">'4061'!#REF!</definedName>
    <definedName name="_2.__ESE_Guaranteed_Allocation" localSheetId="49">'4080'!#REF!</definedName>
    <definedName name="_2.__ESE_Guaranteed_Allocation" localSheetId="50">'4081'!#REF!</definedName>
    <definedName name="_2.__ESE_Guaranteed_Allocation" localSheetId="51">'4090'!#REF!</definedName>
    <definedName name="_2.__ESE_Guaranteed_Allocation" localSheetId="52">'4091'!#REF!</definedName>
    <definedName name="_2.__ESE_Guaranteed_Allocation" localSheetId="53">'4100'!#REF!</definedName>
    <definedName name="_2.__ESE_Guaranteed_Allocation" localSheetId="54">'4102'!#REF!</definedName>
    <definedName name="_2.__ESE_Guaranteed_Allocation" localSheetId="55">'4103'!#REF!</definedName>
    <definedName name="_2.__ESE_Guaranteed_Allocation" localSheetId="56">'4111'!#REF!</definedName>
    <definedName name="_2.__ESE_Guaranteed_Allocation" localSheetId="57">'4131'!#REF!</definedName>
    <definedName name="_2.__ESE_Guaranteed_Allocation" localSheetId="58">'4141'!#REF!</definedName>
    <definedName name="_2010_11_Base_Funding_WFTE_x_BSA_x_DCD" localSheetId="9">'0100'!$J$10</definedName>
    <definedName name="_2010_11_Base_Funding_WFTE_x_BSA_x_DCD" localSheetId="8">'0571'!$J$10</definedName>
    <definedName name="_2010_11_Base_Funding_WFTE_x_BSA_x_DCD" localSheetId="10">'1461'!$J$10</definedName>
    <definedName name="_2010_11_Base_Funding_WFTE_x_BSA_x_DCD" localSheetId="11">'1571'!$J$10</definedName>
    <definedName name="_2010_11_Base_Funding_WFTE_x_BSA_x_DCD" localSheetId="12">'2521'!$J$10</definedName>
    <definedName name="_2010_11_Base_Funding_WFTE_x_BSA_x_DCD" localSheetId="13">'2531'!$J$10</definedName>
    <definedName name="_2010_11_Base_Funding_WFTE_x_BSA_x_DCD" localSheetId="14">'2791'!$J$10</definedName>
    <definedName name="_2010_11_Base_Funding_WFTE_x_BSA_x_DCD" localSheetId="15">'2801'!$J$10</definedName>
    <definedName name="_2010_11_Base_Funding_WFTE_x_BSA_x_DCD" localSheetId="16">'2911'!$J$10</definedName>
    <definedName name="_2010_11_Base_Funding_WFTE_x_BSA_x_DCD" localSheetId="17">'2941'!$J$10</definedName>
    <definedName name="_2010_11_Base_Funding_WFTE_x_BSA_x_DCD" localSheetId="18">'3083'!$J$10</definedName>
    <definedName name="_2010_11_Base_Funding_WFTE_x_BSA_x_DCD" localSheetId="19">'3345'!$J$10</definedName>
    <definedName name="_2010_11_Base_Funding_WFTE_x_BSA_x_DCD" localSheetId="20">'3362'!$J$10</definedName>
    <definedName name="_2010_11_Base_Funding_WFTE_x_BSA_x_DCD" localSheetId="21">'3381'!$J$10</definedName>
    <definedName name="_2010_11_Base_Funding_WFTE_x_BSA_x_DCD" localSheetId="22">'3382'!$J$10</definedName>
    <definedName name="_2010_11_Base_Funding_WFTE_x_BSA_x_DCD" localSheetId="23">'3391'!$J$10</definedName>
    <definedName name="_2010_11_Base_Funding_WFTE_x_BSA_x_DCD" localSheetId="24">'3394'!$J$10</definedName>
    <definedName name="_2010_11_Base_Funding_WFTE_x_BSA_x_DCD" localSheetId="25">'3395'!$J$10</definedName>
    <definedName name="_2010_11_Base_Funding_WFTE_x_BSA_x_DCD" localSheetId="26">'3396'!$J$10</definedName>
    <definedName name="_2010_11_Base_Funding_WFTE_x_BSA_x_DCD" localSheetId="27">'3398'!$J$10</definedName>
    <definedName name="_2010_11_Base_Funding_WFTE_x_BSA_x_DCD" localSheetId="28">'3400'!$J$10</definedName>
    <definedName name="_2010_11_Base_Funding_WFTE_x_BSA_x_DCD" localSheetId="29">'3401'!$J$10</definedName>
    <definedName name="_2010_11_Base_Funding_WFTE_x_BSA_x_DCD" localSheetId="30">'3413'!$J$10</definedName>
    <definedName name="_2010_11_Base_Funding_WFTE_x_BSA_x_DCD" localSheetId="31">'3421'!$J$10</definedName>
    <definedName name="_2010_11_Base_Funding_WFTE_x_BSA_x_DCD" localSheetId="32">'3431'!$J$10</definedName>
    <definedName name="_2010_11_Base_Funding_WFTE_x_BSA_x_DCD" localSheetId="33">'3441'!$J$10</definedName>
    <definedName name="_2010_11_Base_Funding_WFTE_x_BSA_x_DCD" localSheetId="34">'3924'!$J$10</definedName>
    <definedName name="_2010_11_Base_Funding_WFTE_x_BSA_x_DCD" localSheetId="35">'3941'!$J$10</definedName>
    <definedName name="_2010_11_Base_Funding_WFTE_x_BSA_x_DCD" localSheetId="36">'3961'!$J$10</definedName>
    <definedName name="_2010_11_Base_Funding_WFTE_x_BSA_x_DCD" localSheetId="37">'3971'!$J$10</definedName>
    <definedName name="_2010_11_Base_Funding_WFTE_x_BSA_x_DCD" localSheetId="38">'4001'!$J$10</definedName>
    <definedName name="_2010_11_Base_Funding_WFTE_x_BSA_x_DCD" localSheetId="39">'4002'!$J$10</definedName>
    <definedName name="_2010_11_Base_Funding_WFTE_x_BSA_x_DCD" localSheetId="40">'4012'!$J$10</definedName>
    <definedName name="_2010_11_Base_Funding_WFTE_x_BSA_x_DCD" localSheetId="41">'4013'!$J$10</definedName>
    <definedName name="_2010_11_Base_Funding_WFTE_x_BSA_x_DCD" localSheetId="42">'4020'!$J$10</definedName>
    <definedName name="_2010_11_Base_Funding_WFTE_x_BSA_x_DCD" localSheetId="43">'4030'!$J$10</definedName>
    <definedName name="_2010_11_Base_Funding_WFTE_x_BSA_x_DCD" localSheetId="44">'4031'!$J$10</definedName>
    <definedName name="_2010_11_Base_Funding_WFTE_x_BSA_x_DCD" localSheetId="45">'4041'!$J$10</definedName>
    <definedName name="_2010_11_Base_Funding_WFTE_x_BSA_x_DCD" localSheetId="46">'4050'!$J$10</definedName>
    <definedName name="_2010_11_Base_Funding_WFTE_x_BSA_x_DCD" localSheetId="47">'4051'!$J$10</definedName>
    <definedName name="_2010_11_Base_Funding_WFTE_x_BSA_x_DCD" localSheetId="48">'4061'!$J$10</definedName>
    <definedName name="_2010_11_Base_Funding_WFTE_x_BSA_x_DCD" localSheetId="49">'4080'!$J$10</definedName>
    <definedName name="_2010_11_Base_Funding_WFTE_x_BSA_x_DCD" localSheetId="50">'4081'!$J$10</definedName>
    <definedName name="_2010_11_Base_Funding_WFTE_x_BSA_x_DCD" localSheetId="51">'4090'!$J$10</definedName>
    <definedName name="_2010_11_Base_Funding_WFTE_x_BSA_x_DCD" localSheetId="52">'4091'!$J$10</definedName>
    <definedName name="_2010_11_Base_Funding_WFTE_x_BSA_x_DCD" localSheetId="53">'4100'!$J$10</definedName>
    <definedName name="_2010_11_Base_Funding_WFTE_x_BSA_x_DCD" localSheetId="54">'4102'!$J$10</definedName>
    <definedName name="_2010_11_Base_Funding_WFTE_x_BSA_x_DCD" localSheetId="55">'4103'!$J$10</definedName>
    <definedName name="_2010_11_Base_Funding_WFTE_x_BSA_x_DCD" localSheetId="56">'4111'!$J$10</definedName>
    <definedName name="_2010_11_Base_Funding_WFTE_x_BSA_x_DCD" localSheetId="57">'4131'!$J$10</definedName>
    <definedName name="_2010_11_Base_Funding_WFTE_x_BSA_x_DCD" localSheetId="58">'4141'!$J$10</definedName>
    <definedName name="_2010_11_Base_Funding_WFTE_x_BSA_x_DCD">'0040'!$J$10</definedName>
    <definedName name="_254_ESE_Level_4__Grade_Level_4_8" localSheetId="9">'0100'!$A$19</definedName>
    <definedName name="_254_ESE_Level_4__Grade_Level_4_8" localSheetId="8">'0571'!$A$19</definedName>
    <definedName name="_254_ESE_Level_4__Grade_Level_4_8" localSheetId="10">'1461'!$A$19</definedName>
    <definedName name="_254_ESE_Level_4__Grade_Level_4_8" localSheetId="11">'1571'!$A$19</definedName>
    <definedName name="_254_ESE_Level_4__Grade_Level_4_8" localSheetId="12">'2521'!$A$19</definedName>
    <definedName name="_254_ESE_Level_4__Grade_Level_4_8" localSheetId="13">'2531'!$A$19</definedName>
    <definedName name="_254_ESE_Level_4__Grade_Level_4_8" localSheetId="14">'2791'!$A$19</definedName>
    <definedName name="_254_ESE_Level_4__Grade_Level_4_8" localSheetId="15">'2801'!$A$19</definedName>
    <definedName name="_254_ESE_Level_4__Grade_Level_4_8" localSheetId="16">'2911'!$A$19</definedName>
    <definedName name="_254_ESE_Level_4__Grade_Level_4_8" localSheetId="17">'2941'!$A$19</definedName>
    <definedName name="_254_ESE_Level_4__Grade_Level_4_8" localSheetId="18">'3083'!$A$19</definedName>
    <definedName name="_254_ESE_Level_4__Grade_Level_4_8" localSheetId="19">'3345'!$A$19</definedName>
    <definedName name="_254_ESE_Level_4__Grade_Level_4_8" localSheetId="20">'3362'!$A$19</definedName>
    <definedName name="_254_ESE_Level_4__Grade_Level_4_8" localSheetId="21">'3381'!$A$19</definedName>
    <definedName name="_254_ESE_Level_4__Grade_Level_4_8" localSheetId="22">'3382'!$A$19</definedName>
    <definedName name="_254_ESE_Level_4__Grade_Level_4_8" localSheetId="23">'3391'!$A$19</definedName>
    <definedName name="_254_ESE_Level_4__Grade_Level_4_8" localSheetId="24">'3394'!$A$19</definedName>
    <definedName name="_254_ESE_Level_4__Grade_Level_4_8" localSheetId="25">'3395'!$A$19</definedName>
    <definedName name="_254_ESE_Level_4__Grade_Level_4_8" localSheetId="26">'3396'!$A$19</definedName>
    <definedName name="_254_ESE_Level_4__Grade_Level_4_8" localSheetId="27">'3398'!$A$19</definedName>
    <definedName name="_254_ESE_Level_4__Grade_Level_4_8" localSheetId="28">'3400'!$A$19</definedName>
    <definedName name="_254_ESE_Level_4__Grade_Level_4_8" localSheetId="29">'3401'!$A$19</definedName>
    <definedName name="_254_ESE_Level_4__Grade_Level_4_8" localSheetId="30">'3413'!$A$19</definedName>
    <definedName name="_254_ESE_Level_4__Grade_Level_4_8" localSheetId="31">'3421'!$A$19</definedName>
    <definedName name="_254_ESE_Level_4__Grade_Level_4_8" localSheetId="32">'3431'!$A$19</definedName>
    <definedName name="_254_ESE_Level_4__Grade_Level_4_8" localSheetId="33">'3441'!$A$19</definedName>
    <definedName name="_254_ESE_Level_4__Grade_Level_4_8" localSheetId="34">'3924'!$A$19</definedName>
    <definedName name="_254_ESE_Level_4__Grade_Level_4_8" localSheetId="35">'3941'!$A$19</definedName>
    <definedName name="_254_ESE_Level_4__Grade_Level_4_8" localSheetId="36">'3961'!$A$19</definedName>
    <definedName name="_254_ESE_Level_4__Grade_Level_4_8" localSheetId="37">'3971'!$A$19</definedName>
    <definedName name="_254_ESE_Level_4__Grade_Level_4_8" localSheetId="38">'4001'!$A$19</definedName>
    <definedName name="_254_ESE_Level_4__Grade_Level_4_8" localSheetId="39">'4002'!$A$19</definedName>
    <definedName name="_254_ESE_Level_4__Grade_Level_4_8" localSheetId="40">'4012'!$A$19</definedName>
    <definedName name="_254_ESE_Level_4__Grade_Level_4_8" localSheetId="41">'4013'!$A$19</definedName>
    <definedName name="_254_ESE_Level_4__Grade_Level_4_8" localSheetId="42">'4020'!$A$19</definedName>
    <definedName name="_254_ESE_Level_4__Grade_Level_4_8" localSheetId="43">'4030'!$A$19</definedName>
    <definedName name="_254_ESE_Level_4__Grade_Level_4_8" localSheetId="44">'4031'!$A$19</definedName>
    <definedName name="_254_ESE_Level_4__Grade_Level_4_8" localSheetId="45">'4041'!$A$19</definedName>
    <definedName name="_254_ESE_Level_4__Grade_Level_4_8" localSheetId="46">'4050'!$A$19</definedName>
    <definedName name="_254_ESE_Level_4__Grade_Level_4_8" localSheetId="47">'4051'!$A$19</definedName>
    <definedName name="_254_ESE_Level_4__Grade_Level_4_8" localSheetId="48">'4061'!$A$19</definedName>
    <definedName name="_254_ESE_Level_4__Grade_Level_4_8" localSheetId="49">'4080'!$A$19</definedName>
    <definedName name="_254_ESE_Level_4__Grade_Level_4_8" localSheetId="50">'4081'!$A$19</definedName>
    <definedName name="_254_ESE_Level_4__Grade_Level_4_8" localSheetId="51">'4090'!$A$19</definedName>
    <definedName name="_254_ESE_Level_4__Grade_Level_4_8" localSheetId="52">'4091'!$A$19</definedName>
    <definedName name="_254_ESE_Level_4__Grade_Level_4_8" localSheetId="53">'4100'!$A$19</definedName>
    <definedName name="_254_ESE_Level_4__Grade_Level_4_8" localSheetId="54">'4102'!$A$19</definedName>
    <definedName name="_254_ESE_Level_4__Grade_Level_4_8" localSheetId="55">'4103'!$A$19</definedName>
    <definedName name="_254_ESE_Level_4__Grade_Level_4_8" localSheetId="56">'4111'!$A$19</definedName>
    <definedName name="_254_ESE_Level_4__Grade_Level_4_8" localSheetId="57">'4131'!$A$19</definedName>
    <definedName name="_254_ESE_Level_4__Grade_Level_4_8" localSheetId="58">'4141'!$A$19</definedName>
    <definedName name="_254_ESE_Level_4__Grade_Level_4_8">'0040'!$A$19</definedName>
    <definedName name="_254_ESE_Level_4__Grade_Level_9_12" localSheetId="9">'0100'!$A$20</definedName>
    <definedName name="_254_ESE_Level_4__Grade_Level_9_12" localSheetId="8">'0571'!$A$20</definedName>
    <definedName name="_254_ESE_Level_4__Grade_Level_9_12" localSheetId="10">'1461'!$A$20</definedName>
    <definedName name="_254_ESE_Level_4__Grade_Level_9_12" localSheetId="11">'1571'!$A$20</definedName>
    <definedName name="_254_ESE_Level_4__Grade_Level_9_12" localSheetId="12">'2521'!$A$20</definedName>
    <definedName name="_254_ESE_Level_4__Grade_Level_9_12" localSheetId="13">'2531'!$A$20</definedName>
    <definedName name="_254_ESE_Level_4__Grade_Level_9_12" localSheetId="14">'2791'!$A$20</definedName>
    <definedName name="_254_ESE_Level_4__Grade_Level_9_12" localSheetId="15">'2801'!$A$20</definedName>
    <definedName name="_254_ESE_Level_4__Grade_Level_9_12" localSheetId="16">'2911'!$A$20</definedName>
    <definedName name="_254_ESE_Level_4__Grade_Level_9_12" localSheetId="17">'2941'!$A$20</definedName>
    <definedName name="_254_ESE_Level_4__Grade_Level_9_12" localSheetId="18">'3083'!$A$20</definedName>
    <definedName name="_254_ESE_Level_4__Grade_Level_9_12" localSheetId="19">'3345'!$A$20</definedName>
    <definedName name="_254_ESE_Level_4__Grade_Level_9_12" localSheetId="20">'3362'!$A$20</definedName>
    <definedName name="_254_ESE_Level_4__Grade_Level_9_12" localSheetId="21">'3381'!$A$20</definedName>
    <definedName name="_254_ESE_Level_4__Grade_Level_9_12" localSheetId="22">'3382'!$A$20</definedName>
    <definedName name="_254_ESE_Level_4__Grade_Level_9_12" localSheetId="23">'3391'!$A$20</definedName>
    <definedName name="_254_ESE_Level_4__Grade_Level_9_12" localSheetId="24">'3394'!$A$20</definedName>
    <definedName name="_254_ESE_Level_4__Grade_Level_9_12" localSheetId="25">'3395'!$A$20</definedName>
    <definedName name="_254_ESE_Level_4__Grade_Level_9_12" localSheetId="26">'3396'!$A$20</definedName>
    <definedName name="_254_ESE_Level_4__Grade_Level_9_12" localSheetId="27">'3398'!$A$20</definedName>
    <definedName name="_254_ESE_Level_4__Grade_Level_9_12" localSheetId="28">'3400'!$A$20</definedName>
    <definedName name="_254_ESE_Level_4__Grade_Level_9_12" localSheetId="29">'3401'!$A$20</definedName>
    <definedName name="_254_ESE_Level_4__Grade_Level_9_12" localSheetId="30">'3413'!$A$20</definedName>
    <definedName name="_254_ESE_Level_4__Grade_Level_9_12" localSheetId="31">'3421'!$A$20</definedName>
    <definedName name="_254_ESE_Level_4__Grade_Level_9_12" localSheetId="32">'3431'!$A$20</definedName>
    <definedName name="_254_ESE_Level_4__Grade_Level_9_12" localSheetId="33">'3441'!$A$20</definedName>
    <definedName name="_254_ESE_Level_4__Grade_Level_9_12" localSheetId="34">'3924'!$A$20</definedName>
    <definedName name="_254_ESE_Level_4__Grade_Level_9_12" localSheetId="35">'3941'!$A$20</definedName>
    <definedName name="_254_ESE_Level_4__Grade_Level_9_12" localSheetId="36">'3961'!$A$20</definedName>
    <definedName name="_254_ESE_Level_4__Grade_Level_9_12" localSheetId="37">'3971'!$A$20</definedName>
    <definedName name="_254_ESE_Level_4__Grade_Level_9_12" localSheetId="38">'4001'!$A$20</definedName>
    <definedName name="_254_ESE_Level_4__Grade_Level_9_12" localSheetId="39">'4002'!$A$20</definedName>
    <definedName name="_254_ESE_Level_4__Grade_Level_9_12" localSheetId="40">'4012'!$A$20</definedName>
    <definedName name="_254_ESE_Level_4__Grade_Level_9_12" localSheetId="41">'4013'!$A$20</definedName>
    <definedName name="_254_ESE_Level_4__Grade_Level_9_12" localSheetId="42">'4020'!$A$20</definedName>
    <definedName name="_254_ESE_Level_4__Grade_Level_9_12" localSheetId="43">'4030'!$A$20</definedName>
    <definedName name="_254_ESE_Level_4__Grade_Level_9_12" localSheetId="44">'4031'!$A$20</definedName>
    <definedName name="_254_ESE_Level_4__Grade_Level_9_12" localSheetId="45">'4041'!$A$20</definedName>
    <definedName name="_254_ESE_Level_4__Grade_Level_9_12" localSheetId="46">'4050'!$A$20</definedName>
    <definedName name="_254_ESE_Level_4__Grade_Level_9_12" localSheetId="47">'4051'!$A$20</definedName>
    <definedName name="_254_ESE_Level_4__Grade_Level_9_12" localSheetId="48">'4061'!$A$20</definedName>
    <definedName name="_254_ESE_Level_4__Grade_Level_9_12" localSheetId="49">'4080'!$A$20</definedName>
    <definedName name="_254_ESE_Level_4__Grade_Level_9_12" localSheetId="50">'4081'!$A$20</definedName>
    <definedName name="_254_ESE_Level_4__Grade_Level_9_12" localSheetId="51">'4090'!$A$20</definedName>
    <definedName name="_254_ESE_Level_4__Grade_Level_9_12" localSheetId="52">'4091'!$A$20</definedName>
    <definedName name="_254_ESE_Level_4__Grade_Level_9_12" localSheetId="53">'4100'!$A$20</definedName>
    <definedName name="_254_ESE_Level_4__Grade_Level_9_12" localSheetId="54">'4102'!$A$20</definedName>
    <definedName name="_254_ESE_Level_4__Grade_Level_9_12" localSheetId="55">'4103'!$A$20</definedName>
    <definedName name="_254_ESE_Level_4__Grade_Level_9_12" localSheetId="56">'4111'!$A$20</definedName>
    <definedName name="_254_ESE_Level_4__Grade_Level_9_12" localSheetId="57">'4131'!$A$20</definedName>
    <definedName name="_254_ESE_Level_4__Grade_Level_9_12" localSheetId="58">'4141'!$A$20</definedName>
    <definedName name="_254_ESE_Level_4__Grade_Level_9_12">'0040'!$A$20</definedName>
    <definedName name="_254_ESE_Level_4__Grade_Level_PK_3" localSheetId="9">'0100'!$A$18</definedName>
    <definedName name="_254_ESE_Level_4__Grade_Level_PK_3" localSheetId="8">'0571'!$A$18</definedName>
    <definedName name="_254_ESE_Level_4__Grade_Level_PK_3" localSheetId="10">'1461'!$A$18</definedName>
    <definedName name="_254_ESE_Level_4__Grade_Level_PK_3" localSheetId="11">'1571'!$A$18</definedName>
    <definedName name="_254_ESE_Level_4__Grade_Level_PK_3" localSheetId="12">'2521'!$A$18</definedName>
    <definedName name="_254_ESE_Level_4__Grade_Level_PK_3" localSheetId="13">'2531'!$A$18</definedName>
    <definedName name="_254_ESE_Level_4__Grade_Level_PK_3" localSheetId="14">'2791'!$A$18</definedName>
    <definedName name="_254_ESE_Level_4__Grade_Level_PK_3" localSheetId="15">'2801'!$A$18</definedName>
    <definedName name="_254_ESE_Level_4__Grade_Level_PK_3" localSheetId="16">'2911'!$A$18</definedName>
    <definedName name="_254_ESE_Level_4__Grade_Level_PK_3" localSheetId="17">'2941'!$A$18</definedName>
    <definedName name="_254_ESE_Level_4__Grade_Level_PK_3" localSheetId="18">'3083'!$A$18</definedName>
    <definedName name="_254_ESE_Level_4__Grade_Level_PK_3" localSheetId="19">'3345'!$A$18</definedName>
    <definedName name="_254_ESE_Level_4__Grade_Level_PK_3" localSheetId="20">'3362'!$A$18</definedName>
    <definedName name="_254_ESE_Level_4__Grade_Level_PK_3" localSheetId="21">'3381'!$A$18</definedName>
    <definedName name="_254_ESE_Level_4__Grade_Level_PK_3" localSheetId="22">'3382'!$A$18</definedName>
    <definedName name="_254_ESE_Level_4__Grade_Level_PK_3" localSheetId="23">'3391'!$A$18</definedName>
    <definedName name="_254_ESE_Level_4__Grade_Level_PK_3" localSheetId="24">'3394'!$A$18</definedName>
    <definedName name="_254_ESE_Level_4__Grade_Level_PK_3" localSheetId="25">'3395'!$A$18</definedName>
    <definedName name="_254_ESE_Level_4__Grade_Level_PK_3" localSheetId="26">'3396'!$A$18</definedName>
    <definedName name="_254_ESE_Level_4__Grade_Level_PK_3" localSheetId="27">'3398'!$A$18</definedName>
    <definedName name="_254_ESE_Level_4__Grade_Level_PK_3" localSheetId="28">'3400'!$A$18</definedName>
    <definedName name="_254_ESE_Level_4__Grade_Level_PK_3" localSheetId="29">'3401'!$A$18</definedName>
    <definedName name="_254_ESE_Level_4__Grade_Level_PK_3" localSheetId="30">'3413'!$A$18</definedName>
    <definedName name="_254_ESE_Level_4__Grade_Level_PK_3" localSheetId="31">'3421'!$A$18</definedName>
    <definedName name="_254_ESE_Level_4__Grade_Level_PK_3" localSheetId="32">'3431'!$A$18</definedName>
    <definedName name="_254_ESE_Level_4__Grade_Level_PK_3" localSheetId="33">'3441'!$A$18</definedName>
    <definedName name="_254_ESE_Level_4__Grade_Level_PK_3" localSheetId="34">'3924'!$A$18</definedName>
    <definedName name="_254_ESE_Level_4__Grade_Level_PK_3" localSheetId="35">'3941'!$A$18</definedName>
    <definedName name="_254_ESE_Level_4__Grade_Level_PK_3" localSheetId="36">'3961'!$A$18</definedName>
    <definedName name="_254_ESE_Level_4__Grade_Level_PK_3" localSheetId="37">'3971'!$A$18</definedName>
    <definedName name="_254_ESE_Level_4__Grade_Level_PK_3" localSheetId="38">'4001'!$A$18</definedName>
    <definedName name="_254_ESE_Level_4__Grade_Level_PK_3" localSheetId="39">'4002'!$A$18</definedName>
    <definedName name="_254_ESE_Level_4__Grade_Level_PK_3" localSheetId="40">'4012'!$A$18</definedName>
    <definedName name="_254_ESE_Level_4__Grade_Level_PK_3" localSheetId="41">'4013'!$A$18</definedName>
    <definedName name="_254_ESE_Level_4__Grade_Level_PK_3" localSheetId="42">'4020'!$A$18</definedName>
    <definedName name="_254_ESE_Level_4__Grade_Level_PK_3" localSheetId="43">'4030'!$A$18</definedName>
    <definedName name="_254_ESE_Level_4__Grade_Level_PK_3" localSheetId="44">'4031'!$A$18</definedName>
    <definedName name="_254_ESE_Level_4__Grade_Level_PK_3" localSheetId="45">'4041'!$A$18</definedName>
    <definedName name="_254_ESE_Level_4__Grade_Level_PK_3" localSheetId="46">'4050'!$A$18</definedName>
    <definedName name="_254_ESE_Level_4__Grade_Level_PK_3" localSheetId="47">'4051'!$A$18</definedName>
    <definedName name="_254_ESE_Level_4__Grade_Level_PK_3" localSheetId="48">'4061'!$A$18</definedName>
    <definedName name="_254_ESE_Level_4__Grade_Level_PK_3" localSheetId="49">'4080'!$A$18</definedName>
    <definedName name="_254_ESE_Level_4__Grade_Level_PK_3" localSheetId="50">'4081'!$A$18</definedName>
    <definedName name="_254_ESE_Level_4__Grade_Level_PK_3" localSheetId="51">'4090'!$A$18</definedName>
    <definedName name="_254_ESE_Level_4__Grade_Level_PK_3" localSheetId="52">'4091'!$A$18</definedName>
    <definedName name="_254_ESE_Level_4__Grade_Level_PK_3" localSheetId="53">'4100'!$A$18</definedName>
    <definedName name="_254_ESE_Level_4__Grade_Level_PK_3" localSheetId="54">'4102'!$A$18</definedName>
    <definedName name="_254_ESE_Level_4__Grade_Level_PK_3" localSheetId="55">'4103'!$A$18</definedName>
    <definedName name="_254_ESE_Level_4__Grade_Level_PK_3" localSheetId="56">'4111'!$A$18</definedName>
    <definedName name="_254_ESE_Level_4__Grade_Level_PK_3" localSheetId="57">'4131'!$A$18</definedName>
    <definedName name="_254_ESE_Level_4__Grade_Level_PK_3" localSheetId="58">'4141'!$A$18</definedName>
    <definedName name="_254_ESE_Level_4__Grade_Level_PK_3">'0040'!$A$18</definedName>
    <definedName name="_255_ESE_Level_5__Grade_Level_4_8" localSheetId="9">'0100'!$A$22</definedName>
    <definedName name="_255_ESE_Level_5__Grade_Level_4_8" localSheetId="8">'0571'!$A$22</definedName>
    <definedName name="_255_ESE_Level_5__Grade_Level_4_8" localSheetId="10">'1461'!$A$22</definedName>
    <definedName name="_255_ESE_Level_5__Grade_Level_4_8" localSheetId="11">'1571'!$A$22</definedName>
    <definedName name="_255_ESE_Level_5__Grade_Level_4_8" localSheetId="12">'2521'!$A$22</definedName>
    <definedName name="_255_ESE_Level_5__Grade_Level_4_8" localSheetId="13">'2531'!$A$22</definedName>
    <definedName name="_255_ESE_Level_5__Grade_Level_4_8" localSheetId="14">'2791'!$A$22</definedName>
    <definedName name="_255_ESE_Level_5__Grade_Level_4_8" localSheetId="15">'2801'!$A$22</definedName>
    <definedName name="_255_ESE_Level_5__Grade_Level_4_8" localSheetId="16">'2911'!$A$22</definedName>
    <definedName name="_255_ESE_Level_5__Grade_Level_4_8" localSheetId="17">'2941'!$A$22</definedName>
    <definedName name="_255_ESE_Level_5__Grade_Level_4_8" localSheetId="18">'3083'!$A$22</definedName>
    <definedName name="_255_ESE_Level_5__Grade_Level_4_8" localSheetId="19">'3345'!$A$22</definedName>
    <definedName name="_255_ESE_Level_5__Grade_Level_4_8" localSheetId="20">'3362'!$A$22</definedName>
    <definedName name="_255_ESE_Level_5__Grade_Level_4_8" localSheetId="21">'3381'!$A$22</definedName>
    <definedName name="_255_ESE_Level_5__Grade_Level_4_8" localSheetId="22">'3382'!$A$22</definedName>
    <definedName name="_255_ESE_Level_5__Grade_Level_4_8" localSheetId="23">'3391'!$A$22</definedName>
    <definedName name="_255_ESE_Level_5__Grade_Level_4_8" localSheetId="24">'3394'!$A$22</definedName>
    <definedName name="_255_ESE_Level_5__Grade_Level_4_8" localSheetId="25">'3395'!$A$22</definedName>
    <definedName name="_255_ESE_Level_5__Grade_Level_4_8" localSheetId="26">'3396'!$A$22</definedName>
    <definedName name="_255_ESE_Level_5__Grade_Level_4_8" localSheetId="27">'3398'!$A$22</definedName>
    <definedName name="_255_ESE_Level_5__Grade_Level_4_8" localSheetId="28">'3400'!$A$22</definedName>
    <definedName name="_255_ESE_Level_5__Grade_Level_4_8" localSheetId="29">'3401'!$A$22</definedName>
    <definedName name="_255_ESE_Level_5__Grade_Level_4_8" localSheetId="30">'3413'!$A$22</definedName>
    <definedName name="_255_ESE_Level_5__Grade_Level_4_8" localSheetId="31">'3421'!$A$22</definedName>
    <definedName name="_255_ESE_Level_5__Grade_Level_4_8" localSheetId="32">'3431'!$A$22</definedName>
    <definedName name="_255_ESE_Level_5__Grade_Level_4_8" localSheetId="33">'3441'!$A$22</definedName>
    <definedName name="_255_ESE_Level_5__Grade_Level_4_8" localSheetId="34">'3924'!$A$22</definedName>
    <definedName name="_255_ESE_Level_5__Grade_Level_4_8" localSheetId="35">'3941'!$A$22</definedName>
    <definedName name="_255_ESE_Level_5__Grade_Level_4_8" localSheetId="36">'3961'!$A$22</definedName>
    <definedName name="_255_ESE_Level_5__Grade_Level_4_8" localSheetId="37">'3971'!$A$22</definedName>
    <definedName name="_255_ESE_Level_5__Grade_Level_4_8" localSheetId="38">'4001'!$A$22</definedName>
    <definedName name="_255_ESE_Level_5__Grade_Level_4_8" localSheetId="39">'4002'!$A$22</definedName>
    <definedName name="_255_ESE_Level_5__Grade_Level_4_8" localSheetId="40">'4012'!$A$22</definedName>
    <definedName name="_255_ESE_Level_5__Grade_Level_4_8" localSheetId="41">'4013'!$A$22</definedName>
    <definedName name="_255_ESE_Level_5__Grade_Level_4_8" localSheetId="42">'4020'!$A$22</definedName>
    <definedName name="_255_ESE_Level_5__Grade_Level_4_8" localSheetId="43">'4030'!$A$22</definedName>
    <definedName name="_255_ESE_Level_5__Grade_Level_4_8" localSheetId="44">'4031'!$A$22</definedName>
    <definedName name="_255_ESE_Level_5__Grade_Level_4_8" localSheetId="45">'4041'!$A$22</definedName>
    <definedName name="_255_ESE_Level_5__Grade_Level_4_8" localSheetId="46">'4050'!$A$22</definedName>
    <definedName name="_255_ESE_Level_5__Grade_Level_4_8" localSheetId="47">'4051'!$A$22</definedName>
    <definedName name="_255_ESE_Level_5__Grade_Level_4_8" localSheetId="48">'4061'!$A$22</definedName>
    <definedName name="_255_ESE_Level_5__Grade_Level_4_8" localSheetId="49">'4080'!$A$22</definedName>
    <definedName name="_255_ESE_Level_5__Grade_Level_4_8" localSheetId="50">'4081'!$A$22</definedName>
    <definedName name="_255_ESE_Level_5__Grade_Level_4_8" localSheetId="51">'4090'!$A$22</definedName>
    <definedName name="_255_ESE_Level_5__Grade_Level_4_8" localSheetId="52">'4091'!$A$22</definedName>
    <definedName name="_255_ESE_Level_5__Grade_Level_4_8" localSheetId="53">'4100'!$A$22</definedName>
    <definedName name="_255_ESE_Level_5__Grade_Level_4_8" localSheetId="54">'4102'!$A$22</definedName>
    <definedName name="_255_ESE_Level_5__Grade_Level_4_8" localSheetId="55">'4103'!$A$22</definedName>
    <definedName name="_255_ESE_Level_5__Grade_Level_4_8" localSheetId="56">'4111'!$A$22</definedName>
    <definedName name="_255_ESE_Level_5__Grade_Level_4_8" localSheetId="57">'4131'!$A$22</definedName>
    <definedName name="_255_ESE_Level_5__Grade_Level_4_8" localSheetId="58">'4141'!$A$22</definedName>
    <definedName name="_255_ESE_Level_5__Grade_Level_4_8">'0040'!$A$22</definedName>
    <definedName name="_255_ESE_Level_5__Grade_Level_9_12" localSheetId="9">'0100'!$A$23</definedName>
    <definedName name="_255_ESE_Level_5__Grade_Level_9_12" localSheetId="8">'0571'!$A$23</definedName>
    <definedName name="_255_ESE_Level_5__Grade_Level_9_12" localSheetId="10">'1461'!$A$23</definedName>
    <definedName name="_255_ESE_Level_5__Grade_Level_9_12" localSheetId="11">'1571'!$A$23</definedName>
    <definedName name="_255_ESE_Level_5__Grade_Level_9_12" localSheetId="12">'2521'!$A$23</definedName>
    <definedName name="_255_ESE_Level_5__Grade_Level_9_12" localSheetId="13">'2531'!$A$23</definedName>
    <definedName name="_255_ESE_Level_5__Grade_Level_9_12" localSheetId="14">'2791'!$A$23</definedName>
    <definedName name="_255_ESE_Level_5__Grade_Level_9_12" localSheetId="15">'2801'!$A$23</definedName>
    <definedName name="_255_ESE_Level_5__Grade_Level_9_12" localSheetId="16">'2911'!$A$23</definedName>
    <definedName name="_255_ESE_Level_5__Grade_Level_9_12" localSheetId="17">'2941'!$A$23</definedName>
    <definedName name="_255_ESE_Level_5__Grade_Level_9_12" localSheetId="18">'3083'!$A$23</definedName>
    <definedName name="_255_ESE_Level_5__Grade_Level_9_12" localSheetId="19">'3345'!$A$23</definedName>
    <definedName name="_255_ESE_Level_5__Grade_Level_9_12" localSheetId="20">'3362'!$A$23</definedName>
    <definedName name="_255_ESE_Level_5__Grade_Level_9_12" localSheetId="21">'3381'!$A$23</definedName>
    <definedName name="_255_ESE_Level_5__Grade_Level_9_12" localSheetId="22">'3382'!$A$23</definedName>
    <definedName name="_255_ESE_Level_5__Grade_Level_9_12" localSheetId="23">'3391'!$A$23</definedName>
    <definedName name="_255_ESE_Level_5__Grade_Level_9_12" localSheetId="24">'3394'!$A$23</definedName>
    <definedName name="_255_ESE_Level_5__Grade_Level_9_12" localSheetId="25">'3395'!$A$23</definedName>
    <definedName name="_255_ESE_Level_5__Grade_Level_9_12" localSheetId="26">'3396'!$A$23</definedName>
    <definedName name="_255_ESE_Level_5__Grade_Level_9_12" localSheetId="27">'3398'!$A$23</definedName>
    <definedName name="_255_ESE_Level_5__Grade_Level_9_12" localSheetId="28">'3400'!$A$23</definedName>
    <definedName name="_255_ESE_Level_5__Grade_Level_9_12" localSheetId="29">'3401'!$A$23</definedName>
    <definedName name="_255_ESE_Level_5__Grade_Level_9_12" localSheetId="30">'3413'!$A$23</definedName>
    <definedName name="_255_ESE_Level_5__Grade_Level_9_12" localSheetId="31">'3421'!$A$23</definedName>
    <definedName name="_255_ESE_Level_5__Grade_Level_9_12" localSheetId="32">'3431'!$A$23</definedName>
    <definedName name="_255_ESE_Level_5__Grade_Level_9_12" localSheetId="33">'3441'!$A$23</definedName>
    <definedName name="_255_ESE_Level_5__Grade_Level_9_12" localSheetId="34">'3924'!$A$23</definedName>
    <definedName name="_255_ESE_Level_5__Grade_Level_9_12" localSheetId="35">'3941'!$A$23</definedName>
    <definedName name="_255_ESE_Level_5__Grade_Level_9_12" localSheetId="36">'3961'!$A$23</definedName>
    <definedName name="_255_ESE_Level_5__Grade_Level_9_12" localSheetId="37">'3971'!$A$23</definedName>
    <definedName name="_255_ESE_Level_5__Grade_Level_9_12" localSheetId="38">'4001'!$A$23</definedName>
    <definedName name="_255_ESE_Level_5__Grade_Level_9_12" localSheetId="39">'4002'!$A$23</definedName>
    <definedName name="_255_ESE_Level_5__Grade_Level_9_12" localSheetId="40">'4012'!$A$23</definedName>
    <definedName name="_255_ESE_Level_5__Grade_Level_9_12" localSheetId="41">'4013'!$A$23</definedName>
    <definedName name="_255_ESE_Level_5__Grade_Level_9_12" localSheetId="42">'4020'!$A$23</definedName>
    <definedName name="_255_ESE_Level_5__Grade_Level_9_12" localSheetId="43">'4030'!$A$23</definedName>
    <definedName name="_255_ESE_Level_5__Grade_Level_9_12" localSheetId="44">'4031'!$A$23</definedName>
    <definedName name="_255_ESE_Level_5__Grade_Level_9_12" localSheetId="45">'4041'!$A$23</definedName>
    <definedName name="_255_ESE_Level_5__Grade_Level_9_12" localSheetId="46">'4050'!$A$23</definedName>
    <definedName name="_255_ESE_Level_5__Grade_Level_9_12" localSheetId="47">'4051'!$A$23</definedName>
    <definedName name="_255_ESE_Level_5__Grade_Level_9_12" localSheetId="48">'4061'!$A$23</definedName>
    <definedName name="_255_ESE_Level_5__Grade_Level_9_12" localSheetId="49">'4080'!$A$23</definedName>
    <definedName name="_255_ESE_Level_5__Grade_Level_9_12" localSheetId="50">'4081'!$A$23</definedName>
    <definedName name="_255_ESE_Level_5__Grade_Level_9_12" localSheetId="51">'4090'!$A$23</definedName>
    <definedName name="_255_ESE_Level_5__Grade_Level_9_12" localSheetId="52">'4091'!$A$23</definedName>
    <definedName name="_255_ESE_Level_5__Grade_Level_9_12" localSheetId="53">'4100'!$A$23</definedName>
    <definedName name="_255_ESE_Level_5__Grade_Level_9_12" localSheetId="54">'4102'!$A$23</definedName>
    <definedName name="_255_ESE_Level_5__Grade_Level_9_12" localSheetId="55">'4103'!$A$23</definedName>
    <definedName name="_255_ESE_Level_5__Grade_Level_9_12" localSheetId="56">'4111'!$A$23</definedName>
    <definedName name="_255_ESE_Level_5__Grade_Level_9_12" localSheetId="57">'4131'!$A$23</definedName>
    <definedName name="_255_ESE_Level_5__Grade_Level_9_12" localSheetId="58">'4141'!$A$23</definedName>
    <definedName name="_255_ESE_Level_5__Grade_Level_9_12">'0040'!$A$23</definedName>
    <definedName name="_255_ESE_Level_5__Grade_Level_PK_3" localSheetId="9">'0100'!$A$21</definedName>
    <definedName name="_255_ESE_Level_5__Grade_Level_PK_3" localSheetId="8">'0571'!$A$21</definedName>
    <definedName name="_255_ESE_Level_5__Grade_Level_PK_3" localSheetId="10">'1461'!$A$21</definedName>
    <definedName name="_255_ESE_Level_5__Grade_Level_PK_3" localSheetId="11">'1571'!$A$21</definedName>
    <definedName name="_255_ESE_Level_5__Grade_Level_PK_3" localSheetId="12">'2521'!$A$21</definedName>
    <definedName name="_255_ESE_Level_5__Grade_Level_PK_3" localSheetId="13">'2531'!$A$21</definedName>
    <definedName name="_255_ESE_Level_5__Grade_Level_PK_3" localSheetId="14">'2791'!$A$21</definedName>
    <definedName name="_255_ESE_Level_5__Grade_Level_PK_3" localSheetId="15">'2801'!$A$21</definedName>
    <definedName name="_255_ESE_Level_5__Grade_Level_PK_3" localSheetId="16">'2911'!$A$21</definedName>
    <definedName name="_255_ESE_Level_5__Grade_Level_PK_3" localSheetId="17">'2941'!$A$21</definedName>
    <definedName name="_255_ESE_Level_5__Grade_Level_PK_3" localSheetId="18">'3083'!$A$21</definedName>
    <definedName name="_255_ESE_Level_5__Grade_Level_PK_3" localSheetId="19">'3345'!$A$21</definedName>
    <definedName name="_255_ESE_Level_5__Grade_Level_PK_3" localSheetId="20">'3362'!$A$21</definedName>
    <definedName name="_255_ESE_Level_5__Grade_Level_PK_3" localSheetId="21">'3381'!$A$21</definedName>
    <definedName name="_255_ESE_Level_5__Grade_Level_PK_3" localSheetId="22">'3382'!$A$21</definedName>
    <definedName name="_255_ESE_Level_5__Grade_Level_PK_3" localSheetId="23">'3391'!$A$21</definedName>
    <definedName name="_255_ESE_Level_5__Grade_Level_PK_3" localSheetId="24">'3394'!$A$21</definedName>
    <definedName name="_255_ESE_Level_5__Grade_Level_PK_3" localSheetId="25">'3395'!$A$21</definedName>
    <definedName name="_255_ESE_Level_5__Grade_Level_PK_3" localSheetId="26">'3396'!$A$21</definedName>
    <definedName name="_255_ESE_Level_5__Grade_Level_PK_3" localSheetId="27">'3398'!$A$21</definedName>
    <definedName name="_255_ESE_Level_5__Grade_Level_PK_3" localSheetId="28">'3400'!$A$21</definedName>
    <definedName name="_255_ESE_Level_5__Grade_Level_PK_3" localSheetId="29">'3401'!$A$21</definedName>
    <definedName name="_255_ESE_Level_5__Grade_Level_PK_3" localSheetId="30">'3413'!$A$21</definedName>
    <definedName name="_255_ESE_Level_5__Grade_Level_PK_3" localSheetId="31">'3421'!$A$21</definedName>
    <definedName name="_255_ESE_Level_5__Grade_Level_PK_3" localSheetId="32">'3431'!$A$21</definedName>
    <definedName name="_255_ESE_Level_5__Grade_Level_PK_3" localSheetId="33">'3441'!$A$21</definedName>
    <definedName name="_255_ESE_Level_5__Grade_Level_PK_3" localSheetId="34">'3924'!$A$21</definedName>
    <definedName name="_255_ESE_Level_5__Grade_Level_PK_3" localSheetId="35">'3941'!$A$21</definedName>
    <definedName name="_255_ESE_Level_5__Grade_Level_PK_3" localSheetId="36">'3961'!$A$21</definedName>
    <definedName name="_255_ESE_Level_5__Grade_Level_PK_3" localSheetId="37">'3971'!$A$21</definedName>
    <definedName name="_255_ESE_Level_5__Grade_Level_PK_3" localSheetId="38">'4001'!$A$21</definedName>
    <definedName name="_255_ESE_Level_5__Grade_Level_PK_3" localSheetId="39">'4002'!$A$21</definedName>
    <definedName name="_255_ESE_Level_5__Grade_Level_PK_3" localSheetId="40">'4012'!$A$21</definedName>
    <definedName name="_255_ESE_Level_5__Grade_Level_PK_3" localSheetId="41">'4013'!$A$21</definedName>
    <definedName name="_255_ESE_Level_5__Grade_Level_PK_3" localSheetId="42">'4020'!$A$21</definedName>
    <definedName name="_255_ESE_Level_5__Grade_Level_PK_3" localSheetId="43">'4030'!$A$21</definedName>
    <definedName name="_255_ESE_Level_5__Grade_Level_PK_3" localSheetId="44">'4031'!$A$21</definedName>
    <definedName name="_255_ESE_Level_5__Grade_Level_PK_3" localSheetId="45">'4041'!$A$21</definedName>
    <definedName name="_255_ESE_Level_5__Grade_Level_PK_3" localSheetId="46">'4050'!$A$21</definedName>
    <definedName name="_255_ESE_Level_5__Grade_Level_PK_3" localSheetId="47">'4051'!$A$21</definedName>
    <definedName name="_255_ESE_Level_5__Grade_Level_PK_3" localSheetId="48">'4061'!$A$21</definedName>
    <definedName name="_255_ESE_Level_5__Grade_Level_PK_3" localSheetId="49">'4080'!$A$21</definedName>
    <definedName name="_255_ESE_Level_5__Grade_Level_PK_3" localSheetId="50">'4081'!$A$21</definedName>
    <definedName name="_255_ESE_Level_5__Grade_Level_PK_3" localSheetId="51">'4090'!$A$21</definedName>
    <definedName name="_255_ESE_Level_5__Grade_Level_PK_3" localSheetId="52">'4091'!$A$21</definedName>
    <definedName name="_255_ESE_Level_5__Grade_Level_PK_3" localSheetId="53">'4100'!$A$21</definedName>
    <definedName name="_255_ESE_Level_5__Grade_Level_PK_3" localSheetId="54">'4102'!$A$21</definedName>
    <definedName name="_255_ESE_Level_5__Grade_Level_PK_3" localSheetId="55">'4103'!$A$21</definedName>
    <definedName name="_255_ESE_Level_5__Grade_Level_PK_3" localSheetId="56">'4111'!$A$21</definedName>
    <definedName name="_255_ESE_Level_5__Grade_Level_PK_3" localSheetId="57">'4131'!$A$21</definedName>
    <definedName name="_255_ESE_Level_5__Grade_Level_PK_3" localSheetId="58">'4141'!$A$21</definedName>
    <definedName name="_255_ESE_Level_5__Grade_Level_PK_3">'0040'!$A$21</definedName>
    <definedName name="_3.__Supplemental_Academic_Instruction" localSheetId="9">'0100'!#REF!</definedName>
    <definedName name="_3.__Supplemental_Academic_Instruction" localSheetId="8">'0571'!#REF!</definedName>
    <definedName name="_3.__Supplemental_Academic_Instruction" localSheetId="10">'1461'!#REF!</definedName>
    <definedName name="_3.__Supplemental_Academic_Instruction" localSheetId="11">'1571'!#REF!</definedName>
    <definedName name="_3.__Supplemental_Academic_Instruction" localSheetId="12">'2521'!#REF!</definedName>
    <definedName name="_3.__Supplemental_Academic_Instruction" localSheetId="13">'2531'!#REF!</definedName>
    <definedName name="_3.__Supplemental_Academic_Instruction" localSheetId="14">'2791'!#REF!</definedName>
    <definedName name="_3.__Supplemental_Academic_Instruction" localSheetId="15">'2801'!#REF!</definedName>
    <definedName name="_3.__Supplemental_Academic_Instruction" localSheetId="16">'2911'!#REF!</definedName>
    <definedName name="_3.__Supplemental_Academic_Instruction" localSheetId="17">'2941'!#REF!</definedName>
    <definedName name="_3.__Supplemental_Academic_Instruction" localSheetId="18">'3083'!#REF!</definedName>
    <definedName name="_3.__Supplemental_Academic_Instruction" localSheetId="19">'3345'!#REF!</definedName>
    <definedName name="_3.__Supplemental_Academic_Instruction" localSheetId="20">'3362'!#REF!</definedName>
    <definedName name="_3.__Supplemental_Academic_Instruction" localSheetId="21">'3381'!#REF!</definedName>
    <definedName name="_3.__Supplemental_Academic_Instruction" localSheetId="22">'3382'!#REF!</definedName>
    <definedName name="_3.__Supplemental_Academic_Instruction" localSheetId="23">'3391'!#REF!</definedName>
    <definedName name="_3.__Supplemental_Academic_Instruction" localSheetId="24">'3394'!#REF!</definedName>
    <definedName name="_3.__Supplemental_Academic_Instruction" localSheetId="25">'3395'!#REF!</definedName>
    <definedName name="_3.__Supplemental_Academic_Instruction" localSheetId="26">'3396'!#REF!</definedName>
    <definedName name="_3.__Supplemental_Academic_Instruction" localSheetId="27">'3398'!#REF!</definedName>
    <definedName name="_3.__Supplemental_Academic_Instruction" localSheetId="28">'3400'!#REF!</definedName>
    <definedName name="_3.__Supplemental_Academic_Instruction" localSheetId="29">'3401'!#REF!</definedName>
    <definedName name="_3.__Supplemental_Academic_Instruction" localSheetId="30">'3413'!#REF!</definedName>
    <definedName name="_3.__Supplemental_Academic_Instruction" localSheetId="31">'3421'!#REF!</definedName>
    <definedName name="_3.__Supplemental_Academic_Instruction" localSheetId="32">'3431'!#REF!</definedName>
    <definedName name="_3.__Supplemental_Academic_Instruction" localSheetId="33">'3441'!#REF!</definedName>
    <definedName name="_3.__Supplemental_Academic_Instruction" localSheetId="34">'3924'!#REF!</definedName>
    <definedName name="_3.__Supplemental_Academic_Instruction" localSheetId="35">'3941'!#REF!</definedName>
    <definedName name="_3.__Supplemental_Academic_Instruction" localSheetId="36">'3961'!#REF!</definedName>
    <definedName name="_3.__Supplemental_Academic_Instruction" localSheetId="37">'3971'!#REF!</definedName>
    <definedName name="_3.__Supplemental_Academic_Instruction" localSheetId="38">'4001'!#REF!</definedName>
    <definedName name="_3.__Supplemental_Academic_Instruction" localSheetId="39">'4002'!#REF!</definedName>
    <definedName name="_3.__Supplemental_Academic_Instruction" localSheetId="40">'4012'!#REF!</definedName>
    <definedName name="_3.__Supplemental_Academic_Instruction" localSheetId="41">'4013'!#REF!</definedName>
    <definedName name="_3.__Supplemental_Academic_Instruction" localSheetId="42">'4020'!#REF!</definedName>
    <definedName name="_3.__Supplemental_Academic_Instruction" localSheetId="43">'4030'!#REF!</definedName>
    <definedName name="_3.__Supplemental_Academic_Instruction" localSheetId="44">'4031'!#REF!</definedName>
    <definedName name="_3.__Supplemental_Academic_Instruction" localSheetId="45">'4041'!#REF!</definedName>
    <definedName name="_3.__Supplemental_Academic_Instruction" localSheetId="46">'4050'!#REF!</definedName>
    <definedName name="_3.__Supplemental_Academic_Instruction" localSheetId="47">'4051'!#REF!</definedName>
    <definedName name="_3.__Supplemental_Academic_Instruction" localSheetId="48">'4061'!#REF!</definedName>
    <definedName name="_3.__Supplemental_Academic_Instruction" localSheetId="49">'4080'!#REF!</definedName>
    <definedName name="_3.__Supplemental_Academic_Instruction" localSheetId="50">'4081'!#REF!</definedName>
    <definedName name="_3.__Supplemental_Academic_Instruction" localSheetId="51">'4090'!#REF!</definedName>
    <definedName name="_3.__Supplemental_Academic_Instruction" localSheetId="52">'4091'!#REF!</definedName>
    <definedName name="_3.__Supplemental_Academic_Instruction" localSheetId="53">'4100'!#REF!</definedName>
    <definedName name="_3.__Supplemental_Academic_Instruction" localSheetId="54">'4102'!#REF!</definedName>
    <definedName name="_3.__Supplemental_Academic_Instruction" localSheetId="55">'4103'!#REF!</definedName>
    <definedName name="_3.__Supplemental_Academic_Instruction" localSheetId="56">'4111'!#REF!</definedName>
    <definedName name="_3.__Supplemental_Academic_Instruction" localSheetId="57">'4131'!#REF!</definedName>
    <definedName name="_3.__Supplemental_Academic_Instruction" localSheetId="58">'4141'!#REF!</definedName>
    <definedName name="_300_Career_Education__Grades_9_12" localSheetId="9">'0100'!$A$27</definedName>
    <definedName name="_300_Career_Education__Grades_9_12" localSheetId="8">'0571'!$A$27</definedName>
    <definedName name="_300_Career_Education__Grades_9_12" localSheetId="10">'1461'!$A$27</definedName>
    <definedName name="_300_Career_Education__Grades_9_12" localSheetId="11">'1571'!$A$27</definedName>
    <definedName name="_300_Career_Education__Grades_9_12" localSheetId="12">'2521'!$A$27</definedName>
    <definedName name="_300_Career_Education__Grades_9_12" localSheetId="13">'2531'!$A$27</definedName>
    <definedName name="_300_Career_Education__Grades_9_12" localSheetId="14">'2791'!$A$27</definedName>
    <definedName name="_300_Career_Education__Grades_9_12" localSheetId="15">'2801'!$A$27</definedName>
    <definedName name="_300_Career_Education__Grades_9_12" localSheetId="16">'2911'!$A$27</definedName>
    <definedName name="_300_Career_Education__Grades_9_12" localSheetId="17">'2941'!$A$27</definedName>
    <definedName name="_300_Career_Education__Grades_9_12" localSheetId="18">'3083'!$A$27</definedName>
    <definedName name="_300_Career_Education__Grades_9_12" localSheetId="19">'3345'!$A$27</definedName>
    <definedName name="_300_Career_Education__Grades_9_12" localSheetId="20">'3362'!$A$27</definedName>
    <definedName name="_300_Career_Education__Grades_9_12" localSheetId="21">'3381'!$A$27</definedName>
    <definedName name="_300_Career_Education__Grades_9_12" localSheetId="22">'3382'!$A$27</definedName>
    <definedName name="_300_Career_Education__Grades_9_12" localSheetId="23">'3391'!$A$27</definedName>
    <definedName name="_300_Career_Education__Grades_9_12" localSheetId="24">'3394'!$A$27</definedName>
    <definedName name="_300_Career_Education__Grades_9_12" localSheetId="25">'3395'!$A$27</definedName>
    <definedName name="_300_Career_Education__Grades_9_12" localSheetId="26">'3396'!$A$27</definedName>
    <definedName name="_300_Career_Education__Grades_9_12" localSheetId="27">'3398'!$A$27</definedName>
    <definedName name="_300_Career_Education__Grades_9_12" localSheetId="28">'3400'!$A$27</definedName>
    <definedName name="_300_Career_Education__Grades_9_12" localSheetId="29">'3401'!$A$27</definedName>
    <definedName name="_300_Career_Education__Grades_9_12" localSheetId="30">'3413'!$A$27</definedName>
    <definedName name="_300_Career_Education__Grades_9_12" localSheetId="31">'3421'!$A$27</definedName>
    <definedName name="_300_Career_Education__Grades_9_12" localSheetId="32">'3431'!$A$27</definedName>
    <definedName name="_300_Career_Education__Grades_9_12" localSheetId="33">'3441'!$A$27</definedName>
    <definedName name="_300_Career_Education__Grades_9_12" localSheetId="34">'3924'!$A$27</definedName>
    <definedName name="_300_Career_Education__Grades_9_12" localSheetId="35">'3941'!$A$27</definedName>
    <definedName name="_300_Career_Education__Grades_9_12" localSheetId="36">'3961'!$A$27</definedName>
    <definedName name="_300_Career_Education__Grades_9_12" localSheetId="37">'3971'!$A$27</definedName>
    <definedName name="_300_Career_Education__Grades_9_12" localSheetId="38">'4001'!$A$27</definedName>
    <definedName name="_300_Career_Education__Grades_9_12" localSheetId="39">'4002'!$A$27</definedName>
    <definedName name="_300_Career_Education__Grades_9_12" localSheetId="40">'4012'!$A$27</definedName>
    <definedName name="_300_Career_Education__Grades_9_12" localSheetId="41">'4013'!$A$27</definedName>
    <definedName name="_300_Career_Education__Grades_9_12" localSheetId="42">'4020'!$A$27</definedName>
    <definedName name="_300_Career_Education__Grades_9_12" localSheetId="43">'4030'!$A$27</definedName>
    <definedName name="_300_Career_Education__Grades_9_12" localSheetId="44">'4031'!$A$27</definedName>
    <definedName name="_300_Career_Education__Grades_9_12" localSheetId="45">'4041'!$A$27</definedName>
    <definedName name="_300_Career_Education__Grades_9_12" localSheetId="46">'4050'!$A$27</definedName>
    <definedName name="_300_Career_Education__Grades_9_12" localSheetId="47">'4051'!$A$27</definedName>
    <definedName name="_300_Career_Education__Grades_9_12" localSheetId="48">'4061'!$A$27</definedName>
    <definedName name="_300_Career_Education__Grades_9_12" localSheetId="49">'4080'!$A$27</definedName>
    <definedName name="_300_Career_Education__Grades_9_12" localSheetId="50">'4081'!$A$27</definedName>
    <definedName name="_300_Career_Education__Grades_9_12" localSheetId="51">'4090'!$A$27</definedName>
    <definedName name="_300_Career_Education__Grades_9_12" localSheetId="52">'4091'!$A$27</definedName>
    <definedName name="_300_Career_Education__Grades_9_12" localSheetId="53">'4100'!$A$27</definedName>
    <definedName name="_300_Career_Education__Grades_9_12" localSheetId="54">'4102'!$A$27</definedName>
    <definedName name="_300_Career_Education__Grades_9_12" localSheetId="55">'4103'!$A$27</definedName>
    <definedName name="_300_Career_Education__Grades_9_12" localSheetId="56">'4111'!$A$27</definedName>
    <definedName name="_300_Career_Education__Grades_9_12" localSheetId="57">'4131'!$A$27</definedName>
    <definedName name="_300_Career_Education__Grades_9_12" localSheetId="58">'4141'!$A$27</definedName>
    <definedName name="_300_Career_Education__Grades_9_12">'0040'!$A$27</definedName>
    <definedName name="_4_8" localSheetId="9">'0100'!$A$91</definedName>
    <definedName name="_4_8" localSheetId="8">'0571'!$A$91</definedName>
    <definedName name="_4_8" localSheetId="10">'1461'!$A$91</definedName>
    <definedName name="_4_8" localSheetId="11">'1571'!$A$91</definedName>
    <definedName name="_4_8" localSheetId="12">'2521'!$A$91</definedName>
    <definedName name="_4_8" localSheetId="13">'2531'!$A$91</definedName>
    <definedName name="_4_8" localSheetId="14">'2791'!$A$91</definedName>
    <definedName name="_4_8" localSheetId="15">'2801'!$A$91</definedName>
    <definedName name="_4_8" localSheetId="16">'2911'!$A$91</definedName>
    <definedName name="_4_8" localSheetId="17">'2941'!$A$91</definedName>
    <definedName name="_4_8" localSheetId="18">'3083'!$A$91</definedName>
    <definedName name="_4_8" localSheetId="19">'3345'!$A$91</definedName>
    <definedName name="_4_8" localSheetId="20">'3362'!$A$91</definedName>
    <definedName name="_4_8" localSheetId="21">'3381'!$A$91</definedName>
    <definedName name="_4_8" localSheetId="22">'3382'!$A$91</definedName>
    <definedName name="_4_8" localSheetId="23">'3391'!$A$91</definedName>
    <definedName name="_4_8" localSheetId="24">'3394'!$A$91</definedName>
    <definedName name="_4_8" localSheetId="25">'3395'!$A$91</definedName>
    <definedName name="_4_8" localSheetId="26">'3396'!$A$91</definedName>
    <definedName name="_4_8" localSheetId="27">'3398'!$A$91</definedName>
    <definedName name="_4_8" localSheetId="28">'3400'!$A$91</definedName>
    <definedName name="_4_8" localSheetId="29">'3401'!$A$91</definedName>
    <definedName name="_4_8" localSheetId="30">'3413'!$A$91</definedName>
    <definedName name="_4_8" localSheetId="31">'3421'!$A$91</definedName>
    <definedName name="_4_8" localSheetId="32">'3431'!$A$91</definedName>
    <definedName name="_4_8" localSheetId="33">'3441'!$A$91</definedName>
    <definedName name="_4_8" localSheetId="34">'3924'!$A$91</definedName>
    <definedName name="_4_8" localSheetId="35">'3941'!$A$91</definedName>
    <definedName name="_4_8" localSheetId="36">'3961'!$A$91</definedName>
    <definedName name="_4_8" localSheetId="37">'3971'!$A$91</definedName>
    <definedName name="_4_8" localSheetId="38">'4001'!$A$91</definedName>
    <definedName name="_4_8" localSheetId="39">'4002'!$A$91</definedName>
    <definedName name="_4_8" localSheetId="40">'4012'!$A$91</definedName>
    <definedName name="_4_8" localSheetId="41">'4013'!$A$91</definedName>
    <definedName name="_4_8" localSheetId="42">'4020'!$A$91</definedName>
    <definedName name="_4_8" localSheetId="43">'4030'!$A$91</definedName>
    <definedName name="_4_8" localSheetId="44">'4031'!$A$91</definedName>
    <definedName name="_4_8" localSheetId="45">'4041'!$A$91</definedName>
    <definedName name="_4_8" localSheetId="46">'4050'!$A$91</definedName>
    <definedName name="_4_8" localSheetId="47">'4051'!$A$91</definedName>
    <definedName name="_4_8" localSheetId="48">'4061'!$A$91</definedName>
    <definedName name="_4_8" localSheetId="49">'4080'!$A$91</definedName>
    <definedName name="_4_8" localSheetId="50">'4081'!$A$91</definedName>
    <definedName name="_4_8" localSheetId="51">'4090'!$A$91</definedName>
    <definedName name="_4_8" localSheetId="52">'4091'!$A$91</definedName>
    <definedName name="_4_8" localSheetId="53">'4100'!$A$91</definedName>
    <definedName name="_4_8" localSheetId="54">'4102'!$A$91</definedName>
    <definedName name="_4_8" localSheetId="55">'4103'!$A$91</definedName>
    <definedName name="_4_8" localSheetId="56">'4111'!$A$91</definedName>
    <definedName name="_4_8" localSheetId="57">'4131'!$A$91</definedName>
    <definedName name="_4_8" localSheetId="58">'4141'!$A$91</definedName>
    <definedName name="_4_8">'0040'!$A$91</definedName>
    <definedName name="_9_12" localSheetId="9">'0100'!$A$92</definedName>
    <definedName name="_9_12" localSheetId="8">'0571'!$A$92</definedName>
    <definedName name="_9_12" localSheetId="10">'1461'!$A$92</definedName>
    <definedName name="_9_12" localSheetId="11">'1571'!$A$92</definedName>
    <definedName name="_9_12" localSheetId="12">'2521'!$A$92</definedName>
    <definedName name="_9_12" localSheetId="13">'2531'!$A$92</definedName>
    <definedName name="_9_12" localSheetId="14">'2791'!$A$92</definedName>
    <definedName name="_9_12" localSheetId="15">'2801'!$A$92</definedName>
    <definedName name="_9_12" localSheetId="16">'2911'!$A$92</definedName>
    <definedName name="_9_12" localSheetId="17">'2941'!$A$92</definedName>
    <definedName name="_9_12" localSheetId="18">'3083'!$A$92</definedName>
    <definedName name="_9_12" localSheetId="19">'3345'!$A$92</definedName>
    <definedName name="_9_12" localSheetId="20">'3362'!$A$92</definedName>
    <definedName name="_9_12" localSheetId="21">'3381'!$A$92</definedName>
    <definedName name="_9_12" localSheetId="22">'3382'!$A$92</definedName>
    <definedName name="_9_12" localSheetId="23">'3391'!$A$92</definedName>
    <definedName name="_9_12" localSheetId="24">'3394'!$A$92</definedName>
    <definedName name="_9_12" localSheetId="25">'3395'!$A$92</definedName>
    <definedName name="_9_12" localSheetId="26">'3396'!$A$92</definedName>
    <definedName name="_9_12" localSheetId="27">'3398'!$A$92</definedName>
    <definedName name="_9_12" localSheetId="28">'3400'!$A$92</definedName>
    <definedName name="_9_12" localSheetId="29">'3401'!$A$92</definedName>
    <definedName name="_9_12" localSheetId="30">'3413'!$A$92</definedName>
    <definedName name="_9_12" localSheetId="31">'3421'!$A$92</definedName>
    <definedName name="_9_12" localSheetId="32">'3431'!$A$92</definedName>
    <definedName name="_9_12" localSheetId="33">'3441'!$A$92</definedName>
    <definedName name="_9_12" localSheetId="34">'3924'!$A$92</definedName>
    <definedName name="_9_12" localSheetId="35">'3941'!$A$92</definedName>
    <definedName name="_9_12" localSheetId="36">'3961'!$A$92</definedName>
    <definedName name="_9_12" localSheetId="37">'3971'!$A$92</definedName>
    <definedName name="_9_12" localSheetId="38">'4001'!$A$92</definedName>
    <definedName name="_9_12" localSheetId="39">'4002'!$A$92</definedName>
    <definedName name="_9_12" localSheetId="40">'4012'!$A$92</definedName>
    <definedName name="_9_12" localSheetId="41">'4013'!$A$92</definedName>
    <definedName name="_9_12" localSheetId="42">'4020'!$A$92</definedName>
    <definedName name="_9_12" localSheetId="43">'4030'!$A$92</definedName>
    <definedName name="_9_12" localSheetId="44">'4031'!$A$92</definedName>
    <definedName name="_9_12" localSheetId="45">'4041'!$A$92</definedName>
    <definedName name="_9_12" localSheetId="46">'4050'!$A$92</definedName>
    <definedName name="_9_12" localSheetId="47">'4051'!$A$92</definedName>
    <definedName name="_9_12" localSheetId="48">'4061'!$A$92</definedName>
    <definedName name="_9_12" localSheetId="49">'4080'!$A$92</definedName>
    <definedName name="_9_12" localSheetId="50">'4081'!$A$92</definedName>
    <definedName name="_9_12" localSheetId="51">'4090'!$A$92</definedName>
    <definedName name="_9_12" localSheetId="52">'4091'!$A$92</definedName>
    <definedName name="_9_12" localSheetId="53">'4100'!$A$92</definedName>
    <definedName name="_9_12" localSheetId="54">'4102'!$A$92</definedName>
    <definedName name="_9_12" localSheetId="55">'4103'!$A$92</definedName>
    <definedName name="_9_12" localSheetId="56">'4111'!$A$92</definedName>
    <definedName name="_9_12" localSheetId="57">'4131'!$A$92</definedName>
    <definedName name="_9_12" localSheetId="58">'4141'!$A$92</definedName>
    <definedName name="_9_12">'0040'!$A$92</definedName>
    <definedName name="_Add_On_FTE" localSheetId="9">'0100'!#REF!</definedName>
    <definedName name="_Add_On_FTE" localSheetId="8">'0571'!#REF!</definedName>
    <definedName name="_Add_On_FTE" localSheetId="10">'1461'!#REF!</definedName>
    <definedName name="_Add_On_FTE" localSheetId="11">'1571'!#REF!</definedName>
    <definedName name="_Add_On_FTE" localSheetId="12">'2521'!#REF!</definedName>
    <definedName name="_Add_On_FTE" localSheetId="13">'2531'!#REF!</definedName>
    <definedName name="_Add_On_FTE" localSheetId="14">'2791'!#REF!</definedName>
    <definedName name="_Add_On_FTE" localSheetId="15">'2801'!#REF!</definedName>
    <definedName name="_Add_On_FTE" localSheetId="16">'2911'!#REF!</definedName>
    <definedName name="_Add_On_FTE" localSheetId="17">'2941'!#REF!</definedName>
    <definedName name="_Add_On_FTE" localSheetId="18">'3083'!#REF!</definedName>
    <definedName name="_Add_On_FTE" localSheetId="19">'3345'!#REF!</definedName>
    <definedName name="_Add_On_FTE" localSheetId="20">'3362'!#REF!</definedName>
    <definedName name="_Add_On_FTE" localSheetId="21">'3381'!#REF!</definedName>
    <definedName name="_Add_On_FTE" localSheetId="22">'3382'!#REF!</definedName>
    <definedName name="_Add_On_FTE" localSheetId="23">'3391'!#REF!</definedName>
    <definedName name="_Add_On_FTE" localSheetId="24">'3394'!#REF!</definedName>
    <definedName name="_Add_On_FTE" localSheetId="25">'3395'!#REF!</definedName>
    <definedName name="_Add_On_FTE" localSheetId="26">'3396'!#REF!</definedName>
    <definedName name="_Add_On_FTE" localSheetId="27">'3398'!#REF!</definedName>
    <definedName name="_Add_On_FTE" localSheetId="28">'3400'!#REF!</definedName>
    <definedName name="_Add_On_FTE" localSheetId="29">'3401'!#REF!</definedName>
    <definedName name="_Add_On_FTE" localSheetId="30">'3413'!#REF!</definedName>
    <definedName name="_Add_On_FTE" localSheetId="31">'3421'!#REF!</definedName>
    <definedName name="_Add_On_FTE" localSheetId="32">'3431'!#REF!</definedName>
    <definedName name="_Add_On_FTE" localSheetId="33">'3441'!#REF!</definedName>
    <definedName name="_Add_On_FTE" localSheetId="34">'3924'!#REF!</definedName>
    <definedName name="_Add_On_FTE" localSheetId="35">'3941'!#REF!</definedName>
    <definedName name="_Add_On_FTE" localSheetId="36">'3961'!#REF!</definedName>
    <definedName name="_Add_On_FTE" localSheetId="37">'3971'!#REF!</definedName>
    <definedName name="_Add_On_FTE" localSheetId="38">'4001'!#REF!</definedName>
    <definedName name="_Add_On_FTE" localSheetId="39">'4002'!#REF!</definedName>
    <definedName name="_Add_On_FTE" localSheetId="40">'4012'!#REF!</definedName>
    <definedName name="_Add_On_FTE" localSheetId="41">'4013'!#REF!</definedName>
    <definedName name="_Add_On_FTE" localSheetId="42">'4020'!#REF!</definedName>
    <definedName name="_Add_On_FTE" localSheetId="43">'4030'!#REF!</definedName>
    <definedName name="_Add_On_FTE" localSheetId="44">'4031'!#REF!</definedName>
    <definedName name="_Add_On_FTE" localSheetId="45">'4041'!#REF!</definedName>
    <definedName name="_Add_On_FTE" localSheetId="46">'4050'!#REF!</definedName>
    <definedName name="_Add_On_FTE" localSheetId="47">'4051'!#REF!</definedName>
    <definedName name="_Add_On_FTE" localSheetId="48">'4061'!#REF!</definedName>
    <definedName name="_Add_On_FTE" localSheetId="49">'4080'!#REF!</definedName>
    <definedName name="_Add_On_FTE" localSheetId="50">'4081'!#REF!</definedName>
    <definedName name="_Add_On_FTE" localSheetId="51">'4090'!#REF!</definedName>
    <definedName name="_Add_On_FTE" localSheetId="52">'4091'!#REF!</definedName>
    <definedName name="_Add_On_FTE" localSheetId="53">'4100'!#REF!</definedName>
    <definedName name="_Add_On_FTE" localSheetId="54">'4102'!#REF!</definedName>
    <definedName name="_Add_On_FTE" localSheetId="55">'4103'!#REF!</definedName>
    <definedName name="_Add_On_FTE" localSheetId="56">'4111'!#REF!</definedName>
    <definedName name="_Add_On_FTE" localSheetId="57">'4131'!#REF!</definedName>
    <definedName name="_Add_On_FTE" localSheetId="58">'4141'!#REF!</definedName>
    <definedName name="_xlnm._FilterDatabase" localSheetId="2" hidden="1">'Annual Rev &amp; Fees'!$A$5:$W$55</definedName>
    <definedName name="_xlnm._FilterDatabase" localSheetId="3" hidden="1">'Charter Schools'!$E$4:$F$4</definedName>
    <definedName name="_xlnm._FilterDatabase" localSheetId="1" hidden="1">'Net Payment'!$A$4:$G$6</definedName>
    <definedName name="_xlnm._FilterDatabase" localSheetId="6" hidden="1">'Surv2-3'!$Z$2:$AA$54</definedName>
    <definedName name="a1M2">'0040'!$M$2</definedName>
    <definedName name="Add_On_FTE" localSheetId="9">'0100'!#REF!</definedName>
    <definedName name="Add_On_FTE" localSheetId="8">'0571'!#REF!</definedName>
    <definedName name="Add_On_FTE" localSheetId="10">'1461'!#REF!</definedName>
    <definedName name="Add_On_FTE" localSheetId="11">'1571'!#REF!</definedName>
    <definedName name="Add_On_FTE" localSheetId="12">'2521'!#REF!</definedName>
    <definedName name="Add_On_FTE" localSheetId="13">'2531'!#REF!</definedName>
    <definedName name="Add_On_FTE" localSheetId="14">'2791'!#REF!</definedName>
    <definedName name="Add_On_FTE" localSheetId="15">'2801'!#REF!</definedName>
    <definedName name="Add_On_FTE" localSheetId="16">'2911'!#REF!</definedName>
    <definedName name="Add_On_FTE" localSheetId="17">'2941'!#REF!</definedName>
    <definedName name="Add_On_FTE" localSheetId="18">'3083'!#REF!</definedName>
    <definedName name="Add_On_FTE" localSheetId="19">'3345'!#REF!</definedName>
    <definedName name="Add_On_FTE" localSheetId="20">'3362'!#REF!</definedName>
    <definedName name="Add_On_FTE" localSheetId="21">'3381'!#REF!</definedName>
    <definedName name="Add_On_FTE" localSheetId="22">'3382'!#REF!</definedName>
    <definedName name="Add_On_FTE" localSheetId="23">'3391'!#REF!</definedName>
    <definedName name="Add_On_FTE" localSheetId="24">'3394'!#REF!</definedName>
    <definedName name="Add_On_FTE" localSheetId="25">'3395'!#REF!</definedName>
    <definedName name="Add_On_FTE" localSheetId="26">'3396'!#REF!</definedName>
    <definedName name="Add_On_FTE" localSheetId="27">'3398'!#REF!</definedName>
    <definedName name="Add_On_FTE" localSheetId="28">'3400'!#REF!</definedName>
    <definedName name="Add_On_FTE" localSheetId="29">'3401'!#REF!</definedName>
    <definedName name="Add_On_FTE" localSheetId="30">'3413'!#REF!</definedName>
    <definedName name="Add_On_FTE" localSheetId="31">'3421'!#REF!</definedName>
    <definedName name="Add_On_FTE" localSheetId="32">'3431'!#REF!</definedName>
    <definedName name="Add_On_FTE" localSheetId="33">'3441'!#REF!</definedName>
    <definedName name="Add_On_FTE" localSheetId="34">'3924'!#REF!</definedName>
    <definedName name="Add_On_FTE" localSheetId="35">'3941'!#REF!</definedName>
    <definedName name="Add_On_FTE" localSheetId="36">'3961'!#REF!</definedName>
    <definedName name="Add_On_FTE" localSheetId="37">'3971'!#REF!</definedName>
    <definedName name="Add_On_FTE" localSheetId="38">'4001'!#REF!</definedName>
    <definedName name="Add_On_FTE" localSheetId="39">'4002'!#REF!</definedName>
    <definedName name="Add_On_FTE" localSheetId="40">'4012'!#REF!</definedName>
    <definedName name="Add_On_FTE" localSheetId="41">'4013'!#REF!</definedName>
    <definedName name="Add_On_FTE" localSheetId="42">'4020'!#REF!</definedName>
    <definedName name="Add_On_FTE" localSheetId="43">'4030'!#REF!</definedName>
    <definedName name="Add_On_FTE" localSheetId="44">'4031'!#REF!</definedName>
    <definedName name="Add_On_FTE" localSheetId="45">'4041'!#REF!</definedName>
    <definedName name="Add_On_FTE" localSheetId="46">'4050'!#REF!</definedName>
    <definedName name="Add_On_FTE" localSheetId="47">'4051'!#REF!</definedName>
    <definedName name="Add_On_FTE" localSheetId="48">'4061'!#REF!</definedName>
    <definedName name="Add_On_FTE" localSheetId="49">'4080'!#REF!</definedName>
    <definedName name="Add_On_FTE" localSheetId="50">'4081'!#REF!</definedName>
    <definedName name="Add_On_FTE" localSheetId="51">'4090'!#REF!</definedName>
    <definedName name="Add_On_FTE" localSheetId="52">'4091'!#REF!</definedName>
    <definedName name="Add_On_FTE" localSheetId="53">'4100'!#REF!</definedName>
    <definedName name="Add_On_FTE" localSheetId="54">'4102'!#REF!</definedName>
    <definedName name="Add_On_FTE" localSheetId="55">'4103'!#REF!</definedName>
    <definedName name="Add_On_FTE" localSheetId="56">'4111'!#REF!</definedName>
    <definedName name="Add_On_FTE" localSheetId="57">'4131'!#REF!</definedName>
    <definedName name="Add_On_FTE" localSheetId="58">'4141'!#REF!</definedName>
    <definedName name="Allocation_factors" localSheetId="9">'0100'!$G$89</definedName>
    <definedName name="Allocation_factors" localSheetId="8">'0571'!$G$89</definedName>
    <definedName name="Allocation_factors" localSheetId="10">'1461'!$G$89</definedName>
    <definedName name="Allocation_factors" localSheetId="11">'1571'!$G$89</definedName>
    <definedName name="Allocation_factors" localSheetId="12">'2521'!$G$89</definedName>
    <definedName name="Allocation_factors" localSheetId="13">'2531'!$G$89</definedName>
    <definedName name="Allocation_factors" localSheetId="14">'2791'!$G$89</definedName>
    <definedName name="Allocation_factors" localSheetId="15">'2801'!$G$89</definedName>
    <definedName name="Allocation_factors" localSheetId="16">'2911'!$G$89</definedName>
    <definedName name="Allocation_factors" localSheetId="17">'2941'!$G$89</definedName>
    <definedName name="Allocation_factors" localSheetId="18">'3083'!$G$89</definedName>
    <definedName name="Allocation_factors" localSheetId="19">'3345'!$G$89</definedName>
    <definedName name="Allocation_factors" localSheetId="20">'3362'!$G$89</definedName>
    <definedName name="Allocation_factors" localSheetId="21">'3381'!$G$89</definedName>
    <definedName name="Allocation_factors" localSheetId="22">'3382'!$G$89</definedName>
    <definedName name="Allocation_factors" localSheetId="23">'3391'!$G$89</definedName>
    <definedName name="Allocation_factors" localSheetId="24">'3394'!$G$89</definedName>
    <definedName name="Allocation_factors" localSheetId="25">'3395'!$G$89</definedName>
    <definedName name="Allocation_factors" localSheetId="26">'3396'!$G$89</definedName>
    <definedName name="Allocation_factors" localSheetId="27">'3398'!$G$89</definedName>
    <definedName name="Allocation_factors" localSheetId="28">'3400'!$G$89</definedName>
    <definedName name="Allocation_factors" localSheetId="29">'3401'!$G$89</definedName>
    <definedName name="Allocation_factors" localSheetId="30">'3413'!$G$89</definedName>
    <definedName name="Allocation_factors" localSheetId="31">'3421'!$G$89</definedName>
    <definedName name="Allocation_factors" localSheetId="32">'3431'!$G$89</definedName>
    <definedName name="Allocation_factors" localSheetId="33">'3441'!$G$89</definedName>
    <definedName name="Allocation_factors" localSheetId="34">'3924'!$G$89</definedName>
    <definedName name="Allocation_factors" localSheetId="35">'3941'!$G$89</definedName>
    <definedName name="Allocation_factors" localSheetId="36">'3961'!$G$89</definedName>
    <definedName name="Allocation_factors" localSheetId="37">'3971'!$G$89</definedName>
    <definedName name="Allocation_factors" localSheetId="38">'4001'!$G$89</definedName>
    <definedName name="Allocation_factors" localSheetId="39">'4002'!$G$89</definedName>
    <definedName name="Allocation_factors" localSheetId="40">'4012'!$G$89</definedName>
    <definedName name="Allocation_factors" localSheetId="41">'4013'!$G$89</definedName>
    <definedName name="Allocation_factors" localSheetId="42">'4020'!$G$89</definedName>
    <definedName name="Allocation_factors" localSheetId="43">'4030'!$G$89</definedName>
    <definedName name="Allocation_factors" localSheetId="44">'4031'!$G$89</definedName>
    <definedName name="Allocation_factors" localSheetId="45">'4041'!$G$89</definedName>
    <definedName name="Allocation_factors" localSheetId="46">'4050'!$G$89</definedName>
    <definedName name="Allocation_factors" localSheetId="47">'4051'!$G$89</definedName>
    <definedName name="Allocation_factors" localSheetId="48">'4061'!$G$89</definedName>
    <definedName name="Allocation_factors" localSheetId="49">'4080'!$G$89</definedName>
    <definedName name="Allocation_factors" localSheetId="50">'4081'!$G$89</definedName>
    <definedName name="Allocation_factors" localSheetId="51">'4090'!$G$89</definedName>
    <definedName name="Allocation_factors" localSheetId="52">'4091'!$G$89</definedName>
    <definedName name="Allocation_factors" localSheetId="53">'4100'!$G$89</definedName>
    <definedName name="Allocation_factors" localSheetId="54">'4102'!$G$89</definedName>
    <definedName name="Allocation_factors" localSheetId="55">'4103'!$G$89</definedName>
    <definedName name="Allocation_factors" localSheetId="56">'4111'!$G$89</definedName>
    <definedName name="Allocation_factors" localSheetId="57">'4131'!$G$89</definedName>
    <definedName name="Allocation_factors" localSheetId="58">'4141'!$G$89</definedName>
    <definedName name="Allocation_factors">'0040'!$G$89</definedName>
    <definedName name="Base_Student_Allocation" localSheetId="9">'0100'!$A$6</definedName>
    <definedName name="Base_Student_Allocation" localSheetId="8">'0571'!$A$6</definedName>
    <definedName name="Base_Student_Allocation" localSheetId="10">'1461'!$A$6</definedName>
    <definedName name="Base_Student_Allocation" localSheetId="11">'1571'!$A$6</definedName>
    <definedName name="Base_Student_Allocation" localSheetId="12">'2521'!$A$6</definedName>
    <definedName name="Base_Student_Allocation" localSheetId="13">'2531'!$A$6</definedName>
    <definedName name="Base_Student_Allocation" localSheetId="14">'2791'!$A$6</definedName>
    <definedName name="Base_Student_Allocation" localSheetId="15">'2801'!$A$6</definedName>
    <definedName name="Base_Student_Allocation" localSheetId="16">'2911'!$A$6</definedName>
    <definedName name="Base_Student_Allocation" localSheetId="17">'2941'!$A$6</definedName>
    <definedName name="Base_Student_Allocation" localSheetId="18">'3083'!$A$6</definedName>
    <definedName name="Base_Student_Allocation" localSheetId="19">'3345'!$A$6</definedName>
    <definedName name="Base_Student_Allocation" localSheetId="20">'3362'!$A$6</definedName>
    <definedName name="Base_Student_Allocation" localSheetId="21">'3381'!$A$6</definedName>
    <definedName name="Base_Student_Allocation" localSheetId="22">'3382'!$A$6</definedName>
    <definedName name="Base_Student_Allocation" localSheetId="23">'3391'!$A$6</definedName>
    <definedName name="Base_Student_Allocation" localSheetId="24">'3394'!$A$6</definedName>
    <definedName name="Base_Student_Allocation" localSheetId="25">'3395'!$A$6</definedName>
    <definedName name="Base_Student_Allocation" localSheetId="26">'3396'!$A$6</definedName>
    <definedName name="Base_Student_Allocation" localSheetId="27">'3398'!$A$6</definedName>
    <definedName name="Base_Student_Allocation" localSheetId="28">'3400'!$A$6</definedName>
    <definedName name="Base_Student_Allocation" localSheetId="29">'3401'!$A$6</definedName>
    <definedName name="Base_Student_Allocation" localSheetId="30">'3413'!$A$6</definedName>
    <definedName name="Base_Student_Allocation" localSheetId="31">'3421'!$A$6</definedName>
    <definedName name="Base_Student_Allocation" localSheetId="32">'3431'!$A$6</definedName>
    <definedName name="Base_Student_Allocation" localSheetId="33">'3441'!$A$6</definedName>
    <definedName name="Base_Student_Allocation" localSheetId="34">'3924'!$A$6</definedName>
    <definedName name="Base_Student_Allocation" localSheetId="35">'3941'!$A$6</definedName>
    <definedName name="Base_Student_Allocation" localSheetId="36">'3961'!$A$6</definedName>
    <definedName name="Base_Student_Allocation" localSheetId="37">'3971'!$A$6</definedName>
    <definedName name="Base_Student_Allocation" localSheetId="38">'4001'!$A$6</definedName>
    <definedName name="Base_Student_Allocation" localSheetId="39">'4002'!$A$6</definedName>
    <definedName name="Base_Student_Allocation" localSheetId="40">'4012'!$A$6</definedName>
    <definedName name="Base_Student_Allocation" localSheetId="41">'4013'!$A$6</definedName>
    <definedName name="Base_Student_Allocation" localSheetId="42">'4020'!$A$6</definedName>
    <definedName name="Base_Student_Allocation" localSheetId="43">'4030'!$A$6</definedName>
    <definedName name="Base_Student_Allocation" localSheetId="44">'4031'!$A$6</definedName>
    <definedName name="Base_Student_Allocation" localSheetId="45">'4041'!$A$6</definedName>
    <definedName name="Base_Student_Allocation" localSheetId="46">'4050'!$A$6</definedName>
    <definedName name="Base_Student_Allocation" localSheetId="47">'4051'!$A$6</definedName>
    <definedName name="Base_Student_Allocation" localSheetId="48">'4061'!$A$6</definedName>
    <definedName name="Base_Student_Allocation" localSheetId="49">'4080'!$A$6</definedName>
    <definedName name="Base_Student_Allocation" localSheetId="50">'4081'!$A$6</definedName>
    <definedName name="Base_Student_Allocation" localSheetId="51">'4090'!$A$6</definedName>
    <definedName name="Base_Student_Allocation" localSheetId="52">'4091'!$A$6</definedName>
    <definedName name="Base_Student_Allocation" localSheetId="53">'4100'!$A$6</definedName>
    <definedName name="Base_Student_Allocation" localSheetId="54">'4102'!$A$6</definedName>
    <definedName name="Base_Student_Allocation" localSheetId="55">'4103'!$A$6</definedName>
    <definedName name="Base_Student_Allocation" localSheetId="56">'4111'!$A$6</definedName>
    <definedName name="Base_Student_Allocation" localSheetId="57">'4131'!$A$6</definedName>
    <definedName name="Base_Student_Allocation" localSheetId="58">'4141'!$A$6</definedName>
    <definedName name="Base_Student_Allocation">'0040'!$A$6</definedName>
    <definedName name="Based_on_the_Second_Calculation_of_the_FEFP_2010_11" localSheetId="9">'0100'!$A$3</definedName>
    <definedName name="Based_on_the_Second_Calculation_of_the_FEFP_2010_11" localSheetId="8">'0571'!$A$3</definedName>
    <definedName name="Based_on_the_Second_Calculation_of_the_FEFP_2010_11" localSheetId="10">'1461'!$A$3</definedName>
    <definedName name="Based_on_the_Second_Calculation_of_the_FEFP_2010_11" localSheetId="11">'1571'!$A$3</definedName>
    <definedName name="Based_on_the_Second_Calculation_of_the_FEFP_2010_11" localSheetId="12">'2521'!$A$3</definedName>
    <definedName name="Based_on_the_Second_Calculation_of_the_FEFP_2010_11" localSheetId="13">'2531'!$A$3</definedName>
    <definedName name="Based_on_the_Second_Calculation_of_the_FEFP_2010_11" localSheetId="14">'2791'!$A$3</definedName>
    <definedName name="Based_on_the_Second_Calculation_of_the_FEFP_2010_11" localSheetId="15">'2801'!$A$3</definedName>
    <definedName name="Based_on_the_Second_Calculation_of_the_FEFP_2010_11" localSheetId="16">'2911'!$A$3</definedName>
    <definedName name="Based_on_the_Second_Calculation_of_the_FEFP_2010_11" localSheetId="17">'2941'!$A$3</definedName>
    <definedName name="Based_on_the_Second_Calculation_of_the_FEFP_2010_11" localSheetId="18">'3083'!$A$3</definedName>
    <definedName name="Based_on_the_Second_Calculation_of_the_FEFP_2010_11" localSheetId="19">'3345'!$A$3</definedName>
    <definedName name="Based_on_the_Second_Calculation_of_the_FEFP_2010_11" localSheetId="20">'3362'!$A$3</definedName>
    <definedName name="Based_on_the_Second_Calculation_of_the_FEFP_2010_11" localSheetId="21">'3381'!$A$3</definedName>
    <definedName name="Based_on_the_Second_Calculation_of_the_FEFP_2010_11" localSheetId="22">'3382'!$A$3</definedName>
    <definedName name="Based_on_the_Second_Calculation_of_the_FEFP_2010_11" localSheetId="23">'3391'!$A$3</definedName>
    <definedName name="Based_on_the_Second_Calculation_of_the_FEFP_2010_11" localSheetId="24">'3394'!$A$3</definedName>
    <definedName name="Based_on_the_Second_Calculation_of_the_FEFP_2010_11" localSheetId="25">'3395'!$A$3</definedName>
    <definedName name="Based_on_the_Second_Calculation_of_the_FEFP_2010_11" localSheetId="26">'3396'!$A$3</definedName>
    <definedName name="Based_on_the_Second_Calculation_of_the_FEFP_2010_11" localSheetId="27">'3398'!$A$3</definedName>
    <definedName name="Based_on_the_Second_Calculation_of_the_FEFP_2010_11" localSheetId="28">'3400'!$A$3</definedName>
    <definedName name="Based_on_the_Second_Calculation_of_the_FEFP_2010_11" localSheetId="29">'3401'!$A$3</definedName>
    <definedName name="Based_on_the_Second_Calculation_of_the_FEFP_2010_11" localSheetId="30">'3413'!$A$3</definedName>
    <definedName name="Based_on_the_Second_Calculation_of_the_FEFP_2010_11" localSheetId="31">'3421'!$A$3</definedName>
    <definedName name="Based_on_the_Second_Calculation_of_the_FEFP_2010_11" localSheetId="32">'3431'!$A$3</definedName>
    <definedName name="Based_on_the_Second_Calculation_of_the_FEFP_2010_11" localSheetId="33">'3441'!$A$3</definedName>
    <definedName name="Based_on_the_Second_Calculation_of_the_FEFP_2010_11" localSheetId="34">'3924'!$A$3</definedName>
    <definedName name="Based_on_the_Second_Calculation_of_the_FEFP_2010_11" localSheetId="35">'3941'!$A$3</definedName>
    <definedName name="Based_on_the_Second_Calculation_of_the_FEFP_2010_11" localSheetId="36">'3961'!$A$3</definedName>
    <definedName name="Based_on_the_Second_Calculation_of_the_FEFP_2010_11" localSheetId="37">'3971'!$A$3</definedName>
    <definedName name="Based_on_the_Second_Calculation_of_the_FEFP_2010_11" localSheetId="38">'4001'!$A$3</definedName>
    <definedName name="Based_on_the_Second_Calculation_of_the_FEFP_2010_11" localSheetId="39">'4002'!$A$3</definedName>
    <definedName name="Based_on_the_Second_Calculation_of_the_FEFP_2010_11" localSheetId="40">'4012'!$A$3</definedName>
    <definedName name="Based_on_the_Second_Calculation_of_the_FEFP_2010_11" localSheetId="41">'4013'!$A$3</definedName>
    <definedName name="Based_on_the_Second_Calculation_of_the_FEFP_2010_11" localSheetId="42">'4020'!$A$3</definedName>
    <definedName name="Based_on_the_Second_Calculation_of_the_FEFP_2010_11" localSheetId="43">'4030'!$A$3</definedName>
    <definedName name="Based_on_the_Second_Calculation_of_the_FEFP_2010_11" localSheetId="44">'4031'!$A$3</definedName>
    <definedName name="Based_on_the_Second_Calculation_of_the_FEFP_2010_11" localSheetId="45">'4041'!$A$3</definedName>
    <definedName name="Based_on_the_Second_Calculation_of_the_FEFP_2010_11" localSheetId="46">'4050'!$A$3</definedName>
    <definedName name="Based_on_the_Second_Calculation_of_the_FEFP_2010_11" localSheetId="47">'4051'!$A$3</definedName>
    <definedName name="Based_on_the_Second_Calculation_of_the_FEFP_2010_11" localSheetId="48">'4061'!$A$3</definedName>
    <definedName name="Based_on_the_Second_Calculation_of_the_FEFP_2010_11" localSheetId="49">'4080'!$A$3</definedName>
    <definedName name="Based_on_the_Second_Calculation_of_the_FEFP_2010_11" localSheetId="50">'4081'!$A$3</definedName>
    <definedName name="Based_on_the_Second_Calculation_of_the_FEFP_2010_11" localSheetId="51">'4090'!$A$3</definedName>
    <definedName name="Based_on_the_Second_Calculation_of_the_FEFP_2010_11" localSheetId="52">'4091'!$A$3</definedName>
    <definedName name="Based_on_the_Second_Calculation_of_the_FEFP_2010_11" localSheetId="53">'4100'!$A$3</definedName>
    <definedName name="Based_on_the_Second_Calculation_of_the_FEFP_2010_11" localSheetId="54">'4102'!$A$3</definedName>
    <definedName name="Based_on_the_Second_Calculation_of_the_FEFP_2010_11" localSheetId="55">'4103'!$A$3</definedName>
    <definedName name="Based_on_the_Second_Calculation_of_the_FEFP_2010_11" localSheetId="56">'4111'!$A$3</definedName>
    <definedName name="Based_on_the_Second_Calculation_of_the_FEFP_2010_11" localSheetId="57">'4131'!$A$3</definedName>
    <definedName name="Based_on_the_Second_Calculation_of_the_FEFP_2010_11" localSheetId="58">'4141'!$A$3</definedName>
    <definedName name="Based_on_the_Second_Calculation_of_the_FEFP_2010_11">'0040'!$A$3</definedName>
    <definedName name="CAP" localSheetId="7" hidden="1">{#N/A,#N/A,FALSE,"Summation";#N/A,#N/A,FALSE,"BSA";#N/A,#N/A,FALSE,"Detail1";#N/A,#N/A,FALSE,"Detail2";#N/A,#N/A,FALSE,"Detail3";#N/A,#N/A,FALSE,"WFTE_Summary";#N/A,#N/A,FALSE,"Funded_WFTE";#N/A,#N/A,FALSE,"PYADJ96"}</definedName>
    <definedName name="CAP" localSheetId="9" hidden="1">{#N/A,#N/A,FALSE,"Summation";#N/A,#N/A,FALSE,"BSA";#N/A,#N/A,FALSE,"Detail1";#N/A,#N/A,FALSE,"Detail2";#N/A,#N/A,FALSE,"Detail3";#N/A,#N/A,FALSE,"WFTE_Summary";#N/A,#N/A,FALSE,"Funded_WFTE";#N/A,#N/A,FALSE,"PYADJ96"}</definedName>
    <definedName name="CAP" localSheetId="8" hidden="1">{#N/A,#N/A,FALSE,"Summation";#N/A,#N/A,FALSE,"BSA";#N/A,#N/A,FALSE,"Detail1";#N/A,#N/A,FALSE,"Detail2";#N/A,#N/A,FALSE,"Detail3";#N/A,#N/A,FALSE,"WFTE_Summary";#N/A,#N/A,FALSE,"Funded_WFTE";#N/A,#N/A,FALSE,"PYADJ96"}</definedName>
    <definedName name="CAP" localSheetId="10" hidden="1">{#N/A,#N/A,FALSE,"Summation";#N/A,#N/A,FALSE,"BSA";#N/A,#N/A,FALSE,"Detail1";#N/A,#N/A,FALSE,"Detail2";#N/A,#N/A,FALSE,"Detail3";#N/A,#N/A,FALSE,"WFTE_Summary";#N/A,#N/A,FALSE,"Funded_WFTE";#N/A,#N/A,FALSE,"PYADJ96"}</definedName>
    <definedName name="CAP" localSheetId="11" hidden="1">{#N/A,#N/A,FALSE,"Summation";#N/A,#N/A,FALSE,"BSA";#N/A,#N/A,FALSE,"Detail1";#N/A,#N/A,FALSE,"Detail2";#N/A,#N/A,FALSE,"Detail3";#N/A,#N/A,FALSE,"WFTE_Summary";#N/A,#N/A,FALSE,"Funded_WFTE";#N/A,#N/A,FALSE,"PYADJ96"}</definedName>
    <definedName name="CAP" localSheetId="12" hidden="1">{#N/A,#N/A,FALSE,"Summation";#N/A,#N/A,FALSE,"BSA";#N/A,#N/A,FALSE,"Detail1";#N/A,#N/A,FALSE,"Detail2";#N/A,#N/A,FALSE,"Detail3";#N/A,#N/A,FALSE,"WFTE_Summary";#N/A,#N/A,FALSE,"Funded_WFTE";#N/A,#N/A,FALSE,"PYADJ96"}</definedName>
    <definedName name="CAP" localSheetId="13" hidden="1">{#N/A,#N/A,FALSE,"Summation";#N/A,#N/A,FALSE,"BSA";#N/A,#N/A,FALSE,"Detail1";#N/A,#N/A,FALSE,"Detail2";#N/A,#N/A,FALSE,"Detail3";#N/A,#N/A,FALSE,"WFTE_Summary";#N/A,#N/A,FALSE,"Funded_WFTE";#N/A,#N/A,FALSE,"PYADJ96"}</definedName>
    <definedName name="CAP" localSheetId="14" hidden="1">{#N/A,#N/A,FALSE,"Summation";#N/A,#N/A,FALSE,"BSA";#N/A,#N/A,FALSE,"Detail1";#N/A,#N/A,FALSE,"Detail2";#N/A,#N/A,FALSE,"Detail3";#N/A,#N/A,FALSE,"WFTE_Summary";#N/A,#N/A,FALSE,"Funded_WFTE";#N/A,#N/A,FALSE,"PYADJ96"}</definedName>
    <definedName name="CAP" localSheetId="15" hidden="1">{#N/A,#N/A,FALSE,"Summation";#N/A,#N/A,FALSE,"BSA";#N/A,#N/A,FALSE,"Detail1";#N/A,#N/A,FALSE,"Detail2";#N/A,#N/A,FALSE,"Detail3";#N/A,#N/A,FALSE,"WFTE_Summary";#N/A,#N/A,FALSE,"Funded_WFTE";#N/A,#N/A,FALSE,"PYADJ96"}</definedName>
    <definedName name="CAP" localSheetId="16" hidden="1">{#N/A,#N/A,FALSE,"Summation";#N/A,#N/A,FALSE,"BSA";#N/A,#N/A,FALSE,"Detail1";#N/A,#N/A,FALSE,"Detail2";#N/A,#N/A,FALSE,"Detail3";#N/A,#N/A,FALSE,"WFTE_Summary";#N/A,#N/A,FALSE,"Funded_WFTE";#N/A,#N/A,FALSE,"PYADJ96"}</definedName>
    <definedName name="CAP" localSheetId="17" hidden="1">{#N/A,#N/A,FALSE,"Summation";#N/A,#N/A,FALSE,"BSA";#N/A,#N/A,FALSE,"Detail1";#N/A,#N/A,FALSE,"Detail2";#N/A,#N/A,FALSE,"Detail3";#N/A,#N/A,FALSE,"WFTE_Summary";#N/A,#N/A,FALSE,"Funded_WFTE";#N/A,#N/A,FALSE,"PYADJ96"}</definedName>
    <definedName name="CAP" localSheetId="18" hidden="1">{#N/A,#N/A,FALSE,"Summation";#N/A,#N/A,FALSE,"BSA";#N/A,#N/A,FALSE,"Detail1";#N/A,#N/A,FALSE,"Detail2";#N/A,#N/A,FALSE,"Detail3";#N/A,#N/A,FALSE,"WFTE_Summary";#N/A,#N/A,FALSE,"Funded_WFTE";#N/A,#N/A,FALSE,"PYADJ96"}</definedName>
    <definedName name="CAP" localSheetId="19" hidden="1">{#N/A,#N/A,FALSE,"Summation";#N/A,#N/A,FALSE,"BSA";#N/A,#N/A,FALSE,"Detail1";#N/A,#N/A,FALSE,"Detail2";#N/A,#N/A,FALSE,"Detail3";#N/A,#N/A,FALSE,"WFTE_Summary";#N/A,#N/A,FALSE,"Funded_WFTE";#N/A,#N/A,FALSE,"PYADJ96"}</definedName>
    <definedName name="CAP" localSheetId="20" hidden="1">{#N/A,#N/A,FALSE,"Summation";#N/A,#N/A,FALSE,"BSA";#N/A,#N/A,FALSE,"Detail1";#N/A,#N/A,FALSE,"Detail2";#N/A,#N/A,FALSE,"Detail3";#N/A,#N/A,FALSE,"WFTE_Summary";#N/A,#N/A,FALSE,"Funded_WFTE";#N/A,#N/A,FALSE,"PYADJ96"}</definedName>
    <definedName name="CAP" localSheetId="21" hidden="1">{#N/A,#N/A,FALSE,"Summation";#N/A,#N/A,FALSE,"BSA";#N/A,#N/A,FALSE,"Detail1";#N/A,#N/A,FALSE,"Detail2";#N/A,#N/A,FALSE,"Detail3";#N/A,#N/A,FALSE,"WFTE_Summary";#N/A,#N/A,FALSE,"Funded_WFTE";#N/A,#N/A,FALSE,"PYADJ96"}</definedName>
    <definedName name="CAP" localSheetId="22" hidden="1">{#N/A,#N/A,FALSE,"Summation";#N/A,#N/A,FALSE,"BSA";#N/A,#N/A,FALSE,"Detail1";#N/A,#N/A,FALSE,"Detail2";#N/A,#N/A,FALSE,"Detail3";#N/A,#N/A,FALSE,"WFTE_Summary";#N/A,#N/A,FALSE,"Funded_WFTE";#N/A,#N/A,FALSE,"PYADJ96"}</definedName>
    <definedName name="CAP" localSheetId="23" hidden="1">{#N/A,#N/A,FALSE,"Summation";#N/A,#N/A,FALSE,"BSA";#N/A,#N/A,FALSE,"Detail1";#N/A,#N/A,FALSE,"Detail2";#N/A,#N/A,FALSE,"Detail3";#N/A,#N/A,FALSE,"WFTE_Summary";#N/A,#N/A,FALSE,"Funded_WFTE";#N/A,#N/A,FALSE,"PYADJ96"}</definedName>
    <definedName name="CAP" localSheetId="24" hidden="1">{#N/A,#N/A,FALSE,"Summation";#N/A,#N/A,FALSE,"BSA";#N/A,#N/A,FALSE,"Detail1";#N/A,#N/A,FALSE,"Detail2";#N/A,#N/A,FALSE,"Detail3";#N/A,#N/A,FALSE,"WFTE_Summary";#N/A,#N/A,FALSE,"Funded_WFTE";#N/A,#N/A,FALSE,"PYADJ96"}</definedName>
    <definedName name="CAP" localSheetId="25" hidden="1">{#N/A,#N/A,FALSE,"Summation";#N/A,#N/A,FALSE,"BSA";#N/A,#N/A,FALSE,"Detail1";#N/A,#N/A,FALSE,"Detail2";#N/A,#N/A,FALSE,"Detail3";#N/A,#N/A,FALSE,"WFTE_Summary";#N/A,#N/A,FALSE,"Funded_WFTE";#N/A,#N/A,FALSE,"PYADJ96"}</definedName>
    <definedName name="CAP" localSheetId="26" hidden="1">{#N/A,#N/A,FALSE,"Summation";#N/A,#N/A,FALSE,"BSA";#N/A,#N/A,FALSE,"Detail1";#N/A,#N/A,FALSE,"Detail2";#N/A,#N/A,FALSE,"Detail3";#N/A,#N/A,FALSE,"WFTE_Summary";#N/A,#N/A,FALSE,"Funded_WFTE";#N/A,#N/A,FALSE,"PYADJ96"}</definedName>
    <definedName name="CAP" localSheetId="27" hidden="1">{#N/A,#N/A,FALSE,"Summation";#N/A,#N/A,FALSE,"BSA";#N/A,#N/A,FALSE,"Detail1";#N/A,#N/A,FALSE,"Detail2";#N/A,#N/A,FALSE,"Detail3";#N/A,#N/A,FALSE,"WFTE_Summary";#N/A,#N/A,FALSE,"Funded_WFTE";#N/A,#N/A,FALSE,"PYADJ96"}</definedName>
    <definedName name="CAP" localSheetId="28" hidden="1">{#N/A,#N/A,FALSE,"Summation";#N/A,#N/A,FALSE,"BSA";#N/A,#N/A,FALSE,"Detail1";#N/A,#N/A,FALSE,"Detail2";#N/A,#N/A,FALSE,"Detail3";#N/A,#N/A,FALSE,"WFTE_Summary";#N/A,#N/A,FALSE,"Funded_WFTE";#N/A,#N/A,FALSE,"PYADJ96"}</definedName>
    <definedName name="CAP" localSheetId="29" hidden="1">{#N/A,#N/A,FALSE,"Summation";#N/A,#N/A,FALSE,"BSA";#N/A,#N/A,FALSE,"Detail1";#N/A,#N/A,FALSE,"Detail2";#N/A,#N/A,FALSE,"Detail3";#N/A,#N/A,FALSE,"WFTE_Summary";#N/A,#N/A,FALSE,"Funded_WFTE";#N/A,#N/A,FALSE,"PYADJ96"}</definedName>
    <definedName name="CAP" localSheetId="30" hidden="1">{#N/A,#N/A,FALSE,"Summation";#N/A,#N/A,FALSE,"BSA";#N/A,#N/A,FALSE,"Detail1";#N/A,#N/A,FALSE,"Detail2";#N/A,#N/A,FALSE,"Detail3";#N/A,#N/A,FALSE,"WFTE_Summary";#N/A,#N/A,FALSE,"Funded_WFTE";#N/A,#N/A,FALSE,"PYADJ96"}</definedName>
    <definedName name="CAP" localSheetId="31" hidden="1">{#N/A,#N/A,FALSE,"Summation";#N/A,#N/A,FALSE,"BSA";#N/A,#N/A,FALSE,"Detail1";#N/A,#N/A,FALSE,"Detail2";#N/A,#N/A,FALSE,"Detail3";#N/A,#N/A,FALSE,"WFTE_Summary";#N/A,#N/A,FALSE,"Funded_WFTE";#N/A,#N/A,FALSE,"PYADJ96"}</definedName>
    <definedName name="CAP" localSheetId="32" hidden="1">{#N/A,#N/A,FALSE,"Summation";#N/A,#N/A,FALSE,"BSA";#N/A,#N/A,FALSE,"Detail1";#N/A,#N/A,FALSE,"Detail2";#N/A,#N/A,FALSE,"Detail3";#N/A,#N/A,FALSE,"WFTE_Summary";#N/A,#N/A,FALSE,"Funded_WFTE";#N/A,#N/A,FALSE,"PYADJ96"}</definedName>
    <definedName name="CAP" localSheetId="33" hidden="1">{#N/A,#N/A,FALSE,"Summation";#N/A,#N/A,FALSE,"BSA";#N/A,#N/A,FALSE,"Detail1";#N/A,#N/A,FALSE,"Detail2";#N/A,#N/A,FALSE,"Detail3";#N/A,#N/A,FALSE,"WFTE_Summary";#N/A,#N/A,FALSE,"Funded_WFTE";#N/A,#N/A,FALSE,"PYADJ96"}</definedName>
    <definedName name="CAP" localSheetId="34" hidden="1">{#N/A,#N/A,FALSE,"Summation";#N/A,#N/A,FALSE,"BSA";#N/A,#N/A,FALSE,"Detail1";#N/A,#N/A,FALSE,"Detail2";#N/A,#N/A,FALSE,"Detail3";#N/A,#N/A,FALSE,"WFTE_Summary";#N/A,#N/A,FALSE,"Funded_WFTE";#N/A,#N/A,FALSE,"PYADJ96"}</definedName>
    <definedName name="CAP" localSheetId="35" hidden="1">{#N/A,#N/A,FALSE,"Summation";#N/A,#N/A,FALSE,"BSA";#N/A,#N/A,FALSE,"Detail1";#N/A,#N/A,FALSE,"Detail2";#N/A,#N/A,FALSE,"Detail3";#N/A,#N/A,FALSE,"WFTE_Summary";#N/A,#N/A,FALSE,"Funded_WFTE";#N/A,#N/A,FALSE,"PYADJ96"}</definedName>
    <definedName name="CAP" localSheetId="36" hidden="1">{#N/A,#N/A,FALSE,"Summation";#N/A,#N/A,FALSE,"BSA";#N/A,#N/A,FALSE,"Detail1";#N/A,#N/A,FALSE,"Detail2";#N/A,#N/A,FALSE,"Detail3";#N/A,#N/A,FALSE,"WFTE_Summary";#N/A,#N/A,FALSE,"Funded_WFTE";#N/A,#N/A,FALSE,"PYADJ96"}</definedName>
    <definedName name="CAP" localSheetId="37" hidden="1">{#N/A,#N/A,FALSE,"Summation";#N/A,#N/A,FALSE,"BSA";#N/A,#N/A,FALSE,"Detail1";#N/A,#N/A,FALSE,"Detail2";#N/A,#N/A,FALSE,"Detail3";#N/A,#N/A,FALSE,"WFTE_Summary";#N/A,#N/A,FALSE,"Funded_WFTE";#N/A,#N/A,FALSE,"PYADJ96"}</definedName>
    <definedName name="CAP" localSheetId="38" hidden="1">{#N/A,#N/A,FALSE,"Summation";#N/A,#N/A,FALSE,"BSA";#N/A,#N/A,FALSE,"Detail1";#N/A,#N/A,FALSE,"Detail2";#N/A,#N/A,FALSE,"Detail3";#N/A,#N/A,FALSE,"WFTE_Summary";#N/A,#N/A,FALSE,"Funded_WFTE";#N/A,#N/A,FALSE,"PYADJ96"}</definedName>
    <definedName name="CAP" localSheetId="39" hidden="1">{#N/A,#N/A,FALSE,"Summation";#N/A,#N/A,FALSE,"BSA";#N/A,#N/A,FALSE,"Detail1";#N/A,#N/A,FALSE,"Detail2";#N/A,#N/A,FALSE,"Detail3";#N/A,#N/A,FALSE,"WFTE_Summary";#N/A,#N/A,FALSE,"Funded_WFTE";#N/A,#N/A,FALSE,"PYADJ96"}</definedName>
    <definedName name="CAP" localSheetId="40" hidden="1">{#N/A,#N/A,FALSE,"Summation";#N/A,#N/A,FALSE,"BSA";#N/A,#N/A,FALSE,"Detail1";#N/A,#N/A,FALSE,"Detail2";#N/A,#N/A,FALSE,"Detail3";#N/A,#N/A,FALSE,"WFTE_Summary";#N/A,#N/A,FALSE,"Funded_WFTE";#N/A,#N/A,FALSE,"PYADJ96"}</definedName>
    <definedName name="CAP" localSheetId="41" hidden="1">{#N/A,#N/A,FALSE,"Summation";#N/A,#N/A,FALSE,"BSA";#N/A,#N/A,FALSE,"Detail1";#N/A,#N/A,FALSE,"Detail2";#N/A,#N/A,FALSE,"Detail3";#N/A,#N/A,FALSE,"WFTE_Summary";#N/A,#N/A,FALSE,"Funded_WFTE";#N/A,#N/A,FALSE,"PYADJ96"}</definedName>
    <definedName name="CAP" localSheetId="42" hidden="1">{#N/A,#N/A,FALSE,"Summation";#N/A,#N/A,FALSE,"BSA";#N/A,#N/A,FALSE,"Detail1";#N/A,#N/A,FALSE,"Detail2";#N/A,#N/A,FALSE,"Detail3";#N/A,#N/A,FALSE,"WFTE_Summary";#N/A,#N/A,FALSE,"Funded_WFTE";#N/A,#N/A,FALSE,"PYADJ96"}</definedName>
    <definedName name="CAP" localSheetId="43" hidden="1">{#N/A,#N/A,FALSE,"Summation";#N/A,#N/A,FALSE,"BSA";#N/A,#N/A,FALSE,"Detail1";#N/A,#N/A,FALSE,"Detail2";#N/A,#N/A,FALSE,"Detail3";#N/A,#N/A,FALSE,"WFTE_Summary";#N/A,#N/A,FALSE,"Funded_WFTE";#N/A,#N/A,FALSE,"PYADJ96"}</definedName>
    <definedName name="CAP" localSheetId="44" hidden="1">{#N/A,#N/A,FALSE,"Summation";#N/A,#N/A,FALSE,"BSA";#N/A,#N/A,FALSE,"Detail1";#N/A,#N/A,FALSE,"Detail2";#N/A,#N/A,FALSE,"Detail3";#N/A,#N/A,FALSE,"WFTE_Summary";#N/A,#N/A,FALSE,"Funded_WFTE";#N/A,#N/A,FALSE,"PYADJ96"}</definedName>
    <definedName name="CAP" localSheetId="45" hidden="1">{#N/A,#N/A,FALSE,"Summation";#N/A,#N/A,FALSE,"BSA";#N/A,#N/A,FALSE,"Detail1";#N/A,#N/A,FALSE,"Detail2";#N/A,#N/A,FALSE,"Detail3";#N/A,#N/A,FALSE,"WFTE_Summary";#N/A,#N/A,FALSE,"Funded_WFTE";#N/A,#N/A,FALSE,"PYADJ96"}</definedName>
    <definedName name="CAP" localSheetId="46" hidden="1">{#N/A,#N/A,FALSE,"Summation";#N/A,#N/A,FALSE,"BSA";#N/A,#N/A,FALSE,"Detail1";#N/A,#N/A,FALSE,"Detail2";#N/A,#N/A,FALSE,"Detail3";#N/A,#N/A,FALSE,"WFTE_Summary";#N/A,#N/A,FALSE,"Funded_WFTE";#N/A,#N/A,FALSE,"PYADJ96"}</definedName>
    <definedName name="CAP" localSheetId="47" hidden="1">{#N/A,#N/A,FALSE,"Summation";#N/A,#N/A,FALSE,"BSA";#N/A,#N/A,FALSE,"Detail1";#N/A,#N/A,FALSE,"Detail2";#N/A,#N/A,FALSE,"Detail3";#N/A,#N/A,FALSE,"WFTE_Summary";#N/A,#N/A,FALSE,"Funded_WFTE";#N/A,#N/A,FALSE,"PYADJ96"}</definedName>
    <definedName name="CAP" localSheetId="48" hidden="1">{#N/A,#N/A,FALSE,"Summation";#N/A,#N/A,FALSE,"BSA";#N/A,#N/A,FALSE,"Detail1";#N/A,#N/A,FALSE,"Detail2";#N/A,#N/A,FALSE,"Detail3";#N/A,#N/A,FALSE,"WFTE_Summary";#N/A,#N/A,FALSE,"Funded_WFTE";#N/A,#N/A,FALSE,"PYADJ96"}</definedName>
    <definedName name="CAP" localSheetId="49" hidden="1">{#N/A,#N/A,FALSE,"Summation";#N/A,#N/A,FALSE,"BSA";#N/A,#N/A,FALSE,"Detail1";#N/A,#N/A,FALSE,"Detail2";#N/A,#N/A,FALSE,"Detail3";#N/A,#N/A,FALSE,"WFTE_Summary";#N/A,#N/A,FALSE,"Funded_WFTE";#N/A,#N/A,FALSE,"PYADJ96"}</definedName>
    <definedName name="CAP" localSheetId="50" hidden="1">{#N/A,#N/A,FALSE,"Summation";#N/A,#N/A,FALSE,"BSA";#N/A,#N/A,FALSE,"Detail1";#N/A,#N/A,FALSE,"Detail2";#N/A,#N/A,FALSE,"Detail3";#N/A,#N/A,FALSE,"WFTE_Summary";#N/A,#N/A,FALSE,"Funded_WFTE";#N/A,#N/A,FALSE,"PYADJ96"}</definedName>
    <definedName name="CAP" localSheetId="51" hidden="1">{#N/A,#N/A,FALSE,"Summation";#N/A,#N/A,FALSE,"BSA";#N/A,#N/A,FALSE,"Detail1";#N/A,#N/A,FALSE,"Detail2";#N/A,#N/A,FALSE,"Detail3";#N/A,#N/A,FALSE,"WFTE_Summary";#N/A,#N/A,FALSE,"Funded_WFTE";#N/A,#N/A,FALSE,"PYADJ96"}</definedName>
    <definedName name="CAP" localSheetId="52" hidden="1">{#N/A,#N/A,FALSE,"Summation";#N/A,#N/A,FALSE,"BSA";#N/A,#N/A,FALSE,"Detail1";#N/A,#N/A,FALSE,"Detail2";#N/A,#N/A,FALSE,"Detail3";#N/A,#N/A,FALSE,"WFTE_Summary";#N/A,#N/A,FALSE,"Funded_WFTE";#N/A,#N/A,FALSE,"PYADJ96"}</definedName>
    <definedName name="CAP" localSheetId="53" hidden="1">{#N/A,#N/A,FALSE,"Summation";#N/A,#N/A,FALSE,"BSA";#N/A,#N/A,FALSE,"Detail1";#N/A,#N/A,FALSE,"Detail2";#N/A,#N/A,FALSE,"Detail3";#N/A,#N/A,FALSE,"WFTE_Summary";#N/A,#N/A,FALSE,"Funded_WFTE";#N/A,#N/A,FALSE,"PYADJ96"}</definedName>
    <definedName name="CAP" localSheetId="54" hidden="1">{#N/A,#N/A,FALSE,"Summation";#N/A,#N/A,FALSE,"BSA";#N/A,#N/A,FALSE,"Detail1";#N/A,#N/A,FALSE,"Detail2";#N/A,#N/A,FALSE,"Detail3";#N/A,#N/A,FALSE,"WFTE_Summary";#N/A,#N/A,FALSE,"Funded_WFTE";#N/A,#N/A,FALSE,"PYADJ96"}</definedName>
    <definedName name="CAP" localSheetId="55" hidden="1">{#N/A,#N/A,FALSE,"Summation";#N/A,#N/A,FALSE,"BSA";#N/A,#N/A,FALSE,"Detail1";#N/A,#N/A,FALSE,"Detail2";#N/A,#N/A,FALSE,"Detail3";#N/A,#N/A,FALSE,"WFTE_Summary";#N/A,#N/A,FALSE,"Funded_WFTE";#N/A,#N/A,FALSE,"PYADJ96"}</definedName>
    <definedName name="CAP" localSheetId="56" hidden="1">{#N/A,#N/A,FALSE,"Summation";#N/A,#N/A,FALSE,"BSA";#N/A,#N/A,FALSE,"Detail1";#N/A,#N/A,FALSE,"Detail2";#N/A,#N/A,FALSE,"Detail3";#N/A,#N/A,FALSE,"WFTE_Summary";#N/A,#N/A,FALSE,"Funded_WFTE";#N/A,#N/A,FALSE,"PYADJ96"}</definedName>
    <definedName name="CAP" localSheetId="57" hidden="1">{#N/A,#N/A,FALSE,"Summation";#N/A,#N/A,FALSE,"BSA";#N/A,#N/A,FALSE,"Detail1";#N/A,#N/A,FALSE,"Detail2";#N/A,#N/A,FALSE,"Detail3";#N/A,#N/A,FALSE,"WFTE_Summary";#N/A,#N/A,FALSE,"Funded_WFTE";#N/A,#N/A,FALSE,"PYADJ96"}</definedName>
    <definedName name="CAP" localSheetId="58" hidden="1">{#N/A,#N/A,FALSE,"Summation";#N/A,#N/A,FALSE,"BSA";#N/A,#N/A,FALSE,"Detail1";#N/A,#N/A,FALSE,"Detail2";#N/A,#N/A,FALSE,"Detail3";#N/A,#N/A,FALSE,"WFTE_Summary";#N/A,#N/A,FALSE,"Funded_WFTE";#N/A,#N/A,FALSE,"PYADJ96"}</definedName>
    <definedName name="CAP" localSheetId="2" hidden="1">{#N/A,#N/A,FALSE,"Summation";#N/A,#N/A,FALSE,"BSA";#N/A,#N/A,FALSE,"Detail1";#N/A,#N/A,FALSE,"Detail2";#N/A,#N/A,FALSE,"Detail3";#N/A,#N/A,FALSE,"WFTE_Summary";#N/A,#N/A,FALSE,"Funded_WFTE";#N/A,#N/A,FALSE,"PYADJ96"}</definedName>
    <definedName name="CAP" localSheetId="3" hidden="1">{#N/A,#N/A,FALSE,"Summation";#N/A,#N/A,FALSE,"BSA";#N/A,#N/A,FALSE,"Detail1";#N/A,#N/A,FALSE,"Detail2";#N/A,#N/A,FALSE,"Detail3";#N/A,#N/A,FALSE,"WFTE_Summary";#N/A,#N/A,FALSE,"Funded_WFTE";#N/A,#N/A,FALSE,"PYADJ96"}</definedName>
    <definedName name="CAP" localSheetId="5" hidden="1">{#N/A,#N/A,FALSE,"Summation";#N/A,#N/A,FALSE,"BSA";#N/A,#N/A,FALSE,"Detail1";#N/A,#N/A,FALSE,"Detail2";#N/A,#N/A,FALSE,"Detail3";#N/A,#N/A,FALSE,"WFTE_Summary";#N/A,#N/A,FALSE,"Funded_WFTE";#N/A,#N/A,FALSE,"PYADJ96"}</definedName>
    <definedName name="CAP" localSheetId="4" hidden="1">{#N/A,#N/A,FALSE,"Summation";#N/A,#N/A,FALSE,"BSA";#N/A,#N/A,FALSE,"Detail1";#N/A,#N/A,FALSE,"Detail2";#N/A,#N/A,FALSE,"Detail3";#N/A,#N/A,FALSE,"WFTE_Summary";#N/A,#N/A,FALSE,"Funded_WFTE";#N/A,#N/A,FALSE,"PYADJ96"}</definedName>
    <definedName name="CAP" localSheetId="1" hidden="1">{#N/A,#N/A,FALSE,"Summation";#N/A,#N/A,FALSE,"BSA";#N/A,#N/A,FALSE,"Detail1";#N/A,#N/A,FALSE,"Detail2";#N/A,#N/A,FALSE,"Detail3";#N/A,#N/A,FALSE,"WFTE_Summary";#N/A,#N/A,FALSE,"Funded_WFTE";#N/A,#N/A,FALSE,"PYADJ96"}</definedName>
    <definedName name="CAP" localSheetId="0" hidden="1">{#N/A,#N/A,FALSE,"Summation";#N/A,#N/A,FALSE,"BSA";#N/A,#N/A,FALSE,"Detail1";#N/A,#N/A,FALSE,"Detail2";#N/A,#N/A,FALSE,"Detail3";#N/A,#N/A,FALSE,"WFTE_Summary";#N/A,#N/A,FALSE,"Funded_WFTE";#N/A,#N/A,FALSE,"PYADJ96"}</definedName>
    <definedName name="CAP" hidden="1">{#N/A,#N/A,FALSE,"Summation";#N/A,#N/A,FALSE,"BSA";#N/A,#N/A,FALSE,"Detail1";#N/A,#N/A,FALSE,"Detail2";#N/A,#N/A,FALSE,"Detail3";#N/A,#N/A,FALSE,"WFTE_Summary";#N/A,#N/A,FALSE,"Funded_WFTE";#N/A,#N/A,FALSE,"PYADJ96"}</definedName>
    <definedName name="DCD" localSheetId="9">'0100'!$D$89</definedName>
    <definedName name="DCD" localSheetId="8">'0571'!$D$89</definedName>
    <definedName name="DCD" localSheetId="10">'1461'!$D$89</definedName>
    <definedName name="DCD" localSheetId="11">'1571'!$D$89</definedName>
    <definedName name="DCD" localSheetId="12">'2521'!$D$89</definedName>
    <definedName name="DCD" localSheetId="13">'2531'!$D$89</definedName>
    <definedName name="DCD" localSheetId="14">'2791'!$D$89</definedName>
    <definedName name="DCD" localSheetId="15">'2801'!$D$89</definedName>
    <definedName name="DCD" localSheetId="16">'2911'!$D$89</definedName>
    <definedName name="DCD" localSheetId="17">'2941'!$D$89</definedName>
    <definedName name="DCD" localSheetId="18">'3083'!$D$89</definedName>
    <definedName name="DCD" localSheetId="19">'3345'!$D$89</definedName>
    <definedName name="DCD" localSheetId="20">'3362'!$D$89</definedName>
    <definedName name="DCD" localSheetId="21">'3381'!$D$89</definedName>
    <definedName name="DCD" localSheetId="22">'3382'!$D$89</definedName>
    <definedName name="DCD" localSheetId="23">'3391'!$D$89</definedName>
    <definedName name="DCD" localSheetId="24">'3394'!$D$89</definedName>
    <definedName name="DCD" localSheetId="25">'3395'!$D$89</definedName>
    <definedName name="DCD" localSheetId="26">'3396'!$D$89</definedName>
    <definedName name="DCD" localSheetId="27">'3398'!$D$89</definedName>
    <definedName name="DCD" localSheetId="28">'3400'!$D$89</definedName>
    <definedName name="DCD" localSheetId="29">'3401'!$D$89</definedName>
    <definedName name="DCD" localSheetId="30">'3413'!$D$89</definedName>
    <definedName name="DCD" localSheetId="31">'3421'!$D$89</definedName>
    <definedName name="DCD" localSheetId="32">'3431'!$D$89</definedName>
    <definedName name="DCD" localSheetId="33">'3441'!$D$89</definedName>
    <definedName name="DCD" localSheetId="34">'3924'!$D$89</definedName>
    <definedName name="DCD" localSheetId="35">'3941'!$D$89</definedName>
    <definedName name="DCD" localSheetId="36">'3961'!$D$89</definedName>
    <definedName name="DCD" localSheetId="37">'3971'!$D$89</definedName>
    <definedName name="DCD" localSheetId="38">'4001'!$D$89</definedName>
    <definedName name="DCD" localSheetId="39">'4002'!$D$89</definedName>
    <definedName name="DCD" localSheetId="40">'4012'!$D$89</definedName>
    <definedName name="DCD" localSheetId="41">'4013'!$D$89</definedName>
    <definedName name="DCD" localSheetId="42">'4020'!$D$89</definedName>
    <definedName name="DCD" localSheetId="43">'4030'!$D$89</definedName>
    <definedName name="DCD" localSheetId="44">'4031'!$D$89</definedName>
    <definedName name="DCD" localSheetId="45">'4041'!$D$89</definedName>
    <definedName name="DCD" localSheetId="46">'4050'!$D$89</definedName>
    <definedName name="DCD" localSheetId="47">'4051'!$D$89</definedName>
    <definedName name="DCD" localSheetId="48">'4061'!$D$89</definedName>
    <definedName name="DCD" localSheetId="49">'4080'!$D$89</definedName>
    <definedName name="DCD" localSheetId="50">'4081'!$D$89</definedName>
    <definedName name="DCD" localSheetId="51">'4090'!$D$89</definedName>
    <definedName name="DCD" localSheetId="52">'4091'!$D$89</definedName>
    <definedName name="DCD" localSheetId="53">'4100'!$D$89</definedName>
    <definedName name="DCD" localSheetId="54">'4102'!$D$89</definedName>
    <definedName name="DCD" localSheetId="55">'4103'!$D$89</definedName>
    <definedName name="DCD" localSheetId="56">'4111'!$D$89</definedName>
    <definedName name="DCD" localSheetId="57">'4131'!$D$89</definedName>
    <definedName name="DCD" localSheetId="58">'4141'!$D$89</definedName>
    <definedName name="DCD">'0040'!$D$89</definedName>
    <definedName name="District_Cost_Differential" localSheetId="9">'0100'!$G$6</definedName>
    <definedName name="District_Cost_Differential" localSheetId="8">'0571'!$G$6</definedName>
    <definedName name="District_Cost_Differential" localSheetId="10">'1461'!$G$6</definedName>
    <definedName name="District_Cost_Differential" localSheetId="11">'1571'!$G$6</definedName>
    <definedName name="District_Cost_Differential" localSheetId="12">'2521'!$G$6</definedName>
    <definedName name="District_Cost_Differential" localSheetId="13">'2531'!$G$6</definedName>
    <definedName name="District_Cost_Differential" localSheetId="14">'2791'!$G$6</definedName>
    <definedName name="District_Cost_Differential" localSheetId="15">'2801'!$G$6</definedName>
    <definedName name="District_Cost_Differential" localSheetId="16">'2911'!$G$6</definedName>
    <definedName name="District_Cost_Differential" localSheetId="17">'2941'!$G$6</definedName>
    <definedName name="District_Cost_Differential" localSheetId="18">'3083'!$G$6</definedName>
    <definedName name="District_Cost_Differential" localSheetId="19">'3345'!$G$6</definedName>
    <definedName name="District_Cost_Differential" localSheetId="20">'3362'!$G$6</definedName>
    <definedName name="District_Cost_Differential" localSheetId="21">'3381'!$G$6</definedName>
    <definedName name="District_Cost_Differential" localSheetId="22">'3382'!$G$6</definedName>
    <definedName name="District_Cost_Differential" localSheetId="23">'3391'!$G$6</definedName>
    <definedName name="District_Cost_Differential" localSheetId="24">'3394'!$G$6</definedName>
    <definedName name="District_Cost_Differential" localSheetId="25">'3395'!$G$6</definedName>
    <definedName name="District_Cost_Differential" localSheetId="26">'3396'!$G$6</definedName>
    <definedName name="District_Cost_Differential" localSheetId="27">'3398'!$G$6</definedName>
    <definedName name="District_Cost_Differential" localSheetId="28">'3400'!$G$6</definedName>
    <definedName name="District_Cost_Differential" localSheetId="29">'3401'!$G$6</definedName>
    <definedName name="District_Cost_Differential" localSheetId="30">'3413'!$G$6</definedName>
    <definedName name="District_Cost_Differential" localSheetId="31">'3421'!$G$6</definedName>
    <definedName name="District_Cost_Differential" localSheetId="32">'3431'!$G$6</definedName>
    <definedName name="District_Cost_Differential" localSheetId="33">'3441'!$G$6</definedName>
    <definedName name="District_Cost_Differential" localSheetId="34">'3924'!$G$6</definedName>
    <definedName name="District_Cost_Differential" localSheetId="35">'3941'!$G$6</definedName>
    <definedName name="District_Cost_Differential" localSheetId="36">'3961'!$G$6</definedName>
    <definedName name="District_Cost_Differential" localSheetId="37">'3971'!$G$6</definedName>
    <definedName name="District_Cost_Differential" localSheetId="38">'4001'!$G$6</definedName>
    <definedName name="District_Cost_Differential" localSheetId="39">'4002'!$G$6</definedName>
    <definedName name="District_Cost_Differential" localSheetId="40">'4012'!$G$6</definedName>
    <definedName name="District_Cost_Differential" localSheetId="41">'4013'!$G$6</definedName>
    <definedName name="District_Cost_Differential" localSheetId="42">'4020'!$G$6</definedName>
    <definedName name="District_Cost_Differential" localSheetId="43">'4030'!$G$6</definedName>
    <definedName name="District_Cost_Differential" localSheetId="44">'4031'!$G$6</definedName>
    <definedName name="District_Cost_Differential" localSheetId="45">'4041'!$G$6</definedName>
    <definedName name="District_Cost_Differential" localSheetId="46">'4050'!$G$6</definedName>
    <definedName name="District_Cost_Differential" localSheetId="47">'4051'!$G$6</definedName>
    <definedName name="District_Cost_Differential" localSheetId="48">'4061'!$G$6</definedName>
    <definedName name="District_Cost_Differential" localSheetId="49">'4080'!$G$6</definedName>
    <definedName name="District_Cost_Differential" localSheetId="50">'4081'!$G$6</definedName>
    <definedName name="District_Cost_Differential" localSheetId="51">'4090'!$G$6</definedName>
    <definedName name="District_Cost_Differential" localSheetId="52">'4091'!$G$6</definedName>
    <definedName name="District_Cost_Differential" localSheetId="53">'4100'!$G$6</definedName>
    <definedName name="District_Cost_Differential" localSheetId="54">'4102'!$G$6</definedName>
    <definedName name="District_Cost_Differential" localSheetId="55">'4103'!$G$6</definedName>
    <definedName name="District_Cost_Differential" localSheetId="56">'4111'!$G$6</definedName>
    <definedName name="District_Cost_Differential" localSheetId="57">'4131'!$G$6</definedName>
    <definedName name="District_Cost_Differential" localSheetId="58">'4141'!$G$6</definedName>
    <definedName name="District_Cost_Differential">'0040'!$G$6</definedName>
    <definedName name="District_SAI_Allocation" localSheetId="9">'0100'!#REF!</definedName>
    <definedName name="District_SAI_Allocation" localSheetId="8">'0571'!#REF!</definedName>
    <definedName name="District_SAI_Allocation" localSheetId="10">'1461'!#REF!</definedName>
    <definedName name="District_SAI_Allocation" localSheetId="11">'1571'!#REF!</definedName>
    <definedName name="District_SAI_Allocation" localSheetId="12">'2521'!#REF!</definedName>
    <definedName name="District_SAI_Allocation" localSheetId="13">'2531'!#REF!</definedName>
    <definedName name="District_SAI_Allocation" localSheetId="14">'2791'!#REF!</definedName>
    <definedName name="District_SAI_Allocation" localSheetId="15">'2801'!#REF!</definedName>
    <definedName name="District_SAI_Allocation" localSheetId="16">'2911'!#REF!</definedName>
    <definedName name="District_SAI_Allocation" localSheetId="17">'2941'!#REF!</definedName>
    <definedName name="District_SAI_Allocation" localSheetId="18">'3083'!#REF!</definedName>
    <definedName name="District_SAI_Allocation" localSheetId="19">'3345'!#REF!</definedName>
    <definedName name="District_SAI_Allocation" localSheetId="20">'3362'!#REF!</definedName>
    <definedName name="District_SAI_Allocation" localSheetId="21">'3381'!#REF!</definedName>
    <definedName name="District_SAI_Allocation" localSheetId="22">'3382'!#REF!</definedName>
    <definedName name="District_SAI_Allocation" localSheetId="23">'3391'!#REF!</definedName>
    <definedName name="District_SAI_Allocation" localSheetId="24">'3394'!#REF!</definedName>
    <definedName name="District_SAI_Allocation" localSheetId="25">'3395'!#REF!</definedName>
    <definedName name="District_SAI_Allocation" localSheetId="26">'3396'!#REF!</definedName>
    <definedName name="District_SAI_Allocation" localSheetId="27">'3398'!#REF!</definedName>
    <definedName name="District_SAI_Allocation" localSheetId="28">'3400'!#REF!</definedName>
    <definedName name="District_SAI_Allocation" localSheetId="29">'3401'!#REF!</definedName>
    <definedName name="District_SAI_Allocation" localSheetId="30">'3413'!#REF!</definedName>
    <definedName name="District_SAI_Allocation" localSheetId="31">'3421'!#REF!</definedName>
    <definedName name="District_SAI_Allocation" localSheetId="32">'3431'!#REF!</definedName>
    <definedName name="District_SAI_Allocation" localSheetId="33">'3441'!#REF!</definedName>
    <definedName name="District_SAI_Allocation" localSheetId="34">'3924'!#REF!</definedName>
    <definedName name="District_SAI_Allocation" localSheetId="35">'3941'!#REF!</definedName>
    <definedName name="District_SAI_Allocation" localSheetId="36">'3961'!#REF!</definedName>
    <definedName name="District_SAI_Allocation" localSheetId="37">'3971'!#REF!</definedName>
    <definedName name="District_SAI_Allocation" localSheetId="38">'4001'!#REF!</definedName>
    <definedName name="District_SAI_Allocation" localSheetId="39">'4002'!#REF!</definedName>
    <definedName name="District_SAI_Allocation" localSheetId="40">'4012'!#REF!</definedName>
    <definedName name="District_SAI_Allocation" localSheetId="41">'4013'!#REF!</definedName>
    <definedName name="District_SAI_Allocation" localSheetId="42">'4020'!#REF!</definedName>
    <definedName name="District_SAI_Allocation" localSheetId="43">'4030'!#REF!</definedName>
    <definedName name="District_SAI_Allocation" localSheetId="44">'4031'!#REF!</definedName>
    <definedName name="District_SAI_Allocation" localSheetId="45">'4041'!#REF!</definedName>
    <definedName name="District_SAI_Allocation" localSheetId="46">'4050'!#REF!</definedName>
    <definedName name="District_SAI_Allocation" localSheetId="47">'4051'!#REF!</definedName>
    <definedName name="District_SAI_Allocation" localSheetId="48">'4061'!#REF!</definedName>
    <definedName name="District_SAI_Allocation" localSheetId="49">'4080'!#REF!</definedName>
    <definedName name="District_SAI_Allocation" localSheetId="50">'4081'!#REF!</definedName>
    <definedName name="District_SAI_Allocation" localSheetId="51">'4090'!#REF!</definedName>
    <definedName name="District_SAI_Allocation" localSheetId="52">'4091'!#REF!</definedName>
    <definedName name="District_SAI_Allocation" localSheetId="53">'4100'!#REF!</definedName>
    <definedName name="District_SAI_Allocation" localSheetId="54">'4102'!#REF!</definedName>
    <definedName name="District_SAI_Allocation" localSheetId="55">'4103'!#REF!</definedName>
    <definedName name="District_SAI_Allocation" localSheetId="56">'4111'!#REF!</definedName>
    <definedName name="District_SAI_Allocation" localSheetId="57">'4131'!#REF!</definedName>
    <definedName name="District_SAI_Allocation" localSheetId="58">'4141'!#REF!</definedName>
    <definedName name="divided_by_district_FTE" localSheetId="9">'0100'!#REF!</definedName>
    <definedName name="divided_by_district_FTE" localSheetId="8">'0571'!#REF!</definedName>
    <definedName name="divided_by_district_FTE" localSheetId="10">'1461'!#REF!</definedName>
    <definedName name="divided_by_district_FTE" localSheetId="11">'1571'!#REF!</definedName>
    <definedName name="divided_by_district_FTE" localSheetId="12">'2521'!#REF!</definedName>
    <definedName name="divided_by_district_FTE" localSheetId="13">'2531'!#REF!</definedName>
    <definedName name="divided_by_district_FTE" localSheetId="14">'2791'!#REF!</definedName>
    <definedName name="divided_by_district_FTE" localSheetId="15">'2801'!#REF!</definedName>
    <definedName name="divided_by_district_FTE" localSheetId="16">'2911'!#REF!</definedName>
    <definedName name="divided_by_district_FTE" localSheetId="17">'2941'!#REF!</definedName>
    <definedName name="divided_by_district_FTE" localSheetId="18">'3083'!#REF!</definedName>
    <definedName name="divided_by_district_FTE" localSheetId="19">'3345'!#REF!</definedName>
    <definedName name="divided_by_district_FTE" localSheetId="20">'3362'!#REF!</definedName>
    <definedName name="divided_by_district_FTE" localSheetId="21">'3381'!#REF!</definedName>
    <definedName name="divided_by_district_FTE" localSheetId="22">'3382'!#REF!</definedName>
    <definedName name="divided_by_district_FTE" localSheetId="23">'3391'!#REF!</definedName>
    <definedName name="divided_by_district_FTE" localSheetId="24">'3394'!#REF!</definedName>
    <definedName name="divided_by_district_FTE" localSheetId="25">'3395'!#REF!</definedName>
    <definedName name="divided_by_district_FTE" localSheetId="26">'3396'!#REF!</definedName>
    <definedName name="divided_by_district_FTE" localSheetId="27">'3398'!#REF!</definedName>
    <definedName name="divided_by_district_FTE" localSheetId="28">'3400'!#REF!</definedName>
    <definedName name="divided_by_district_FTE" localSheetId="29">'3401'!#REF!</definedName>
    <definedName name="divided_by_district_FTE" localSheetId="30">'3413'!#REF!</definedName>
    <definedName name="divided_by_district_FTE" localSheetId="31">'3421'!#REF!</definedName>
    <definedName name="divided_by_district_FTE" localSheetId="32">'3431'!#REF!</definedName>
    <definedName name="divided_by_district_FTE" localSheetId="33">'3441'!#REF!</definedName>
    <definedName name="divided_by_district_FTE" localSheetId="34">'3924'!#REF!</definedName>
    <definedName name="divided_by_district_FTE" localSheetId="35">'3941'!#REF!</definedName>
    <definedName name="divided_by_district_FTE" localSheetId="36">'3961'!#REF!</definedName>
    <definedName name="divided_by_district_FTE" localSheetId="37">'3971'!#REF!</definedName>
    <definedName name="divided_by_district_FTE" localSheetId="38">'4001'!#REF!</definedName>
    <definedName name="divided_by_district_FTE" localSheetId="39">'4002'!#REF!</definedName>
    <definedName name="divided_by_district_FTE" localSheetId="40">'4012'!#REF!</definedName>
    <definedName name="divided_by_district_FTE" localSheetId="41">'4013'!#REF!</definedName>
    <definedName name="divided_by_district_FTE" localSheetId="42">'4020'!#REF!</definedName>
    <definedName name="divided_by_district_FTE" localSheetId="43">'4030'!#REF!</definedName>
    <definedName name="divided_by_district_FTE" localSheetId="44">'4031'!#REF!</definedName>
    <definedName name="divided_by_district_FTE" localSheetId="45">'4041'!#REF!</definedName>
    <definedName name="divided_by_district_FTE" localSheetId="46">'4050'!#REF!</definedName>
    <definedName name="divided_by_district_FTE" localSheetId="47">'4051'!#REF!</definedName>
    <definedName name="divided_by_district_FTE" localSheetId="48">'4061'!#REF!</definedName>
    <definedName name="divided_by_district_FTE" localSheetId="49">'4080'!#REF!</definedName>
    <definedName name="divided_by_district_FTE" localSheetId="50">'4081'!#REF!</definedName>
    <definedName name="divided_by_district_FTE" localSheetId="51">'4090'!#REF!</definedName>
    <definedName name="divided_by_district_FTE" localSheetId="52">'4091'!#REF!</definedName>
    <definedName name="divided_by_district_FTE" localSheetId="53">'4100'!#REF!</definedName>
    <definedName name="divided_by_district_FTE" localSheetId="54">'4102'!#REF!</definedName>
    <definedName name="divided_by_district_FTE" localSheetId="55">'4103'!#REF!</definedName>
    <definedName name="divided_by_district_FTE" localSheetId="56">'4111'!#REF!</definedName>
    <definedName name="divided_by_district_FTE" localSheetId="57">'4131'!#REF!</definedName>
    <definedName name="divided_by_district_FTE" localSheetId="58">'4141'!#REF!</definedName>
    <definedName name="FTE" localSheetId="9">'0100'!#REF!</definedName>
    <definedName name="FTE" localSheetId="8">'0571'!#REF!</definedName>
    <definedName name="FTE" localSheetId="10">'1461'!#REF!</definedName>
    <definedName name="FTE" localSheetId="11">'1571'!#REF!</definedName>
    <definedName name="FTE" localSheetId="12">'2521'!#REF!</definedName>
    <definedName name="FTE" localSheetId="13">'2531'!#REF!</definedName>
    <definedName name="FTE" localSheetId="14">'2791'!#REF!</definedName>
    <definedName name="FTE" localSheetId="15">'2801'!#REF!</definedName>
    <definedName name="FTE" localSheetId="16">'2911'!#REF!</definedName>
    <definedName name="FTE" localSheetId="17">'2941'!#REF!</definedName>
    <definedName name="FTE" localSheetId="18">'3083'!#REF!</definedName>
    <definedName name="FTE" localSheetId="19">'3345'!#REF!</definedName>
    <definedName name="FTE" localSheetId="20">'3362'!#REF!</definedName>
    <definedName name="FTE" localSheetId="21">'3381'!#REF!</definedName>
    <definedName name="FTE" localSheetId="22">'3382'!#REF!</definedName>
    <definedName name="FTE" localSheetId="23">'3391'!#REF!</definedName>
    <definedName name="FTE" localSheetId="24">'3394'!#REF!</definedName>
    <definedName name="FTE" localSheetId="25">'3395'!#REF!</definedName>
    <definedName name="FTE" localSheetId="26">'3396'!#REF!</definedName>
    <definedName name="FTE" localSheetId="27">'3398'!#REF!</definedName>
    <definedName name="FTE" localSheetId="28">'3400'!#REF!</definedName>
    <definedName name="FTE" localSheetId="29">'3401'!#REF!</definedName>
    <definedName name="FTE" localSheetId="30">'3413'!#REF!</definedName>
    <definedName name="FTE" localSheetId="31">'3421'!#REF!</definedName>
    <definedName name="FTE" localSheetId="32">'3431'!#REF!</definedName>
    <definedName name="FTE" localSheetId="33">'3441'!#REF!</definedName>
    <definedName name="FTE" localSheetId="34">'3924'!#REF!</definedName>
    <definedName name="FTE" localSheetId="35">'3941'!#REF!</definedName>
    <definedName name="FTE" localSheetId="36">'3961'!#REF!</definedName>
    <definedName name="FTE" localSheetId="37">'3971'!#REF!</definedName>
    <definedName name="FTE" localSheetId="38">'4001'!#REF!</definedName>
    <definedName name="FTE" localSheetId="39">'4002'!#REF!</definedName>
    <definedName name="FTE" localSheetId="40">'4012'!#REF!</definedName>
    <definedName name="FTE" localSheetId="41">'4013'!#REF!</definedName>
    <definedName name="FTE" localSheetId="42">'4020'!#REF!</definedName>
    <definedName name="FTE" localSheetId="43">'4030'!#REF!</definedName>
    <definedName name="FTE" localSheetId="44">'4031'!#REF!</definedName>
    <definedName name="FTE" localSheetId="45">'4041'!#REF!</definedName>
    <definedName name="FTE" localSheetId="46">'4050'!#REF!</definedName>
    <definedName name="FTE" localSheetId="47">'4051'!#REF!</definedName>
    <definedName name="FTE" localSheetId="48">'4061'!#REF!</definedName>
    <definedName name="FTE" localSheetId="49">'4080'!#REF!</definedName>
    <definedName name="FTE" localSheetId="50">'4081'!#REF!</definedName>
    <definedName name="FTE" localSheetId="51">'4090'!#REF!</definedName>
    <definedName name="FTE" localSheetId="52">'4091'!#REF!</definedName>
    <definedName name="FTE" localSheetId="53">'4100'!#REF!</definedName>
    <definedName name="FTE" localSheetId="54">'4102'!#REF!</definedName>
    <definedName name="FTE" localSheetId="55">'4103'!#REF!</definedName>
    <definedName name="FTE" localSheetId="56">'4111'!#REF!</definedName>
    <definedName name="FTE" localSheetId="57">'4131'!#REF!</definedName>
    <definedName name="FTE" localSheetId="58">'4141'!#REF!</definedName>
    <definedName name="Grade_Level" localSheetId="9">'0100'!#REF!</definedName>
    <definedName name="Grade_Level" localSheetId="8">'0571'!#REF!</definedName>
    <definedName name="Grade_Level" localSheetId="10">'1461'!#REF!</definedName>
    <definedName name="Grade_Level" localSheetId="11">'1571'!#REF!</definedName>
    <definedName name="Grade_Level" localSheetId="12">'2521'!#REF!</definedName>
    <definedName name="Grade_Level" localSheetId="13">'2531'!#REF!</definedName>
    <definedName name="Grade_Level" localSheetId="14">'2791'!#REF!</definedName>
    <definedName name="Grade_Level" localSheetId="15">'2801'!#REF!</definedName>
    <definedName name="Grade_Level" localSheetId="16">'2911'!#REF!</definedName>
    <definedName name="Grade_Level" localSheetId="17">'2941'!#REF!</definedName>
    <definedName name="Grade_Level" localSheetId="18">'3083'!#REF!</definedName>
    <definedName name="Grade_Level" localSheetId="19">'3345'!#REF!</definedName>
    <definedName name="Grade_Level" localSheetId="20">'3362'!#REF!</definedName>
    <definedName name="Grade_Level" localSheetId="21">'3381'!#REF!</definedName>
    <definedName name="Grade_Level" localSheetId="22">'3382'!#REF!</definedName>
    <definedName name="Grade_Level" localSheetId="23">'3391'!#REF!</definedName>
    <definedName name="Grade_Level" localSheetId="24">'3394'!#REF!</definedName>
    <definedName name="Grade_Level" localSheetId="25">'3395'!#REF!</definedName>
    <definedName name="Grade_Level" localSheetId="26">'3396'!#REF!</definedName>
    <definedName name="Grade_Level" localSheetId="27">'3398'!#REF!</definedName>
    <definedName name="Grade_Level" localSheetId="28">'3400'!#REF!</definedName>
    <definedName name="Grade_Level" localSheetId="29">'3401'!#REF!</definedName>
    <definedName name="Grade_Level" localSheetId="30">'3413'!#REF!</definedName>
    <definedName name="Grade_Level" localSheetId="31">'3421'!#REF!</definedName>
    <definedName name="Grade_Level" localSheetId="32">'3431'!#REF!</definedName>
    <definedName name="Grade_Level" localSheetId="33">'3441'!#REF!</definedName>
    <definedName name="Grade_Level" localSheetId="34">'3924'!#REF!</definedName>
    <definedName name="Grade_Level" localSheetId="35">'3941'!#REF!</definedName>
    <definedName name="Grade_Level" localSheetId="36">'3961'!#REF!</definedName>
    <definedName name="Grade_Level" localSheetId="37">'3971'!#REF!</definedName>
    <definedName name="Grade_Level" localSheetId="38">'4001'!#REF!</definedName>
    <definedName name="Grade_Level" localSheetId="39">'4002'!#REF!</definedName>
    <definedName name="Grade_Level" localSheetId="40">'4012'!#REF!</definedName>
    <definedName name="Grade_Level" localSheetId="41">'4013'!#REF!</definedName>
    <definedName name="Grade_Level" localSheetId="42">'4020'!#REF!</definedName>
    <definedName name="Grade_Level" localSheetId="43">'4030'!#REF!</definedName>
    <definedName name="Grade_Level" localSheetId="44">'4031'!#REF!</definedName>
    <definedName name="Grade_Level" localSheetId="45">'4041'!#REF!</definedName>
    <definedName name="Grade_Level" localSheetId="46">'4050'!#REF!</definedName>
    <definedName name="Grade_Level" localSheetId="47">'4051'!#REF!</definedName>
    <definedName name="Grade_Level" localSheetId="48">'4061'!#REF!</definedName>
    <definedName name="Grade_Level" localSheetId="49">'4080'!#REF!</definedName>
    <definedName name="Grade_Level" localSheetId="50">'4081'!#REF!</definedName>
    <definedName name="Grade_Level" localSheetId="51">'4090'!#REF!</definedName>
    <definedName name="Grade_Level" localSheetId="52">'4091'!#REF!</definedName>
    <definedName name="Grade_Level" localSheetId="53">'4100'!#REF!</definedName>
    <definedName name="Grade_Level" localSheetId="54">'4102'!#REF!</definedName>
    <definedName name="Grade_Level" localSheetId="55">'4103'!#REF!</definedName>
    <definedName name="Grade_Level" localSheetId="56">'4111'!#REF!</definedName>
    <definedName name="Grade_Level" localSheetId="57">'4131'!#REF!</definedName>
    <definedName name="Grade_Level" localSheetId="58">'4141'!#REF!</definedName>
    <definedName name="Guarantee_Per_Student" localSheetId="9">'0100'!#REF!</definedName>
    <definedName name="Guarantee_Per_Student" localSheetId="8">'0571'!#REF!</definedName>
    <definedName name="Guarantee_Per_Student" localSheetId="10">'1461'!#REF!</definedName>
    <definedName name="Guarantee_Per_Student" localSheetId="11">'1571'!#REF!</definedName>
    <definedName name="Guarantee_Per_Student" localSheetId="12">'2521'!#REF!</definedName>
    <definedName name="Guarantee_Per_Student" localSheetId="13">'2531'!#REF!</definedName>
    <definedName name="Guarantee_Per_Student" localSheetId="14">'2791'!#REF!</definedName>
    <definedName name="Guarantee_Per_Student" localSheetId="15">'2801'!#REF!</definedName>
    <definedName name="Guarantee_Per_Student" localSheetId="16">'2911'!#REF!</definedName>
    <definedName name="Guarantee_Per_Student" localSheetId="17">'2941'!#REF!</definedName>
    <definedName name="Guarantee_Per_Student" localSheetId="18">'3083'!#REF!</definedName>
    <definedName name="Guarantee_Per_Student" localSheetId="19">'3345'!#REF!</definedName>
    <definedName name="Guarantee_Per_Student" localSheetId="20">'3362'!#REF!</definedName>
    <definedName name="Guarantee_Per_Student" localSheetId="21">'3381'!#REF!</definedName>
    <definedName name="Guarantee_Per_Student" localSheetId="22">'3382'!#REF!</definedName>
    <definedName name="Guarantee_Per_Student" localSheetId="23">'3391'!#REF!</definedName>
    <definedName name="Guarantee_Per_Student" localSheetId="24">'3394'!#REF!</definedName>
    <definedName name="Guarantee_Per_Student" localSheetId="25">'3395'!#REF!</definedName>
    <definedName name="Guarantee_Per_Student" localSheetId="26">'3396'!#REF!</definedName>
    <definedName name="Guarantee_Per_Student" localSheetId="27">'3398'!#REF!</definedName>
    <definedName name="Guarantee_Per_Student" localSheetId="28">'3400'!#REF!</definedName>
    <definedName name="Guarantee_Per_Student" localSheetId="29">'3401'!#REF!</definedName>
    <definedName name="Guarantee_Per_Student" localSheetId="30">'3413'!#REF!</definedName>
    <definedName name="Guarantee_Per_Student" localSheetId="31">'3421'!#REF!</definedName>
    <definedName name="Guarantee_Per_Student" localSheetId="32">'3431'!#REF!</definedName>
    <definedName name="Guarantee_Per_Student" localSheetId="33">'3441'!#REF!</definedName>
    <definedName name="Guarantee_Per_Student" localSheetId="34">'3924'!#REF!</definedName>
    <definedName name="Guarantee_Per_Student" localSheetId="35">'3941'!#REF!</definedName>
    <definedName name="Guarantee_Per_Student" localSheetId="36">'3961'!#REF!</definedName>
    <definedName name="Guarantee_Per_Student" localSheetId="37">'3971'!#REF!</definedName>
    <definedName name="Guarantee_Per_Student" localSheetId="38">'4001'!#REF!</definedName>
    <definedName name="Guarantee_Per_Student" localSheetId="39">'4002'!#REF!</definedName>
    <definedName name="Guarantee_Per_Student" localSheetId="40">'4012'!#REF!</definedName>
    <definedName name="Guarantee_Per_Student" localSheetId="41">'4013'!#REF!</definedName>
    <definedName name="Guarantee_Per_Student" localSheetId="42">'4020'!#REF!</definedName>
    <definedName name="Guarantee_Per_Student" localSheetId="43">'4030'!#REF!</definedName>
    <definedName name="Guarantee_Per_Student" localSheetId="44">'4031'!#REF!</definedName>
    <definedName name="Guarantee_Per_Student" localSheetId="45">'4041'!#REF!</definedName>
    <definedName name="Guarantee_Per_Student" localSheetId="46">'4050'!#REF!</definedName>
    <definedName name="Guarantee_Per_Student" localSheetId="47">'4051'!#REF!</definedName>
    <definedName name="Guarantee_Per_Student" localSheetId="48">'4061'!#REF!</definedName>
    <definedName name="Guarantee_Per_Student" localSheetId="49">'4080'!#REF!</definedName>
    <definedName name="Guarantee_Per_Student" localSheetId="50">'4081'!#REF!</definedName>
    <definedName name="Guarantee_Per_Student" localSheetId="51">'4090'!#REF!</definedName>
    <definedName name="Guarantee_Per_Student" localSheetId="52">'4091'!#REF!</definedName>
    <definedName name="Guarantee_Per_Student" localSheetId="53">'4100'!#REF!</definedName>
    <definedName name="Guarantee_Per_Student" localSheetId="54">'4102'!#REF!</definedName>
    <definedName name="Guarantee_Per_Student" localSheetId="55">'4103'!#REF!</definedName>
    <definedName name="Guarantee_Per_Student" localSheetId="56">'4111'!#REF!</definedName>
    <definedName name="Guarantee_Per_Student" localSheetId="57">'4131'!#REF!</definedName>
    <definedName name="Guarantee_Per_Student" localSheetId="58">'4141'!#REF!</definedName>
    <definedName name="HTML_CodePage" hidden="1">1252</definedName>
    <definedName name="HTML_Control" localSheetId="2" hidden="1">{"'AssumptionsHTML'!$B$9:$E$357","'SummationHTML'!$A$4:$J$93","'Difference'!$A$11:$K$101","'DifferenceFTE'!$A$11:$K$101","'Detail1'!$A$11:$I$97","'Detail2'!$A$11:$J$97","'Detail3'!$A$11:$J$97","'Categorical1'!$A$11:$L$97"}</definedName>
    <definedName name="HTML_Control" localSheetId="3" hidden="1">{"'AssumptionsHTML'!$B$9:$E$357","'SummationHTML'!$A$4:$J$93","'Difference'!$A$11:$K$101","'DifferenceFTE'!$A$11:$K$101","'Detail1'!$A$11:$I$97","'Detail2'!$A$11:$J$97","'Detail3'!$A$11:$J$97","'Categorical1'!$A$11:$L$97"}</definedName>
    <definedName name="HTML_Control" localSheetId="5" hidden="1">{"'AssumptionsHTML'!$B$9:$E$357","'SummationHTML'!$A$4:$J$93","'Difference'!$A$11:$K$101","'DifferenceFTE'!$A$11:$K$101","'Detail1'!$A$11:$I$97","'Detail2'!$A$11:$J$97","'Detail3'!$A$11:$J$97","'Categorical1'!$A$11:$L$97"}</definedName>
    <definedName name="HTML_Control" localSheetId="4" hidden="1">{"'AssumptionsHTML'!$B$9:$E$357","'SummationHTML'!$A$4:$J$93","'Difference'!$A$11:$K$101","'DifferenceFTE'!$A$11:$K$101","'Detail1'!$A$11:$I$97","'Detail2'!$A$11:$J$97","'Detail3'!$A$11:$J$97","'Categorical1'!$A$11:$L$97"}</definedName>
    <definedName name="HTML_Control" localSheetId="1" hidden="1">{"'AssumptionsHTML'!$B$9:$E$357","'SummationHTML'!$A$4:$J$93","'Difference'!$A$11:$K$101","'DifferenceFTE'!$A$11:$K$101","'Detail1'!$A$11:$I$97","'Detail2'!$A$11:$J$97","'Detail3'!$A$11:$J$97","'Categorical1'!$A$11:$L$97"}</definedName>
    <definedName name="HTML_Control" localSheetId="0" hidden="1">{"'AssumptionsHTML'!$B$9:$E$357","'SummationHTML'!$A$4:$J$93","'Difference'!$A$11:$K$101","'DifferenceFTE'!$A$11:$K$101","'Detail1'!$A$11:$I$97","'Detail2'!$A$11:$J$97","'Detail3'!$A$11:$J$97","'Categorical1'!$A$11:$L$97"}</definedName>
    <definedName name="HTML_Control" hidden="1">{"'AssumptionsHTML'!$B$9:$E$357","'SummationHTML'!$A$4:$J$93","'Difference'!$A$11:$K$101","'DifferenceFTE'!$A$11:$K$101","'Detail1'!$A$11:$I$97","'Detail2'!$A$11:$J$97","'Detail3'!$A$11:$J$97","'Categorical1'!$A$11:$L$97"}</definedName>
    <definedName name="HTML_Description" hidden="1">""</definedName>
    <definedName name="HTML_Email" hidden="1">""</definedName>
    <definedName name="HTML_Header" hidden="1">""</definedName>
    <definedName name="HTML_LastUpdate" hidden="1">"9/4/97"</definedName>
    <definedName name="HTML_LineAfter" hidden="1">FALSE</definedName>
    <definedName name="HTML_LineBefore" hidden="1">FALSE</definedName>
    <definedName name="HTML_Name" hidden="1">"David Montford"</definedName>
    <definedName name="HTML_OBDlg2" hidden="1">TRUE</definedName>
    <definedName name="HTML_OBDlg4" hidden="1">TRUE</definedName>
    <definedName name="HTML_OS" hidden="1">0</definedName>
    <definedName name="HTML_PathFile" hidden="1">"H:\XLFILES\test.htm"</definedName>
    <definedName name="HTML_Title" hidden="1">""</definedName>
    <definedName name="Matrix_Level" localSheetId="9">'0100'!#REF!</definedName>
    <definedName name="Matrix_Level" localSheetId="8">'0571'!#REF!</definedName>
    <definedName name="Matrix_Level" localSheetId="10">'1461'!#REF!</definedName>
    <definedName name="Matrix_Level" localSheetId="11">'1571'!#REF!</definedName>
    <definedName name="Matrix_Level" localSheetId="12">'2521'!#REF!</definedName>
    <definedName name="Matrix_Level" localSheetId="13">'2531'!#REF!</definedName>
    <definedName name="Matrix_Level" localSheetId="14">'2791'!#REF!</definedName>
    <definedName name="Matrix_Level" localSheetId="15">'2801'!#REF!</definedName>
    <definedName name="Matrix_Level" localSheetId="16">'2911'!#REF!</definedName>
    <definedName name="Matrix_Level" localSheetId="17">'2941'!#REF!</definedName>
    <definedName name="Matrix_Level" localSheetId="18">'3083'!#REF!</definedName>
    <definedName name="Matrix_Level" localSheetId="19">'3345'!#REF!</definedName>
    <definedName name="Matrix_Level" localSheetId="20">'3362'!#REF!</definedName>
    <definedName name="Matrix_Level" localSheetId="21">'3381'!#REF!</definedName>
    <definedName name="Matrix_Level" localSheetId="22">'3382'!#REF!</definedName>
    <definedName name="Matrix_Level" localSheetId="23">'3391'!#REF!</definedName>
    <definedName name="Matrix_Level" localSheetId="24">'3394'!#REF!</definedName>
    <definedName name="Matrix_Level" localSheetId="25">'3395'!#REF!</definedName>
    <definedName name="Matrix_Level" localSheetId="26">'3396'!#REF!</definedName>
    <definedName name="Matrix_Level" localSheetId="27">'3398'!#REF!</definedName>
    <definedName name="Matrix_Level" localSheetId="28">'3400'!#REF!</definedName>
    <definedName name="Matrix_Level" localSheetId="29">'3401'!#REF!</definedName>
    <definedName name="Matrix_Level" localSheetId="30">'3413'!#REF!</definedName>
    <definedName name="Matrix_Level" localSheetId="31">'3421'!#REF!</definedName>
    <definedName name="Matrix_Level" localSheetId="32">'3431'!#REF!</definedName>
    <definedName name="Matrix_Level" localSheetId="33">'3441'!#REF!</definedName>
    <definedName name="Matrix_Level" localSheetId="34">'3924'!#REF!</definedName>
    <definedName name="Matrix_Level" localSheetId="35">'3941'!#REF!</definedName>
    <definedName name="Matrix_Level" localSheetId="36">'3961'!#REF!</definedName>
    <definedName name="Matrix_Level" localSheetId="37">'3971'!#REF!</definedName>
    <definedName name="Matrix_Level" localSheetId="38">'4001'!#REF!</definedName>
    <definedName name="Matrix_Level" localSheetId="39">'4002'!#REF!</definedName>
    <definedName name="Matrix_Level" localSheetId="40">'4012'!#REF!</definedName>
    <definedName name="Matrix_Level" localSheetId="41">'4013'!#REF!</definedName>
    <definedName name="Matrix_Level" localSheetId="42">'4020'!#REF!</definedName>
    <definedName name="Matrix_Level" localSheetId="43">'4030'!#REF!</definedName>
    <definedName name="Matrix_Level" localSheetId="44">'4031'!#REF!</definedName>
    <definedName name="Matrix_Level" localSheetId="45">'4041'!#REF!</definedName>
    <definedName name="Matrix_Level" localSheetId="46">'4050'!#REF!</definedName>
    <definedName name="Matrix_Level" localSheetId="47">'4051'!#REF!</definedName>
    <definedName name="Matrix_Level" localSheetId="48">'4061'!#REF!</definedName>
    <definedName name="Matrix_Level" localSheetId="49">'4080'!#REF!</definedName>
    <definedName name="Matrix_Level" localSheetId="50">'4081'!#REF!</definedName>
    <definedName name="Matrix_Level" localSheetId="51">'4090'!#REF!</definedName>
    <definedName name="Matrix_Level" localSheetId="52">'4091'!#REF!</definedName>
    <definedName name="Matrix_Level" localSheetId="53">'4100'!#REF!</definedName>
    <definedName name="Matrix_Level" localSheetId="54">'4102'!#REF!</definedName>
    <definedName name="Matrix_Level" localSheetId="55">'4103'!#REF!</definedName>
    <definedName name="Matrix_Level" localSheetId="56">'4111'!#REF!</definedName>
    <definedName name="Matrix_Level" localSheetId="57">'4131'!#REF!</definedName>
    <definedName name="Matrix_Level" localSheetId="58">'4141'!#REF!</definedName>
    <definedName name="Number_of_FTE" localSheetId="9">'0100'!$E$10</definedName>
    <definedName name="Number_of_FTE" localSheetId="8">'0571'!$E$10</definedName>
    <definedName name="Number_of_FTE" localSheetId="10">'1461'!$E$10</definedName>
    <definedName name="Number_of_FTE" localSheetId="11">'1571'!$E$10</definedName>
    <definedName name="Number_of_FTE" localSheetId="12">'2521'!$E$10</definedName>
    <definedName name="Number_of_FTE" localSheetId="13">'2531'!$E$10</definedName>
    <definedName name="Number_of_FTE" localSheetId="14">'2791'!$E$10</definedName>
    <definedName name="Number_of_FTE" localSheetId="15">'2801'!$E$10</definedName>
    <definedName name="Number_of_FTE" localSheetId="16">'2911'!$E$10</definedName>
    <definedName name="Number_of_FTE" localSheetId="17">'2941'!$E$10</definedName>
    <definedName name="Number_of_FTE" localSheetId="18">'3083'!$E$10</definedName>
    <definedName name="Number_of_FTE" localSheetId="19">'3345'!$E$10</definedName>
    <definedName name="Number_of_FTE" localSheetId="20">'3362'!$E$10</definedName>
    <definedName name="Number_of_FTE" localSheetId="21">'3381'!$E$10</definedName>
    <definedName name="Number_of_FTE" localSheetId="22">'3382'!$E$10</definedName>
    <definedName name="Number_of_FTE" localSheetId="23">'3391'!$E$10</definedName>
    <definedName name="Number_of_FTE" localSheetId="24">'3394'!$E$10</definedName>
    <definedName name="Number_of_FTE" localSheetId="25">'3395'!$E$10</definedName>
    <definedName name="Number_of_FTE" localSheetId="26">'3396'!$E$10</definedName>
    <definedName name="Number_of_FTE" localSheetId="27">'3398'!$E$10</definedName>
    <definedName name="Number_of_FTE" localSheetId="28">'3400'!$E$10</definedName>
    <definedName name="Number_of_FTE" localSheetId="29">'3401'!$E$10</definedName>
    <definedName name="Number_of_FTE" localSheetId="30">'3413'!$E$10</definedName>
    <definedName name="Number_of_FTE" localSheetId="31">'3421'!$E$10</definedName>
    <definedName name="Number_of_FTE" localSheetId="32">'3431'!$E$10</definedName>
    <definedName name="Number_of_FTE" localSheetId="33">'3441'!$E$10</definedName>
    <definedName name="Number_of_FTE" localSheetId="34">'3924'!$E$10</definedName>
    <definedName name="Number_of_FTE" localSheetId="35">'3941'!$E$10</definedName>
    <definedName name="Number_of_FTE" localSheetId="36">'3961'!$E$10</definedName>
    <definedName name="Number_of_FTE" localSheetId="37">'3971'!$E$10</definedName>
    <definedName name="Number_of_FTE" localSheetId="38">'4001'!$E$10</definedName>
    <definedName name="Number_of_FTE" localSheetId="39">'4002'!$E$10</definedName>
    <definedName name="Number_of_FTE" localSheetId="40">'4012'!$E$10</definedName>
    <definedName name="Number_of_FTE" localSheetId="41">'4013'!$E$10</definedName>
    <definedName name="Number_of_FTE" localSheetId="42">'4020'!$E$10</definedName>
    <definedName name="Number_of_FTE" localSheetId="43">'4030'!$E$10</definedName>
    <definedName name="Number_of_FTE" localSheetId="44">'4031'!$E$10</definedName>
    <definedName name="Number_of_FTE" localSheetId="45">'4041'!$E$10</definedName>
    <definedName name="Number_of_FTE" localSheetId="46">'4050'!$E$10</definedName>
    <definedName name="Number_of_FTE" localSheetId="47">'4051'!$E$10</definedName>
    <definedName name="Number_of_FTE" localSheetId="48">'4061'!$E$10</definedName>
    <definedName name="Number_of_FTE" localSheetId="49">'4080'!$E$10</definedName>
    <definedName name="Number_of_FTE" localSheetId="50">'4081'!$E$10</definedName>
    <definedName name="Number_of_FTE" localSheetId="51">'4090'!$E$10</definedName>
    <definedName name="Number_of_FTE" localSheetId="52">'4091'!$E$10</definedName>
    <definedName name="Number_of_FTE" localSheetId="53">'4100'!$E$10</definedName>
    <definedName name="Number_of_FTE" localSheetId="54">'4102'!$E$10</definedName>
    <definedName name="Number_of_FTE" localSheetId="55">'4103'!$E$10</definedName>
    <definedName name="Number_of_FTE" localSheetId="56">'4111'!$E$10</definedName>
    <definedName name="Number_of_FTE" localSheetId="57">'4131'!$E$10</definedName>
    <definedName name="Number_of_FTE" localSheetId="58">'4141'!$E$10</definedName>
    <definedName name="Number_of_FTE">'0040'!$E$10</definedName>
    <definedName name="Per_Student" localSheetId="9">'0100'!#REF!</definedName>
    <definedName name="Per_Student" localSheetId="8">'0571'!#REF!</definedName>
    <definedName name="Per_Student" localSheetId="10">'1461'!#REF!</definedName>
    <definedName name="Per_Student" localSheetId="11">'1571'!#REF!</definedName>
    <definedName name="Per_Student" localSheetId="12">'2521'!#REF!</definedName>
    <definedName name="Per_Student" localSheetId="13">'2531'!#REF!</definedName>
    <definedName name="Per_Student" localSheetId="14">'2791'!#REF!</definedName>
    <definedName name="Per_Student" localSheetId="15">'2801'!#REF!</definedName>
    <definedName name="Per_Student" localSheetId="16">'2911'!#REF!</definedName>
    <definedName name="Per_Student" localSheetId="17">'2941'!#REF!</definedName>
    <definedName name="Per_Student" localSheetId="18">'3083'!#REF!</definedName>
    <definedName name="Per_Student" localSheetId="19">'3345'!#REF!</definedName>
    <definedName name="Per_Student" localSheetId="20">'3362'!#REF!</definedName>
    <definedName name="Per_Student" localSheetId="21">'3381'!#REF!</definedName>
    <definedName name="Per_Student" localSheetId="22">'3382'!#REF!</definedName>
    <definedName name="Per_Student" localSheetId="23">'3391'!#REF!</definedName>
    <definedName name="Per_Student" localSheetId="24">'3394'!#REF!</definedName>
    <definedName name="Per_Student" localSheetId="25">'3395'!#REF!</definedName>
    <definedName name="Per_Student" localSheetId="26">'3396'!#REF!</definedName>
    <definedName name="Per_Student" localSheetId="27">'3398'!#REF!</definedName>
    <definedName name="Per_Student" localSheetId="28">'3400'!#REF!</definedName>
    <definedName name="Per_Student" localSheetId="29">'3401'!#REF!</definedName>
    <definedName name="Per_Student" localSheetId="30">'3413'!#REF!</definedName>
    <definedName name="Per_Student" localSheetId="31">'3421'!#REF!</definedName>
    <definedName name="Per_Student" localSheetId="32">'3431'!#REF!</definedName>
    <definedName name="Per_Student" localSheetId="33">'3441'!#REF!</definedName>
    <definedName name="Per_Student" localSheetId="34">'3924'!#REF!</definedName>
    <definedName name="Per_Student" localSheetId="35">'3941'!#REF!</definedName>
    <definedName name="Per_Student" localSheetId="36">'3961'!#REF!</definedName>
    <definedName name="Per_Student" localSheetId="37">'3971'!#REF!</definedName>
    <definedName name="Per_Student" localSheetId="38">'4001'!#REF!</definedName>
    <definedName name="Per_Student" localSheetId="39">'4002'!#REF!</definedName>
    <definedName name="Per_Student" localSheetId="40">'4012'!#REF!</definedName>
    <definedName name="Per_Student" localSheetId="41">'4013'!#REF!</definedName>
    <definedName name="Per_Student" localSheetId="42">'4020'!#REF!</definedName>
    <definedName name="Per_Student" localSheetId="43">'4030'!#REF!</definedName>
    <definedName name="Per_Student" localSheetId="44">'4031'!#REF!</definedName>
    <definedName name="Per_Student" localSheetId="45">'4041'!#REF!</definedName>
    <definedName name="Per_Student" localSheetId="46">'4050'!#REF!</definedName>
    <definedName name="Per_Student" localSheetId="47">'4051'!#REF!</definedName>
    <definedName name="Per_Student" localSheetId="48">'4061'!#REF!</definedName>
    <definedName name="Per_Student" localSheetId="49">'4080'!#REF!</definedName>
    <definedName name="Per_Student" localSheetId="50">'4081'!#REF!</definedName>
    <definedName name="Per_Student" localSheetId="51">'4090'!#REF!</definedName>
    <definedName name="Per_Student" localSheetId="52">'4091'!#REF!</definedName>
    <definedName name="Per_Student" localSheetId="53">'4100'!#REF!</definedName>
    <definedName name="Per_Student" localSheetId="54">'4102'!#REF!</definedName>
    <definedName name="Per_Student" localSheetId="55">'4103'!#REF!</definedName>
    <definedName name="Per_Student" localSheetId="56">'4111'!#REF!</definedName>
    <definedName name="Per_Student" localSheetId="57">'4131'!#REF!</definedName>
    <definedName name="Per_Student" localSheetId="58">'4141'!#REF!</definedName>
    <definedName name="PK___3" localSheetId="9">'0100'!$A$90</definedName>
    <definedName name="PK___3" localSheetId="8">'0571'!$A$90</definedName>
    <definedName name="PK___3" localSheetId="10">'1461'!$A$90</definedName>
    <definedName name="PK___3" localSheetId="11">'1571'!$A$90</definedName>
    <definedName name="PK___3" localSheetId="12">'2521'!$A$90</definedName>
    <definedName name="PK___3" localSheetId="13">'2531'!$A$90</definedName>
    <definedName name="PK___3" localSheetId="14">'2791'!$A$90</definedName>
    <definedName name="PK___3" localSheetId="15">'2801'!$A$90</definedName>
    <definedName name="PK___3" localSheetId="16">'2911'!$A$90</definedName>
    <definedName name="PK___3" localSheetId="17">'2941'!$A$90</definedName>
    <definedName name="PK___3" localSheetId="18">'3083'!$A$90</definedName>
    <definedName name="PK___3" localSheetId="19">'3345'!$A$90</definedName>
    <definedName name="PK___3" localSheetId="20">'3362'!$A$90</definedName>
    <definedName name="PK___3" localSheetId="21">'3381'!$A$90</definedName>
    <definedName name="PK___3" localSheetId="22">'3382'!$A$90</definedName>
    <definedName name="PK___3" localSheetId="23">'3391'!$A$90</definedName>
    <definedName name="PK___3" localSheetId="24">'3394'!$A$90</definedName>
    <definedName name="PK___3" localSheetId="25">'3395'!$A$90</definedName>
    <definedName name="PK___3" localSheetId="26">'3396'!$A$90</definedName>
    <definedName name="PK___3" localSheetId="27">'3398'!$A$90</definedName>
    <definedName name="PK___3" localSheetId="28">'3400'!$A$90</definedName>
    <definedName name="PK___3" localSheetId="29">'3401'!$A$90</definedName>
    <definedName name="PK___3" localSheetId="30">'3413'!$A$90</definedName>
    <definedName name="PK___3" localSheetId="31">'3421'!$A$90</definedName>
    <definedName name="PK___3" localSheetId="32">'3431'!$A$90</definedName>
    <definedName name="PK___3" localSheetId="33">'3441'!$A$90</definedName>
    <definedName name="PK___3" localSheetId="34">'3924'!$A$90</definedName>
    <definedName name="PK___3" localSheetId="35">'3941'!$A$90</definedName>
    <definedName name="PK___3" localSheetId="36">'3961'!$A$90</definedName>
    <definedName name="PK___3" localSheetId="37">'3971'!$A$90</definedName>
    <definedName name="PK___3" localSheetId="38">'4001'!$A$90</definedName>
    <definedName name="PK___3" localSheetId="39">'4002'!$A$90</definedName>
    <definedName name="PK___3" localSheetId="40">'4012'!$A$90</definedName>
    <definedName name="PK___3" localSheetId="41">'4013'!$A$90</definedName>
    <definedName name="PK___3" localSheetId="42">'4020'!$A$90</definedName>
    <definedName name="PK___3" localSheetId="43">'4030'!$A$90</definedName>
    <definedName name="PK___3" localSheetId="44">'4031'!$A$90</definedName>
    <definedName name="PK___3" localSheetId="45">'4041'!$A$90</definedName>
    <definedName name="PK___3" localSheetId="46">'4050'!$A$90</definedName>
    <definedName name="PK___3" localSheetId="47">'4051'!$A$90</definedName>
    <definedName name="PK___3" localSheetId="48">'4061'!$A$90</definedName>
    <definedName name="PK___3" localSheetId="49">'4080'!$A$90</definedName>
    <definedName name="PK___3" localSheetId="50">'4081'!$A$90</definedName>
    <definedName name="PK___3" localSheetId="51">'4090'!$A$90</definedName>
    <definedName name="PK___3" localSheetId="52">'4091'!$A$90</definedName>
    <definedName name="PK___3" localSheetId="53">'4100'!$A$90</definedName>
    <definedName name="PK___3" localSheetId="54">'4102'!$A$90</definedName>
    <definedName name="PK___3" localSheetId="55">'4103'!$A$90</definedName>
    <definedName name="PK___3" localSheetId="56">'4111'!$A$90</definedName>
    <definedName name="PK___3" localSheetId="57">'4131'!$A$90</definedName>
    <definedName name="PK___3" localSheetId="58">'4141'!$A$90</definedName>
    <definedName name="PK___3">'0040'!$A$90</definedName>
    <definedName name="PRACTICE" localSheetId="7" hidden="1">{#N/A,#N/A,FALSE,"Summation";#N/A,#N/A,FALSE,"BSA";#N/A,#N/A,FALSE,"Detail1";#N/A,#N/A,FALSE,"Detail2";#N/A,#N/A,FALSE,"Detail3";#N/A,#N/A,FALSE,"WFTE_Summary";#N/A,#N/A,FALSE,"Funded_WFTE";#N/A,#N/A,FALSE,"PYADJ96"}</definedName>
    <definedName name="PRACTICE" localSheetId="9" hidden="1">{#N/A,#N/A,FALSE,"Summation";#N/A,#N/A,FALSE,"BSA";#N/A,#N/A,FALSE,"Detail1";#N/A,#N/A,FALSE,"Detail2";#N/A,#N/A,FALSE,"Detail3";#N/A,#N/A,FALSE,"WFTE_Summary";#N/A,#N/A,FALSE,"Funded_WFTE";#N/A,#N/A,FALSE,"PYADJ96"}</definedName>
    <definedName name="PRACTICE" localSheetId="8" hidden="1">{#N/A,#N/A,FALSE,"Summation";#N/A,#N/A,FALSE,"BSA";#N/A,#N/A,FALSE,"Detail1";#N/A,#N/A,FALSE,"Detail2";#N/A,#N/A,FALSE,"Detail3";#N/A,#N/A,FALSE,"WFTE_Summary";#N/A,#N/A,FALSE,"Funded_WFTE";#N/A,#N/A,FALSE,"PYADJ96"}</definedName>
    <definedName name="PRACTICE" localSheetId="10" hidden="1">{#N/A,#N/A,FALSE,"Summation";#N/A,#N/A,FALSE,"BSA";#N/A,#N/A,FALSE,"Detail1";#N/A,#N/A,FALSE,"Detail2";#N/A,#N/A,FALSE,"Detail3";#N/A,#N/A,FALSE,"WFTE_Summary";#N/A,#N/A,FALSE,"Funded_WFTE";#N/A,#N/A,FALSE,"PYADJ96"}</definedName>
    <definedName name="PRACTICE" localSheetId="11" hidden="1">{#N/A,#N/A,FALSE,"Summation";#N/A,#N/A,FALSE,"BSA";#N/A,#N/A,FALSE,"Detail1";#N/A,#N/A,FALSE,"Detail2";#N/A,#N/A,FALSE,"Detail3";#N/A,#N/A,FALSE,"WFTE_Summary";#N/A,#N/A,FALSE,"Funded_WFTE";#N/A,#N/A,FALSE,"PYADJ96"}</definedName>
    <definedName name="PRACTICE" localSheetId="12" hidden="1">{#N/A,#N/A,FALSE,"Summation";#N/A,#N/A,FALSE,"BSA";#N/A,#N/A,FALSE,"Detail1";#N/A,#N/A,FALSE,"Detail2";#N/A,#N/A,FALSE,"Detail3";#N/A,#N/A,FALSE,"WFTE_Summary";#N/A,#N/A,FALSE,"Funded_WFTE";#N/A,#N/A,FALSE,"PYADJ96"}</definedName>
    <definedName name="PRACTICE" localSheetId="13" hidden="1">{#N/A,#N/A,FALSE,"Summation";#N/A,#N/A,FALSE,"BSA";#N/A,#N/A,FALSE,"Detail1";#N/A,#N/A,FALSE,"Detail2";#N/A,#N/A,FALSE,"Detail3";#N/A,#N/A,FALSE,"WFTE_Summary";#N/A,#N/A,FALSE,"Funded_WFTE";#N/A,#N/A,FALSE,"PYADJ96"}</definedName>
    <definedName name="PRACTICE" localSheetId="14" hidden="1">{#N/A,#N/A,FALSE,"Summation";#N/A,#N/A,FALSE,"BSA";#N/A,#N/A,FALSE,"Detail1";#N/A,#N/A,FALSE,"Detail2";#N/A,#N/A,FALSE,"Detail3";#N/A,#N/A,FALSE,"WFTE_Summary";#N/A,#N/A,FALSE,"Funded_WFTE";#N/A,#N/A,FALSE,"PYADJ96"}</definedName>
    <definedName name="PRACTICE" localSheetId="15" hidden="1">{#N/A,#N/A,FALSE,"Summation";#N/A,#N/A,FALSE,"BSA";#N/A,#N/A,FALSE,"Detail1";#N/A,#N/A,FALSE,"Detail2";#N/A,#N/A,FALSE,"Detail3";#N/A,#N/A,FALSE,"WFTE_Summary";#N/A,#N/A,FALSE,"Funded_WFTE";#N/A,#N/A,FALSE,"PYADJ96"}</definedName>
    <definedName name="PRACTICE" localSheetId="16" hidden="1">{#N/A,#N/A,FALSE,"Summation";#N/A,#N/A,FALSE,"BSA";#N/A,#N/A,FALSE,"Detail1";#N/A,#N/A,FALSE,"Detail2";#N/A,#N/A,FALSE,"Detail3";#N/A,#N/A,FALSE,"WFTE_Summary";#N/A,#N/A,FALSE,"Funded_WFTE";#N/A,#N/A,FALSE,"PYADJ96"}</definedName>
    <definedName name="PRACTICE" localSheetId="17" hidden="1">{#N/A,#N/A,FALSE,"Summation";#N/A,#N/A,FALSE,"BSA";#N/A,#N/A,FALSE,"Detail1";#N/A,#N/A,FALSE,"Detail2";#N/A,#N/A,FALSE,"Detail3";#N/A,#N/A,FALSE,"WFTE_Summary";#N/A,#N/A,FALSE,"Funded_WFTE";#N/A,#N/A,FALSE,"PYADJ96"}</definedName>
    <definedName name="PRACTICE" localSheetId="18" hidden="1">{#N/A,#N/A,FALSE,"Summation";#N/A,#N/A,FALSE,"BSA";#N/A,#N/A,FALSE,"Detail1";#N/A,#N/A,FALSE,"Detail2";#N/A,#N/A,FALSE,"Detail3";#N/A,#N/A,FALSE,"WFTE_Summary";#N/A,#N/A,FALSE,"Funded_WFTE";#N/A,#N/A,FALSE,"PYADJ96"}</definedName>
    <definedName name="PRACTICE" localSheetId="19" hidden="1">{#N/A,#N/A,FALSE,"Summation";#N/A,#N/A,FALSE,"BSA";#N/A,#N/A,FALSE,"Detail1";#N/A,#N/A,FALSE,"Detail2";#N/A,#N/A,FALSE,"Detail3";#N/A,#N/A,FALSE,"WFTE_Summary";#N/A,#N/A,FALSE,"Funded_WFTE";#N/A,#N/A,FALSE,"PYADJ96"}</definedName>
    <definedName name="PRACTICE" localSheetId="20" hidden="1">{#N/A,#N/A,FALSE,"Summation";#N/A,#N/A,FALSE,"BSA";#N/A,#N/A,FALSE,"Detail1";#N/A,#N/A,FALSE,"Detail2";#N/A,#N/A,FALSE,"Detail3";#N/A,#N/A,FALSE,"WFTE_Summary";#N/A,#N/A,FALSE,"Funded_WFTE";#N/A,#N/A,FALSE,"PYADJ96"}</definedName>
    <definedName name="PRACTICE" localSheetId="21" hidden="1">{#N/A,#N/A,FALSE,"Summation";#N/A,#N/A,FALSE,"BSA";#N/A,#N/A,FALSE,"Detail1";#N/A,#N/A,FALSE,"Detail2";#N/A,#N/A,FALSE,"Detail3";#N/A,#N/A,FALSE,"WFTE_Summary";#N/A,#N/A,FALSE,"Funded_WFTE";#N/A,#N/A,FALSE,"PYADJ96"}</definedName>
    <definedName name="PRACTICE" localSheetId="22" hidden="1">{#N/A,#N/A,FALSE,"Summation";#N/A,#N/A,FALSE,"BSA";#N/A,#N/A,FALSE,"Detail1";#N/A,#N/A,FALSE,"Detail2";#N/A,#N/A,FALSE,"Detail3";#N/A,#N/A,FALSE,"WFTE_Summary";#N/A,#N/A,FALSE,"Funded_WFTE";#N/A,#N/A,FALSE,"PYADJ96"}</definedName>
    <definedName name="PRACTICE" localSheetId="23" hidden="1">{#N/A,#N/A,FALSE,"Summation";#N/A,#N/A,FALSE,"BSA";#N/A,#N/A,FALSE,"Detail1";#N/A,#N/A,FALSE,"Detail2";#N/A,#N/A,FALSE,"Detail3";#N/A,#N/A,FALSE,"WFTE_Summary";#N/A,#N/A,FALSE,"Funded_WFTE";#N/A,#N/A,FALSE,"PYADJ96"}</definedName>
    <definedName name="PRACTICE" localSheetId="24" hidden="1">{#N/A,#N/A,FALSE,"Summation";#N/A,#N/A,FALSE,"BSA";#N/A,#N/A,FALSE,"Detail1";#N/A,#N/A,FALSE,"Detail2";#N/A,#N/A,FALSE,"Detail3";#N/A,#N/A,FALSE,"WFTE_Summary";#N/A,#N/A,FALSE,"Funded_WFTE";#N/A,#N/A,FALSE,"PYADJ96"}</definedName>
    <definedName name="PRACTICE" localSheetId="25" hidden="1">{#N/A,#N/A,FALSE,"Summation";#N/A,#N/A,FALSE,"BSA";#N/A,#N/A,FALSE,"Detail1";#N/A,#N/A,FALSE,"Detail2";#N/A,#N/A,FALSE,"Detail3";#N/A,#N/A,FALSE,"WFTE_Summary";#N/A,#N/A,FALSE,"Funded_WFTE";#N/A,#N/A,FALSE,"PYADJ96"}</definedName>
    <definedName name="PRACTICE" localSheetId="26" hidden="1">{#N/A,#N/A,FALSE,"Summation";#N/A,#N/A,FALSE,"BSA";#N/A,#N/A,FALSE,"Detail1";#N/A,#N/A,FALSE,"Detail2";#N/A,#N/A,FALSE,"Detail3";#N/A,#N/A,FALSE,"WFTE_Summary";#N/A,#N/A,FALSE,"Funded_WFTE";#N/A,#N/A,FALSE,"PYADJ96"}</definedName>
    <definedName name="PRACTICE" localSheetId="27" hidden="1">{#N/A,#N/A,FALSE,"Summation";#N/A,#N/A,FALSE,"BSA";#N/A,#N/A,FALSE,"Detail1";#N/A,#N/A,FALSE,"Detail2";#N/A,#N/A,FALSE,"Detail3";#N/A,#N/A,FALSE,"WFTE_Summary";#N/A,#N/A,FALSE,"Funded_WFTE";#N/A,#N/A,FALSE,"PYADJ96"}</definedName>
    <definedName name="PRACTICE" localSheetId="28" hidden="1">{#N/A,#N/A,FALSE,"Summation";#N/A,#N/A,FALSE,"BSA";#N/A,#N/A,FALSE,"Detail1";#N/A,#N/A,FALSE,"Detail2";#N/A,#N/A,FALSE,"Detail3";#N/A,#N/A,FALSE,"WFTE_Summary";#N/A,#N/A,FALSE,"Funded_WFTE";#N/A,#N/A,FALSE,"PYADJ96"}</definedName>
    <definedName name="PRACTICE" localSheetId="29" hidden="1">{#N/A,#N/A,FALSE,"Summation";#N/A,#N/A,FALSE,"BSA";#N/A,#N/A,FALSE,"Detail1";#N/A,#N/A,FALSE,"Detail2";#N/A,#N/A,FALSE,"Detail3";#N/A,#N/A,FALSE,"WFTE_Summary";#N/A,#N/A,FALSE,"Funded_WFTE";#N/A,#N/A,FALSE,"PYADJ96"}</definedName>
    <definedName name="PRACTICE" localSheetId="30" hidden="1">{#N/A,#N/A,FALSE,"Summation";#N/A,#N/A,FALSE,"BSA";#N/A,#N/A,FALSE,"Detail1";#N/A,#N/A,FALSE,"Detail2";#N/A,#N/A,FALSE,"Detail3";#N/A,#N/A,FALSE,"WFTE_Summary";#N/A,#N/A,FALSE,"Funded_WFTE";#N/A,#N/A,FALSE,"PYADJ96"}</definedName>
    <definedName name="PRACTICE" localSheetId="31" hidden="1">{#N/A,#N/A,FALSE,"Summation";#N/A,#N/A,FALSE,"BSA";#N/A,#N/A,FALSE,"Detail1";#N/A,#N/A,FALSE,"Detail2";#N/A,#N/A,FALSE,"Detail3";#N/A,#N/A,FALSE,"WFTE_Summary";#N/A,#N/A,FALSE,"Funded_WFTE";#N/A,#N/A,FALSE,"PYADJ96"}</definedName>
    <definedName name="PRACTICE" localSheetId="32" hidden="1">{#N/A,#N/A,FALSE,"Summation";#N/A,#N/A,FALSE,"BSA";#N/A,#N/A,FALSE,"Detail1";#N/A,#N/A,FALSE,"Detail2";#N/A,#N/A,FALSE,"Detail3";#N/A,#N/A,FALSE,"WFTE_Summary";#N/A,#N/A,FALSE,"Funded_WFTE";#N/A,#N/A,FALSE,"PYADJ96"}</definedName>
    <definedName name="PRACTICE" localSheetId="33" hidden="1">{#N/A,#N/A,FALSE,"Summation";#N/A,#N/A,FALSE,"BSA";#N/A,#N/A,FALSE,"Detail1";#N/A,#N/A,FALSE,"Detail2";#N/A,#N/A,FALSE,"Detail3";#N/A,#N/A,FALSE,"WFTE_Summary";#N/A,#N/A,FALSE,"Funded_WFTE";#N/A,#N/A,FALSE,"PYADJ96"}</definedName>
    <definedName name="PRACTICE" localSheetId="34" hidden="1">{#N/A,#N/A,FALSE,"Summation";#N/A,#N/A,FALSE,"BSA";#N/A,#N/A,FALSE,"Detail1";#N/A,#N/A,FALSE,"Detail2";#N/A,#N/A,FALSE,"Detail3";#N/A,#N/A,FALSE,"WFTE_Summary";#N/A,#N/A,FALSE,"Funded_WFTE";#N/A,#N/A,FALSE,"PYADJ96"}</definedName>
    <definedName name="PRACTICE" localSheetId="35" hidden="1">{#N/A,#N/A,FALSE,"Summation";#N/A,#N/A,FALSE,"BSA";#N/A,#N/A,FALSE,"Detail1";#N/A,#N/A,FALSE,"Detail2";#N/A,#N/A,FALSE,"Detail3";#N/A,#N/A,FALSE,"WFTE_Summary";#N/A,#N/A,FALSE,"Funded_WFTE";#N/A,#N/A,FALSE,"PYADJ96"}</definedName>
    <definedName name="PRACTICE" localSheetId="36" hidden="1">{#N/A,#N/A,FALSE,"Summation";#N/A,#N/A,FALSE,"BSA";#N/A,#N/A,FALSE,"Detail1";#N/A,#N/A,FALSE,"Detail2";#N/A,#N/A,FALSE,"Detail3";#N/A,#N/A,FALSE,"WFTE_Summary";#N/A,#N/A,FALSE,"Funded_WFTE";#N/A,#N/A,FALSE,"PYADJ96"}</definedName>
    <definedName name="PRACTICE" localSheetId="37" hidden="1">{#N/A,#N/A,FALSE,"Summation";#N/A,#N/A,FALSE,"BSA";#N/A,#N/A,FALSE,"Detail1";#N/A,#N/A,FALSE,"Detail2";#N/A,#N/A,FALSE,"Detail3";#N/A,#N/A,FALSE,"WFTE_Summary";#N/A,#N/A,FALSE,"Funded_WFTE";#N/A,#N/A,FALSE,"PYADJ96"}</definedName>
    <definedName name="PRACTICE" localSheetId="38" hidden="1">{#N/A,#N/A,FALSE,"Summation";#N/A,#N/A,FALSE,"BSA";#N/A,#N/A,FALSE,"Detail1";#N/A,#N/A,FALSE,"Detail2";#N/A,#N/A,FALSE,"Detail3";#N/A,#N/A,FALSE,"WFTE_Summary";#N/A,#N/A,FALSE,"Funded_WFTE";#N/A,#N/A,FALSE,"PYADJ96"}</definedName>
    <definedName name="PRACTICE" localSheetId="39" hidden="1">{#N/A,#N/A,FALSE,"Summation";#N/A,#N/A,FALSE,"BSA";#N/A,#N/A,FALSE,"Detail1";#N/A,#N/A,FALSE,"Detail2";#N/A,#N/A,FALSE,"Detail3";#N/A,#N/A,FALSE,"WFTE_Summary";#N/A,#N/A,FALSE,"Funded_WFTE";#N/A,#N/A,FALSE,"PYADJ96"}</definedName>
    <definedName name="PRACTICE" localSheetId="40" hidden="1">{#N/A,#N/A,FALSE,"Summation";#N/A,#N/A,FALSE,"BSA";#N/A,#N/A,FALSE,"Detail1";#N/A,#N/A,FALSE,"Detail2";#N/A,#N/A,FALSE,"Detail3";#N/A,#N/A,FALSE,"WFTE_Summary";#N/A,#N/A,FALSE,"Funded_WFTE";#N/A,#N/A,FALSE,"PYADJ96"}</definedName>
    <definedName name="PRACTICE" localSheetId="41" hidden="1">{#N/A,#N/A,FALSE,"Summation";#N/A,#N/A,FALSE,"BSA";#N/A,#N/A,FALSE,"Detail1";#N/A,#N/A,FALSE,"Detail2";#N/A,#N/A,FALSE,"Detail3";#N/A,#N/A,FALSE,"WFTE_Summary";#N/A,#N/A,FALSE,"Funded_WFTE";#N/A,#N/A,FALSE,"PYADJ96"}</definedName>
    <definedName name="PRACTICE" localSheetId="42" hidden="1">{#N/A,#N/A,FALSE,"Summation";#N/A,#N/A,FALSE,"BSA";#N/A,#N/A,FALSE,"Detail1";#N/A,#N/A,FALSE,"Detail2";#N/A,#N/A,FALSE,"Detail3";#N/A,#N/A,FALSE,"WFTE_Summary";#N/A,#N/A,FALSE,"Funded_WFTE";#N/A,#N/A,FALSE,"PYADJ96"}</definedName>
    <definedName name="PRACTICE" localSheetId="43" hidden="1">{#N/A,#N/A,FALSE,"Summation";#N/A,#N/A,FALSE,"BSA";#N/A,#N/A,FALSE,"Detail1";#N/A,#N/A,FALSE,"Detail2";#N/A,#N/A,FALSE,"Detail3";#N/A,#N/A,FALSE,"WFTE_Summary";#N/A,#N/A,FALSE,"Funded_WFTE";#N/A,#N/A,FALSE,"PYADJ96"}</definedName>
    <definedName name="PRACTICE" localSheetId="44" hidden="1">{#N/A,#N/A,FALSE,"Summation";#N/A,#N/A,FALSE,"BSA";#N/A,#N/A,FALSE,"Detail1";#N/A,#N/A,FALSE,"Detail2";#N/A,#N/A,FALSE,"Detail3";#N/A,#N/A,FALSE,"WFTE_Summary";#N/A,#N/A,FALSE,"Funded_WFTE";#N/A,#N/A,FALSE,"PYADJ96"}</definedName>
    <definedName name="PRACTICE" localSheetId="45" hidden="1">{#N/A,#N/A,FALSE,"Summation";#N/A,#N/A,FALSE,"BSA";#N/A,#N/A,FALSE,"Detail1";#N/A,#N/A,FALSE,"Detail2";#N/A,#N/A,FALSE,"Detail3";#N/A,#N/A,FALSE,"WFTE_Summary";#N/A,#N/A,FALSE,"Funded_WFTE";#N/A,#N/A,FALSE,"PYADJ96"}</definedName>
    <definedName name="PRACTICE" localSheetId="46" hidden="1">{#N/A,#N/A,FALSE,"Summation";#N/A,#N/A,FALSE,"BSA";#N/A,#N/A,FALSE,"Detail1";#N/A,#N/A,FALSE,"Detail2";#N/A,#N/A,FALSE,"Detail3";#N/A,#N/A,FALSE,"WFTE_Summary";#N/A,#N/A,FALSE,"Funded_WFTE";#N/A,#N/A,FALSE,"PYADJ96"}</definedName>
    <definedName name="PRACTICE" localSheetId="47" hidden="1">{#N/A,#N/A,FALSE,"Summation";#N/A,#N/A,FALSE,"BSA";#N/A,#N/A,FALSE,"Detail1";#N/A,#N/A,FALSE,"Detail2";#N/A,#N/A,FALSE,"Detail3";#N/A,#N/A,FALSE,"WFTE_Summary";#N/A,#N/A,FALSE,"Funded_WFTE";#N/A,#N/A,FALSE,"PYADJ96"}</definedName>
    <definedName name="PRACTICE" localSheetId="48" hidden="1">{#N/A,#N/A,FALSE,"Summation";#N/A,#N/A,FALSE,"BSA";#N/A,#N/A,FALSE,"Detail1";#N/A,#N/A,FALSE,"Detail2";#N/A,#N/A,FALSE,"Detail3";#N/A,#N/A,FALSE,"WFTE_Summary";#N/A,#N/A,FALSE,"Funded_WFTE";#N/A,#N/A,FALSE,"PYADJ96"}</definedName>
    <definedName name="PRACTICE" localSheetId="49" hidden="1">{#N/A,#N/A,FALSE,"Summation";#N/A,#N/A,FALSE,"BSA";#N/A,#N/A,FALSE,"Detail1";#N/A,#N/A,FALSE,"Detail2";#N/A,#N/A,FALSE,"Detail3";#N/A,#N/A,FALSE,"WFTE_Summary";#N/A,#N/A,FALSE,"Funded_WFTE";#N/A,#N/A,FALSE,"PYADJ96"}</definedName>
    <definedName name="PRACTICE" localSheetId="50" hidden="1">{#N/A,#N/A,FALSE,"Summation";#N/A,#N/A,FALSE,"BSA";#N/A,#N/A,FALSE,"Detail1";#N/A,#N/A,FALSE,"Detail2";#N/A,#N/A,FALSE,"Detail3";#N/A,#N/A,FALSE,"WFTE_Summary";#N/A,#N/A,FALSE,"Funded_WFTE";#N/A,#N/A,FALSE,"PYADJ96"}</definedName>
    <definedName name="PRACTICE" localSheetId="51" hidden="1">{#N/A,#N/A,FALSE,"Summation";#N/A,#N/A,FALSE,"BSA";#N/A,#N/A,FALSE,"Detail1";#N/A,#N/A,FALSE,"Detail2";#N/A,#N/A,FALSE,"Detail3";#N/A,#N/A,FALSE,"WFTE_Summary";#N/A,#N/A,FALSE,"Funded_WFTE";#N/A,#N/A,FALSE,"PYADJ96"}</definedName>
    <definedName name="PRACTICE" localSheetId="52" hidden="1">{#N/A,#N/A,FALSE,"Summation";#N/A,#N/A,FALSE,"BSA";#N/A,#N/A,FALSE,"Detail1";#N/A,#N/A,FALSE,"Detail2";#N/A,#N/A,FALSE,"Detail3";#N/A,#N/A,FALSE,"WFTE_Summary";#N/A,#N/A,FALSE,"Funded_WFTE";#N/A,#N/A,FALSE,"PYADJ96"}</definedName>
    <definedName name="PRACTICE" localSheetId="53" hidden="1">{#N/A,#N/A,FALSE,"Summation";#N/A,#N/A,FALSE,"BSA";#N/A,#N/A,FALSE,"Detail1";#N/A,#N/A,FALSE,"Detail2";#N/A,#N/A,FALSE,"Detail3";#N/A,#N/A,FALSE,"WFTE_Summary";#N/A,#N/A,FALSE,"Funded_WFTE";#N/A,#N/A,FALSE,"PYADJ96"}</definedName>
    <definedName name="PRACTICE" localSheetId="54" hidden="1">{#N/A,#N/A,FALSE,"Summation";#N/A,#N/A,FALSE,"BSA";#N/A,#N/A,FALSE,"Detail1";#N/A,#N/A,FALSE,"Detail2";#N/A,#N/A,FALSE,"Detail3";#N/A,#N/A,FALSE,"WFTE_Summary";#N/A,#N/A,FALSE,"Funded_WFTE";#N/A,#N/A,FALSE,"PYADJ96"}</definedName>
    <definedName name="PRACTICE" localSheetId="55" hidden="1">{#N/A,#N/A,FALSE,"Summation";#N/A,#N/A,FALSE,"BSA";#N/A,#N/A,FALSE,"Detail1";#N/A,#N/A,FALSE,"Detail2";#N/A,#N/A,FALSE,"Detail3";#N/A,#N/A,FALSE,"WFTE_Summary";#N/A,#N/A,FALSE,"Funded_WFTE";#N/A,#N/A,FALSE,"PYADJ96"}</definedName>
    <definedName name="PRACTICE" localSheetId="56" hidden="1">{#N/A,#N/A,FALSE,"Summation";#N/A,#N/A,FALSE,"BSA";#N/A,#N/A,FALSE,"Detail1";#N/A,#N/A,FALSE,"Detail2";#N/A,#N/A,FALSE,"Detail3";#N/A,#N/A,FALSE,"WFTE_Summary";#N/A,#N/A,FALSE,"Funded_WFTE";#N/A,#N/A,FALSE,"PYADJ96"}</definedName>
    <definedName name="PRACTICE" localSheetId="57" hidden="1">{#N/A,#N/A,FALSE,"Summation";#N/A,#N/A,FALSE,"BSA";#N/A,#N/A,FALSE,"Detail1";#N/A,#N/A,FALSE,"Detail2";#N/A,#N/A,FALSE,"Detail3";#N/A,#N/A,FALSE,"WFTE_Summary";#N/A,#N/A,FALSE,"Funded_WFTE";#N/A,#N/A,FALSE,"PYADJ96"}</definedName>
    <definedName name="PRACTICE" localSheetId="58" hidden="1">{#N/A,#N/A,FALSE,"Summation";#N/A,#N/A,FALSE,"BSA";#N/A,#N/A,FALSE,"Detail1";#N/A,#N/A,FALSE,"Detail2";#N/A,#N/A,FALSE,"Detail3";#N/A,#N/A,FALSE,"WFTE_Summary";#N/A,#N/A,FALSE,"Funded_WFTE";#N/A,#N/A,FALSE,"PYADJ96"}</definedName>
    <definedName name="PRACTICE" localSheetId="2" hidden="1">{#N/A,#N/A,FALSE,"Summation";#N/A,#N/A,FALSE,"BSA";#N/A,#N/A,FALSE,"Detail1";#N/A,#N/A,FALSE,"Detail2";#N/A,#N/A,FALSE,"Detail3";#N/A,#N/A,FALSE,"WFTE_Summary";#N/A,#N/A,FALSE,"Funded_WFTE";#N/A,#N/A,FALSE,"PYADJ96"}</definedName>
    <definedName name="PRACTICE" localSheetId="3" hidden="1">{#N/A,#N/A,FALSE,"Summation";#N/A,#N/A,FALSE,"BSA";#N/A,#N/A,FALSE,"Detail1";#N/A,#N/A,FALSE,"Detail2";#N/A,#N/A,FALSE,"Detail3";#N/A,#N/A,FALSE,"WFTE_Summary";#N/A,#N/A,FALSE,"Funded_WFTE";#N/A,#N/A,FALSE,"PYADJ96"}</definedName>
    <definedName name="PRACTICE" localSheetId="5" hidden="1">{#N/A,#N/A,FALSE,"Summation";#N/A,#N/A,FALSE,"BSA";#N/A,#N/A,FALSE,"Detail1";#N/A,#N/A,FALSE,"Detail2";#N/A,#N/A,FALSE,"Detail3";#N/A,#N/A,FALSE,"WFTE_Summary";#N/A,#N/A,FALSE,"Funded_WFTE";#N/A,#N/A,FALSE,"PYADJ96"}</definedName>
    <definedName name="PRACTICE" localSheetId="4" hidden="1">{#N/A,#N/A,FALSE,"Summation";#N/A,#N/A,FALSE,"BSA";#N/A,#N/A,FALSE,"Detail1";#N/A,#N/A,FALSE,"Detail2";#N/A,#N/A,FALSE,"Detail3";#N/A,#N/A,FALSE,"WFTE_Summary";#N/A,#N/A,FALSE,"Funded_WFTE";#N/A,#N/A,FALSE,"PYADJ96"}</definedName>
    <definedName name="PRACTICE" localSheetId="1" hidden="1">{#N/A,#N/A,FALSE,"Summation";#N/A,#N/A,FALSE,"BSA";#N/A,#N/A,FALSE,"Detail1";#N/A,#N/A,FALSE,"Detail2";#N/A,#N/A,FALSE,"Detail3";#N/A,#N/A,FALSE,"WFTE_Summary";#N/A,#N/A,FALSE,"Funded_WFTE";#N/A,#N/A,FALSE,"PYADJ96"}</definedName>
    <definedName name="PRACTICE" localSheetId="0" hidden="1">{#N/A,#N/A,FALSE,"Summation";#N/A,#N/A,FALSE,"BSA";#N/A,#N/A,FALSE,"Detail1";#N/A,#N/A,FALSE,"Detail2";#N/A,#N/A,FALSE,"Detail3";#N/A,#N/A,FALSE,"WFTE_Summary";#N/A,#N/A,FALSE,"Funded_WFTE";#N/A,#N/A,FALSE,"PYADJ96"}</definedName>
    <definedName name="PRACTICE" hidden="1">{#N/A,#N/A,FALSE,"Summation";#N/A,#N/A,FALSE,"BSA";#N/A,#N/A,FALSE,"Detail1";#N/A,#N/A,FALSE,"Detail2";#N/A,#N/A,FALSE,"Detail3";#N/A,#N/A,FALSE,"WFTE_Summary";#N/A,#N/A,FALSE,"Funded_WFTE";#N/A,#N/A,FALSE,"PYADJ96"}</definedName>
    <definedName name="PRACTOCE" localSheetId="7" hidden="1">{#N/A,#N/A,FALSE,"Summation";#N/A,#N/A,FALSE,"BSA";#N/A,#N/A,FALSE,"Detail1";#N/A,#N/A,FALSE,"Detail2";#N/A,#N/A,FALSE,"Detail3";#N/A,#N/A,FALSE,"WFTE_Summary";#N/A,#N/A,FALSE,"Funded_WFTE";#N/A,#N/A,FALSE,"PYADJ96"}</definedName>
    <definedName name="PRACTOCE" localSheetId="9" hidden="1">{#N/A,#N/A,FALSE,"Summation";#N/A,#N/A,FALSE,"BSA";#N/A,#N/A,FALSE,"Detail1";#N/A,#N/A,FALSE,"Detail2";#N/A,#N/A,FALSE,"Detail3";#N/A,#N/A,FALSE,"WFTE_Summary";#N/A,#N/A,FALSE,"Funded_WFTE";#N/A,#N/A,FALSE,"PYADJ96"}</definedName>
    <definedName name="PRACTOCE" localSheetId="8" hidden="1">{#N/A,#N/A,FALSE,"Summation";#N/A,#N/A,FALSE,"BSA";#N/A,#N/A,FALSE,"Detail1";#N/A,#N/A,FALSE,"Detail2";#N/A,#N/A,FALSE,"Detail3";#N/A,#N/A,FALSE,"WFTE_Summary";#N/A,#N/A,FALSE,"Funded_WFTE";#N/A,#N/A,FALSE,"PYADJ96"}</definedName>
    <definedName name="PRACTOCE" localSheetId="10" hidden="1">{#N/A,#N/A,FALSE,"Summation";#N/A,#N/A,FALSE,"BSA";#N/A,#N/A,FALSE,"Detail1";#N/A,#N/A,FALSE,"Detail2";#N/A,#N/A,FALSE,"Detail3";#N/A,#N/A,FALSE,"WFTE_Summary";#N/A,#N/A,FALSE,"Funded_WFTE";#N/A,#N/A,FALSE,"PYADJ96"}</definedName>
    <definedName name="PRACTOCE" localSheetId="11" hidden="1">{#N/A,#N/A,FALSE,"Summation";#N/A,#N/A,FALSE,"BSA";#N/A,#N/A,FALSE,"Detail1";#N/A,#N/A,FALSE,"Detail2";#N/A,#N/A,FALSE,"Detail3";#N/A,#N/A,FALSE,"WFTE_Summary";#N/A,#N/A,FALSE,"Funded_WFTE";#N/A,#N/A,FALSE,"PYADJ96"}</definedName>
    <definedName name="PRACTOCE" localSheetId="12" hidden="1">{#N/A,#N/A,FALSE,"Summation";#N/A,#N/A,FALSE,"BSA";#N/A,#N/A,FALSE,"Detail1";#N/A,#N/A,FALSE,"Detail2";#N/A,#N/A,FALSE,"Detail3";#N/A,#N/A,FALSE,"WFTE_Summary";#N/A,#N/A,FALSE,"Funded_WFTE";#N/A,#N/A,FALSE,"PYADJ96"}</definedName>
    <definedName name="PRACTOCE" localSheetId="13" hidden="1">{#N/A,#N/A,FALSE,"Summation";#N/A,#N/A,FALSE,"BSA";#N/A,#N/A,FALSE,"Detail1";#N/A,#N/A,FALSE,"Detail2";#N/A,#N/A,FALSE,"Detail3";#N/A,#N/A,FALSE,"WFTE_Summary";#N/A,#N/A,FALSE,"Funded_WFTE";#N/A,#N/A,FALSE,"PYADJ96"}</definedName>
    <definedName name="PRACTOCE" localSheetId="14" hidden="1">{#N/A,#N/A,FALSE,"Summation";#N/A,#N/A,FALSE,"BSA";#N/A,#N/A,FALSE,"Detail1";#N/A,#N/A,FALSE,"Detail2";#N/A,#N/A,FALSE,"Detail3";#N/A,#N/A,FALSE,"WFTE_Summary";#N/A,#N/A,FALSE,"Funded_WFTE";#N/A,#N/A,FALSE,"PYADJ96"}</definedName>
    <definedName name="PRACTOCE" localSheetId="15" hidden="1">{#N/A,#N/A,FALSE,"Summation";#N/A,#N/A,FALSE,"BSA";#N/A,#N/A,FALSE,"Detail1";#N/A,#N/A,FALSE,"Detail2";#N/A,#N/A,FALSE,"Detail3";#N/A,#N/A,FALSE,"WFTE_Summary";#N/A,#N/A,FALSE,"Funded_WFTE";#N/A,#N/A,FALSE,"PYADJ96"}</definedName>
    <definedName name="PRACTOCE" localSheetId="16" hidden="1">{#N/A,#N/A,FALSE,"Summation";#N/A,#N/A,FALSE,"BSA";#N/A,#N/A,FALSE,"Detail1";#N/A,#N/A,FALSE,"Detail2";#N/A,#N/A,FALSE,"Detail3";#N/A,#N/A,FALSE,"WFTE_Summary";#N/A,#N/A,FALSE,"Funded_WFTE";#N/A,#N/A,FALSE,"PYADJ96"}</definedName>
    <definedName name="PRACTOCE" localSheetId="17" hidden="1">{#N/A,#N/A,FALSE,"Summation";#N/A,#N/A,FALSE,"BSA";#N/A,#N/A,FALSE,"Detail1";#N/A,#N/A,FALSE,"Detail2";#N/A,#N/A,FALSE,"Detail3";#N/A,#N/A,FALSE,"WFTE_Summary";#N/A,#N/A,FALSE,"Funded_WFTE";#N/A,#N/A,FALSE,"PYADJ96"}</definedName>
    <definedName name="PRACTOCE" localSheetId="18" hidden="1">{#N/A,#N/A,FALSE,"Summation";#N/A,#N/A,FALSE,"BSA";#N/A,#N/A,FALSE,"Detail1";#N/A,#N/A,FALSE,"Detail2";#N/A,#N/A,FALSE,"Detail3";#N/A,#N/A,FALSE,"WFTE_Summary";#N/A,#N/A,FALSE,"Funded_WFTE";#N/A,#N/A,FALSE,"PYADJ96"}</definedName>
    <definedName name="PRACTOCE" localSheetId="19" hidden="1">{#N/A,#N/A,FALSE,"Summation";#N/A,#N/A,FALSE,"BSA";#N/A,#N/A,FALSE,"Detail1";#N/A,#N/A,FALSE,"Detail2";#N/A,#N/A,FALSE,"Detail3";#N/A,#N/A,FALSE,"WFTE_Summary";#N/A,#N/A,FALSE,"Funded_WFTE";#N/A,#N/A,FALSE,"PYADJ96"}</definedName>
    <definedName name="PRACTOCE" localSheetId="20" hidden="1">{#N/A,#N/A,FALSE,"Summation";#N/A,#N/A,FALSE,"BSA";#N/A,#N/A,FALSE,"Detail1";#N/A,#N/A,FALSE,"Detail2";#N/A,#N/A,FALSE,"Detail3";#N/A,#N/A,FALSE,"WFTE_Summary";#N/A,#N/A,FALSE,"Funded_WFTE";#N/A,#N/A,FALSE,"PYADJ96"}</definedName>
    <definedName name="PRACTOCE" localSheetId="21" hidden="1">{#N/A,#N/A,FALSE,"Summation";#N/A,#N/A,FALSE,"BSA";#N/A,#N/A,FALSE,"Detail1";#N/A,#N/A,FALSE,"Detail2";#N/A,#N/A,FALSE,"Detail3";#N/A,#N/A,FALSE,"WFTE_Summary";#N/A,#N/A,FALSE,"Funded_WFTE";#N/A,#N/A,FALSE,"PYADJ96"}</definedName>
    <definedName name="PRACTOCE" localSheetId="22" hidden="1">{#N/A,#N/A,FALSE,"Summation";#N/A,#N/A,FALSE,"BSA";#N/A,#N/A,FALSE,"Detail1";#N/A,#N/A,FALSE,"Detail2";#N/A,#N/A,FALSE,"Detail3";#N/A,#N/A,FALSE,"WFTE_Summary";#N/A,#N/A,FALSE,"Funded_WFTE";#N/A,#N/A,FALSE,"PYADJ96"}</definedName>
    <definedName name="PRACTOCE" localSheetId="23" hidden="1">{#N/A,#N/A,FALSE,"Summation";#N/A,#N/A,FALSE,"BSA";#N/A,#N/A,FALSE,"Detail1";#N/A,#N/A,FALSE,"Detail2";#N/A,#N/A,FALSE,"Detail3";#N/A,#N/A,FALSE,"WFTE_Summary";#N/A,#N/A,FALSE,"Funded_WFTE";#N/A,#N/A,FALSE,"PYADJ96"}</definedName>
    <definedName name="PRACTOCE" localSheetId="24" hidden="1">{#N/A,#N/A,FALSE,"Summation";#N/A,#N/A,FALSE,"BSA";#N/A,#N/A,FALSE,"Detail1";#N/A,#N/A,FALSE,"Detail2";#N/A,#N/A,FALSE,"Detail3";#N/A,#N/A,FALSE,"WFTE_Summary";#N/A,#N/A,FALSE,"Funded_WFTE";#N/A,#N/A,FALSE,"PYADJ96"}</definedName>
    <definedName name="PRACTOCE" localSheetId="25" hidden="1">{#N/A,#N/A,FALSE,"Summation";#N/A,#N/A,FALSE,"BSA";#N/A,#N/A,FALSE,"Detail1";#N/A,#N/A,FALSE,"Detail2";#N/A,#N/A,FALSE,"Detail3";#N/A,#N/A,FALSE,"WFTE_Summary";#N/A,#N/A,FALSE,"Funded_WFTE";#N/A,#N/A,FALSE,"PYADJ96"}</definedName>
    <definedName name="PRACTOCE" localSheetId="26" hidden="1">{#N/A,#N/A,FALSE,"Summation";#N/A,#N/A,FALSE,"BSA";#N/A,#N/A,FALSE,"Detail1";#N/A,#N/A,FALSE,"Detail2";#N/A,#N/A,FALSE,"Detail3";#N/A,#N/A,FALSE,"WFTE_Summary";#N/A,#N/A,FALSE,"Funded_WFTE";#N/A,#N/A,FALSE,"PYADJ96"}</definedName>
    <definedName name="PRACTOCE" localSheetId="27" hidden="1">{#N/A,#N/A,FALSE,"Summation";#N/A,#N/A,FALSE,"BSA";#N/A,#N/A,FALSE,"Detail1";#N/A,#N/A,FALSE,"Detail2";#N/A,#N/A,FALSE,"Detail3";#N/A,#N/A,FALSE,"WFTE_Summary";#N/A,#N/A,FALSE,"Funded_WFTE";#N/A,#N/A,FALSE,"PYADJ96"}</definedName>
    <definedName name="PRACTOCE" localSheetId="28" hidden="1">{#N/A,#N/A,FALSE,"Summation";#N/A,#N/A,FALSE,"BSA";#N/A,#N/A,FALSE,"Detail1";#N/A,#N/A,FALSE,"Detail2";#N/A,#N/A,FALSE,"Detail3";#N/A,#N/A,FALSE,"WFTE_Summary";#N/A,#N/A,FALSE,"Funded_WFTE";#N/A,#N/A,FALSE,"PYADJ96"}</definedName>
    <definedName name="PRACTOCE" localSheetId="29" hidden="1">{#N/A,#N/A,FALSE,"Summation";#N/A,#N/A,FALSE,"BSA";#N/A,#N/A,FALSE,"Detail1";#N/A,#N/A,FALSE,"Detail2";#N/A,#N/A,FALSE,"Detail3";#N/A,#N/A,FALSE,"WFTE_Summary";#N/A,#N/A,FALSE,"Funded_WFTE";#N/A,#N/A,FALSE,"PYADJ96"}</definedName>
    <definedName name="PRACTOCE" localSheetId="30" hidden="1">{#N/A,#N/A,FALSE,"Summation";#N/A,#N/A,FALSE,"BSA";#N/A,#N/A,FALSE,"Detail1";#N/A,#N/A,FALSE,"Detail2";#N/A,#N/A,FALSE,"Detail3";#N/A,#N/A,FALSE,"WFTE_Summary";#N/A,#N/A,FALSE,"Funded_WFTE";#N/A,#N/A,FALSE,"PYADJ96"}</definedName>
    <definedName name="PRACTOCE" localSheetId="31" hidden="1">{#N/A,#N/A,FALSE,"Summation";#N/A,#N/A,FALSE,"BSA";#N/A,#N/A,FALSE,"Detail1";#N/A,#N/A,FALSE,"Detail2";#N/A,#N/A,FALSE,"Detail3";#N/A,#N/A,FALSE,"WFTE_Summary";#N/A,#N/A,FALSE,"Funded_WFTE";#N/A,#N/A,FALSE,"PYADJ96"}</definedName>
    <definedName name="PRACTOCE" localSheetId="32" hidden="1">{#N/A,#N/A,FALSE,"Summation";#N/A,#N/A,FALSE,"BSA";#N/A,#N/A,FALSE,"Detail1";#N/A,#N/A,FALSE,"Detail2";#N/A,#N/A,FALSE,"Detail3";#N/A,#N/A,FALSE,"WFTE_Summary";#N/A,#N/A,FALSE,"Funded_WFTE";#N/A,#N/A,FALSE,"PYADJ96"}</definedName>
    <definedName name="PRACTOCE" localSheetId="33" hidden="1">{#N/A,#N/A,FALSE,"Summation";#N/A,#N/A,FALSE,"BSA";#N/A,#N/A,FALSE,"Detail1";#N/A,#N/A,FALSE,"Detail2";#N/A,#N/A,FALSE,"Detail3";#N/A,#N/A,FALSE,"WFTE_Summary";#N/A,#N/A,FALSE,"Funded_WFTE";#N/A,#N/A,FALSE,"PYADJ96"}</definedName>
    <definedName name="PRACTOCE" localSheetId="34" hidden="1">{#N/A,#N/A,FALSE,"Summation";#N/A,#N/A,FALSE,"BSA";#N/A,#N/A,FALSE,"Detail1";#N/A,#N/A,FALSE,"Detail2";#N/A,#N/A,FALSE,"Detail3";#N/A,#N/A,FALSE,"WFTE_Summary";#N/A,#N/A,FALSE,"Funded_WFTE";#N/A,#N/A,FALSE,"PYADJ96"}</definedName>
    <definedName name="PRACTOCE" localSheetId="35" hidden="1">{#N/A,#N/A,FALSE,"Summation";#N/A,#N/A,FALSE,"BSA";#N/A,#N/A,FALSE,"Detail1";#N/A,#N/A,FALSE,"Detail2";#N/A,#N/A,FALSE,"Detail3";#N/A,#N/A,FALSE,"WFTE_Summary";#N/A,#N/A,FALSE,"Funded_WFTE";#N/A,#N/A,FALSE,"PYADJ96"}</definedName>
    <definedName name="PRACTOCE" localSheetId="36" hidden="1">{#N/A,#N/A,FALSE,"Summation";#N/A,#N/A,FALSE,"BSA";#N/A,#N/A,FALSE,"Detail1";#N/A,#N/A,FALSE,"Detail2";#N/A,#N/A,FALSE,"Detail3";#N/A,#N/A,FALSE,"WFTE_Summary";#N/A,#N/A,FALSE,"Funded_WFTE";#N/A,#N/A,FALSE,"PYADJ96"}</definedName>
    <definedName name="PRACTOCE" localSheetId="37" hidden="1">{#N/A,#N/A,FALSE,"Summation";#N/A,#N/A,FALSE,"BSA";#N/A,#N/A,FALSE,"Detail1";#N/A,#N/A,FALSE,"Detail2";#N/A,#N/A,FALSE,"Detail3";#N/A,#N/A,FALSE,"WFTE_Summary";#N/A,#N/A,FALSE,"Funded_WFTE";#N/A,#N/A,FALSE,"PYADJ96"}</definedName>
    <definedName name="PRACTOCE" localSheetId="38" hidden="1">{#N/A,#N/A,FALSE,"Summation";#N/A,#N/A,FALSE,"BSA";#N/A,#N/A,FALSE,"Detail1";#N/A,#N/A,FALSE,"Detail2";#N/A,#N/A,FALSE,"Detail3";#N/A,#N/A,FALSE,"WFTE_Summary";#N/A,#N/A,FALSE,"Funded_WFTE";#N/A,#N/A,FALSE,"PYADJ96"}</definedName>
    <definedName name="PRACTOCE" localSheetId="39" hidden="1">{#N/A,#N/A,FALSE,"Summation";#N/A,#N/A,FALSE,"BSA";#N/A,#N/A,FALSE,"Detail1";#N/A,#N/A,FALSE,"Detail2";#N/A,#N/A,FALSE,"Detail3";#N/A,#N/A,FALSE,"WFTE_Summary";#N/A,#N/A,FALSE,"Funded_WFTE";#N/A,#N/A,FALSE,"PYADJ96"}</definedName>
    <definedName name="PRACTOCE" localSheetId="40" hidden="1">{#N/A,#N/A,FALSE,"Summation";#N/A,#N/A,FALSE,"BSA";#N/A,#N/A,FALSE,"Detail1";#N/A,#N/A,FALSE,"Detail2";#N/A,#N/A,FALSE,"Detail3";#N/A,#N/A,FALSE,"WFTE_Summary";#N/A,#N/A,FALSE,"Funded_WFTE";#N/A,#N/A,FALSE,"PYADJ96"}</definedName>
    <definedName name="PRACTOCE" localSheetId="41" hidden="1">{#N/A,#N/A,FALSE,"Summation";#N/A,#N/A,FALSE,"BSA";#N/A,#N/A,FALSE,"Detail1";#N/A,#N/A,FALSE,"Detail2";#N/A,#N/A,FALSE,"Detail3";#N/A,#N/A,FALSE,"WFTE_Summary";#N/A,#N/A,FALSE,"Funded_WFTE";#N/A,#N/A,FALSE,"PYADJ96"}</definedName>
    <definedName name="PRACTOCE" localSheetId="42" hidden="1">{#N/A,#N/A,FALSE,"Summation";#N/A,#N/A,FALSE,"BSA";#N/A,#N/A,FALSE,"Detail1";#N/A,#N/A,FALSE,"Detail2";#N/A,#N/A,FALSE,"Detail3";#N/A,#N/A,FALSE,"WFTE_Summary";#N/A,#N/A,FALSE,"Funded_WFTE";#N/A,#N/A,FALSE,"PYADJ96"}</definedName>
    <definedName name="PRACTOCE" localSheetId="43" hidden="1">{#N/A,#N/A,FALSE,"Summation";#N/A,#N/A,FALSE,"BSA";#N/A,#N/A,FALSE,"Detail1";#N/A,#N/A,FALSE,"Detail2";#N/A,#N/A,FALSE,"Detail3";#N/A,#N/A,FALSE,"WFTE_Summary";#N/A,#N/A,FALSE,"Funded_WFTE";#N/A,#N/A,FALSE,"PYADJ96"}</definedName>
    <definedName name="PRACTOCE" localSheetId="44" hidden="1">{#N/A,#N/A,FALSE,"Summation";#N/A,#N/A,FALSE,"BSA";#N/A,#N/A,FALSE,"Detail1";#N/A,#N/A,FALSE,"Detail2";#N/A,#N/A,FALSE,"Detail3";#N/A,#N/A,FALSE,"WFTE_Summary";#N/A,#N/A,FALSE,"Funded_WFTE";#N/A,#N/A,FALSE,"PYADJ96"}</definedName>
    <definedName name="PRACTOCE" localSheetId="45" hidden="1">{#N/A,#N/A,FALSE,"Summation";#N/A,#N/A,FALSE,"BSA";#N/A,#N/A,FALSE,"Detail1";#N/A,#N/A,FALSE,"Detail2";#N/A,#N/A,FALSE,"Detail3";#N/A,#N/A,FALSE,"WFTE_Summary";#N/A,#N/A,FALSE,"Funded_WFTE";#N/A,#N/A,FALSE,"PYADJ96"}</definedName>
    <definedName name="PRACTOCE" localSheetId="46" hidden="1">{#N/A,#N/A,FALSE,"Summation";#N/A,#N/A,FALSE,"BSA";#N/A,#N/A,FALSE,"Detail1";#N/A,#N/A,FALSE,"Detail2";#N/A,#N/A,FALSE,"Detail3";#N/A,#N/A,FALSE,"WFTE_Summary";#N/A,#N/A,FALSE,"Funded_WFTE";#N/A,#N/A,FALSE,"PYADJ96"}</definedName>
    <definedName name="PRACTOCE" localSheetId="47" hidden="1">{#N/A,#N/A,FALSE,"Summation";#N/A,#N/A,FALSE,"BSA";#N/A,#N/A,FALSE,"Detail1";#N/A,#N/A,FALSE,"Detail2";#N/A,#N/A,FALSE,"Detail3";#N/A,#N/A,FALSE,"WFTE_Summary";#N/A,#N/A,FALSE,"Funded_WFTE";#N/A,#N/A,FALSE,"PYADJ96"}</definedName>
    <definedName name="PRACTOCE" localSheetId="48" hidden="1">{#N/A,#N/A,FALSE,"Summation";#N/A,#N/A,FALSE,"BSA";#N/A,#N/A,FALSE,"Detail1";#N/A,#N/A,FALSE,"Detail2";#N/A,#N/A,FALSE,"Detail3";#N/A,#N/A,FALSE,"WFTE_Summary";#N/A,#N/A,FALSE,"Funded_WFTE";#N/A,#N/A,FALSE,"PYADJ96"}</definedName>
    <definedName name="PRACTOCE" localSheetId="49" hidden="1">{#N/A,#N/A,FALSE,"Summation";#N/A,#N/A,FALSE,"BSA";#N/A,#N/A,FALSE,"Detail1";#N/A,#N/A,FALSE,"Detail2";#N/A,#N/A,FALSE,"Detail3";#N/A,#N/A,FALSE,"WFTE_Summary";#N/A,#N/A,FALSE,"Funded_WFTE";#N/A,#N/A,FALSE,"PYADJ96"}</definedName>
    <definedName name="PRACTOCE" localSheetId="50" hidden="1">{#N/A,#N/A,FALSE,"Summation";#N/A,#N/A,FALSE,"BSA";#N/A,#N/A,FALSE,"Detail1";#N/A,#N/A,FALSE,"Detail2";#N/A,#N/A,FALSE,"Detail3";#N/A,#N/A,FALSE,"WFTE_Summary";#N/A,#N/A,FALSE,"Funded_WFTE";#N/A,#N/A,FALSE,"PYADJ96"}</definedName>
    <definedName name="PRACTOCE" localSheetId="51" hidden="1">{#N/A,#N/A,FALSE,"Summation";#N/A,#N/A,FALSE,"BSA";#N/A,#N/A,FALSE,"Detail1";#N/A,#N/A,FALSE,"Detail2";#N/A,#N/A,FALSE,"Detail3";#N/A,#N/A,FALSE,"WFTE_Summary";#N/A,#N/A,FALSE,"Funded_WFTE";#N/A,#N/A,FALSE,"PYADJ96"}</definedName>
    <definedName name="PRACTOCE" localSheetId="52" hidden="1">{#N/A,#N/A,FALSE,"Summation";#N/A,#N/A,FALSE,"BSA";#N/A,#N/A,FALSE,"Detail1";#N/A,#N/A,FALSE,"Detail2";#N/A,#N/A,FALSE,"Detail3";#N/A,#N/A,FALSE,"WFTE_Summary";#N/A,#N/A,FALSE,"Funded_WFTE";#N/A,#N/A,FALSE,"PYADJ96"}</definedName>
    <definedName name="PRACTOCE" localSheetId="53" hidden="1">{#N/A,#N/A,FALSE,"Summation";#N/A,#N/A,FALSE,"BSA";#N/A,#N/A,FALSE,"Detail1";#N/A,#N/A,FALSE,"Detail2";#N/A,#N/A,FALSE,"Detail3";#N/A,#N/A,FALSE,"WFTE_Summary";#N/A,#N/A,FALSE,"Funded_WFTE";#N/A,#N/A,FALSE,"PYADJ96"}</definedName>
    <definedName name="PRACTOCE" localSheetId="54" hidden="1">{#N/A,#N/A,FALSE,"Summation";#N/A,#N/A,FALSE,"BSA";#N/A,#N/A,FALSE,"Detail1";#N/A,#N/A,FALSE,"Detail2";#N/A,#N/A,FALSE,"Detail3";#N/A,#N/A,FALSE,"WFTE_Summary";#N/A,#N/A,FALSE,"Funded_WFTE";#N/A,#N/A,FALSE,"PYADJ96"}</definedName>
    <definedName name="PRACTOCE" localSheetId="55" hidden="1">{#N/A,#N/A,FALSE,"Summation";#N/A,#N/A,FALSE,"BSA";#N/A,#N/A,FALSE,"Detail1";#N/A,#N/A,FALSE,"Detail2";#N/A,#N/A,FALSE,"Detail3";#N/A,#N/A,FALSE,"WFTE_Summary";#N/A,#N/A,FALSE,"Funded_WFTE";#N/A,#N/A,FALSE,"PYADJ96"}</definedName>
    <definedName name="PRACTOCE" localSheetId="56" hidden="1">{#N/A,#N/A,FALSE,"Summation";#N/A,#N/A,FALSE,"BSA";#N/A,#N/A,FALSE,"Detail1";#N/A,#N/A,FALSE,"Detail2";#N/A,#N/A,FALSE,"Detail3";#N/A,#N/A,FALSE,"WFTE_Summary";#N/A,#N/A,FALSE,"Funded_WFTE";#N/A,#N/A,FALSE,"PYADJ96"}</definedName>
    <definedName name="PRACTOCE" localSheetId="57" hidden="1">{#N/A,#N/A,FALSE,"Summation";#N/A,#N/A,FALSE,"BSA";#N/A,#N/A,FALSE,"Detail1";#N/A,#N/A,FALSE,"Detail2";#N/A,#N/A,FALSE,"Detail3";#N/A,#N/A,FALSE,"WFTE_Summary";#N/A,#N/A,FALSE,"Funded_WFTE";#N/A,#N/A,FALSE,"PYADJ96"}</definedName>
    <definedName name="PRACTOCE" localSheetId="58" hidden="1">{#N/A,#N/A,FALSE,"Summation";#N/A,#N/A,FALSE,"BSA";#N/A,#N/A,FALSE,"Detail1";#N/A,#N/A,FALSE,"Detail2";#N/A,#N/A,FALSE,"Detail3";#N/A,#N/A,FALSE,"WFTE_Summary";#N/A,#N/A,FALSE,"Funded_WFTE";#N/A,#N/A,FALSE,"PYADJ96"}</definedName>
    <definedName name="PRACTOCE" localSheetId="2" hidden="1">{#N/A,#N/A,FALSE,"Summation";#N/A,#N/A,FALSE,"BSA";#N/A,#N/A,FALSE,"Detail1";#N/A,#N/A,FALSE,"Detail2";#N/A,#N/A,FALSE,"Detail3";#N/A,#N/A,FALSE,"WFTE_Summary";#N/A,#N/A,FALSE,"Funded_WFTE";#N/A,#N/A,FALSE,"PYADJ96"}</definedName>
    <definedName name="PRACTOCE" localSheetId="3" hidden="1">{#N/A,#N/A,FALSE,"Summation";#N/A,#N/A,FALSE,"BSA";#N/A,#N/A,FALSE,"Detail1";#N/A,#N/A,FALSE,"Detail2";#N/A,#N/A,FALSE,"Detail3";#N/A,#N/A,FALSE,"WFTE_Summary";#N/A,#N/A,FALSE,"Funded_WFTE";#N/A,#N/A,FALSE,"PYADJ96"}</definedName>
    <definedName name="PRACTOCE" localSheetId="5" hidden="1">{#N/A,#N/A,FALSE,"Summation";#N/A,#N/A,FALSE,"BSA";#N/A,#N/A,FALSE,"Detail1";#N/A,#N/A,FALSE,"Detail2";#N/A,#N/A,FALSE,"Detail3";#N/A,#N/A,FALSE,"WFTE_Summary";#N/A,#N/A,FALSE,"Funded_WFTE";#N/A,#N/A,FALSE,"PYADJ96"}</definedName>
    <definedName name="PRACTOCE" localSheetId="4" hidden="1">{#N/A,#N/A,FALSE,"Summation";#N/A,#N/A,FALSE,"BSA";#N/A,#N/A,FALSE,"Detail1";#N/A,#N/A,FALSE,"Detail2";#N/A,#N/A,FALSE,"Detail3";#N/A,#N/A,FALSE,"WFTE_Summary";#N/A,#N/A,FALSE,"Funded_WFTE";#N/A,#N/A,FALSE,"PYADJ96"}</definedName>
    <definedName name="PRACTOCE" localSheetId="1" hidden="1">{#N/A,#N/A,FALSE,"Summation";#N/A,#N/A,FALSE,"BSA";#N/A,#N/A,FALSE,"Detail1";#N/A,#N/A,FALSE,"Detail2";#N/A,#N/A,FALSE,"Detail3";#N/A,#N/A,FALSE,"WFTE_Summary";#N/A,#N/A,FALSE,"Funded_WFTE";#N/A,#N/A,FALSE,"PYADJ96"}</definedName>
    <definedName name="PRACTOCE" localSheetId="0" hidden="1">{#N/A,#N/A,FALSE,"Summation";#N/A,#N/A,FALSE,"BSA";#N/A,#N/A,FALSE,"Detail1";#N/A,#N/A,FALSE,"Detail2";#N/A,#N/A,FALSE,"Detail3";#N/A,#N/A,FALSE,"WFTE_Summary";#N/A,#N/A,FALSE,"Funded_WFTE";#N/A,#N/A,FALSE,"PYADJ96"}</definedName>
    <definedName name="PRACTOCE" hidden="1">{#N/A,#N/A,FALSE,"Summation";#N/A,#N/A,FALSE,"BSA";#N/A,#N/A,FALSE,"Detail1";#N/A,#N/A,FALSE,"Detail2";#N/A,#N/A,FALSE,"Detail3";#N/A,#N/A,FALSE,"WFTE_Summary";#N/A,#N/A,FALSE,"Funded_WFTE";#N/A,#N/A,FALSE,"PYADJ96"}</definedName>
    <definedName name="_xlnm.Print_Area" localSheetId="7">'0040'!$A$2:$J$146</definedName>
    <definedName name="_xlnm.Print_Area" localSheetId="9">'0100'!$A$2:$J$146</definedName>
    <definedName name="_xlnm.Print_Area" localSheetId="8">'0571'!$A$2:$J$146</definedName>
    <definedName name="_xlnm.Print_Area" localSheetId="10">'1461'!$A$2:$J$146</definedName>
    <definedName name="_xlnm.Print_Area" localSheetId="11">'1571'!$A$2:$J$146</definedName>
    <definedName name="_xlnm.Print_Area" localSheetId="12">'2521'!$A$2:$J$146</definedName>
    <definedName name="_xlnm.Print_Area" localSheetId="13">'2531'!$A$2:$J$146</definedName>
    <definedName name="_xlnm.Print_Area" localSheetId="14">'2791'!$A$2:$J$146</definedName>
    <definedName name="_xlnm.Print_Area" localSheetId="15">'2801'!$A$2:$J$146</definedName>
    <definedName name="_xlnm.Print_Area" localSheetId="16">'2911'!$A$2:$J$146</definedName>
    <definedName name="_xlnm.Print_Area" localSheetId="17">'2941'!$A$2:$J$146</definedName>
    <definedName name="_xlnm.Print_Area" localSheetId="18">'3083'!$A$2:$J$146</definedName>
    <definedName name="_xlnm.Print_Area" localSheetId="19">'3345'!$A$2:$J$146</definedName>
    <definedName name="_xlnm.Print_Area" localSheetId="20">'3362'!$A$2:$J$146</definedName>
    <definedName name="_xlnm.Print_Area" localSheetId="21">'3381'!$A$2:$J$146</definedName>
    <definedName name="_xlnm.Print_Area" localSheetId="22">'3382'!$A$2:$J$146</definedName>
    <definedName name="_xlnm.Print_Area" localSheetId="23">'3391'!$A$2:$J$146</definedName>
    <definedName name="_xlnm.Print_Area" localSheetId="24">'3394'!$A$2:$J$146</definedName>
    <definedName name="_xlnm.Print_Area" localSheetId="25">'3395'!$A$2:$J$146</definedName>
    <definedName name="_xlnm.Print_Area" localSheetId="26">'3396'!$A$2:$J$146</definedName>
    <definedName name="_xlnm.Print_Area" localSheetId="27">'3398'!$A$2:$J$146</definedName>
    <definedName name="_xlnm.Print_Area" localSheetId="28">'3400'!$A$2:$J$146</definedName>
    <definedName name="_xlnm.Print_Area" localSheetId="29">'3401'!$A$2:$J$146</definedName>
    <definedName name="_xlnm.Print_Area" localSheetId="30">'3413'!$A$2:$J$146</definedName>
    <definedName name="_xlnm.Print_Area" localSheetId="31">'3421'!$A$2:$J$146</definedName>
    <definedName name="_xlnm.Print_Area" localSheetId="32">'3431'!$A$2:$J$146</definedName>
    <definedName name="_xlnm.Print_Area" localSheetId="33">'3441'!$A$2:$J$146</definedName>
    <definedName name="_xlnm.Print_Area" localSheetId="34">'3924'!$A$2:$J$146</definedName>
    <definedName name="_xlnm.Print_Area" localSheetId="35">'3941'!$A$2:$J$146</definedName>
    <definedName name="_xlnm.Print_Area" localSheetId="36">'3961'!$A$2:$J$146</definedName>
    <definedName name="_xlnm.Print_Area" localSheetId="37">'3971'!$A$2:$J$146</definedName>
    <definedName name="_xlnm.Print_Area" localSheetId="38">'4001'!$A$2:$J$146</definedName>
    <definedName name="_xlnm.Print_Area" localSheetId="39">'4002'!$A$2:$J$146</definedName>
    <definedName name="_xlnm.Print_Area" localSheetId="40">'4012'!$A$2:$J$146</definedName>
    <definedName name="_xlnm.Print_Area" localSheetId="41">'4013'!$A$2:$J$146</definedName>
    <definedName name="_xlnm.Print_Area" localSheetId="42">'4020'!$A$2:$J$146</definedName>
    <definedName name="_xlnm.Print_Area" localSheetId="43">'4030'!$A$2:$J$146</definedName>
    <definedName name="_xlnm.Print_Area" localSheetId="44">'4031'!$A$2:$J$146</definedName>
    <definedName name="_xlnm.Print_Area" localSheetId="45">'4041'!$A$2:$J$146</definedName>
    <definedName name="_xlnm.Print_Area" localSheetId="46">'4050'!$A$2:$J$146</definedName>
    <definedName name="_xlnm.Print_Area" localSheetId="47">'4051'!$A$2:$J$146</definedName>
    <definedName name="_xlnm.Print_Area" localSheetId="48">'4061'!$A$2:$J$146</definedName>
    <definedName name="_xlnm.Print_Area" localSheetId="49">'4080'!$A$2:$J$146</definedName>
    <definedName name="_xlnm.Print_Area" localSheetId="50">'4081'!$A$2:$J$146</definedName>
    <definedName name="_xlnm.Print_Area" localSheetId="51">'4090'!$A$2:$J$146</definedName>
    <definedName name="_xlnm.Print_Area" localSheetId="52">'4091'!$A$2:$J$146</definedName>
    <definedName name="_xlnm.Print_Area" localSheetId="53">'4100'!$A$2:$J$146</definedName>
    <definedName name="_xlnm.Print_Area" localSheetId="54">'4102'!$A$2:$J$146</definedName>
    <definedName name="_xlnm.Print_Area" localSheetId="55">'4103'!$A$2:$J$146</definedName>
    <definedName name="_xlnm.Print_Area" localSheetId="56">'4111'!$A$2:$J$146</definedName>
    <definedName name="_xlnm.Print_Area" localSheetId="57">'4131'!$A$2:$J$146</definedName>
    <definedName name="_xlnm.Print_Area" localSheetId="58">'4141'!$A$2:$J$146</definedName>
    <definedName name="_xlnm.Print_Area" localSheetId="5">Consolidated!$A$2:$I$160</definedName>
    <definedName name="_xlnm.Print_Area" localSheetId="1">'Net Payment'!$A$1:$G$537</definedName>
    <definedName name="_xlnm.Print_Titles" localSheetId="1">'Net Payment'!$1:$4</definedName>
    <definedName name="Program" localSheetId="9">'0100'!$A$10</definedName>
    <definedName name="Program" localSheetId="8">'0571'!$A$10</definedName>
    <definedName name="Program" localSheetId="10">'1461'!$A$10</definedName>
    <definedName name="Program" localSheetId="11">'1571'!$A$10</definedName>
    <definedName name="Program" localSheetId="12">'2521'!$A$10</definedName>
    <definedName name="Program" localSheetId="13">'2531'!$A$10</definedName>
    <definedName name="Program" localSheetId="14">'2791'!$A$10</definedName>
    <definedName name="Program" localSheetId="15">'2801'!$A$10</definedName>
    <definedName name="Program" localSheetId="16">'2911'!$A$10</definedName>
    <definedName name="Program" localSheetId="17">'2941'!$A$10</definedName>
    <definedName name="Program" localSheetId="18">'3083'!$A$10</definedName>
    <definedName name="Program" localSheetId="19">'3345'!$A$10</definedName>
    <definedName name="Program" localSheetId="20">'3362'!$A$10</definedName>
    <definedName name="Program" localSheetId="21">'3381'!$A$10</definedName>
    <definedName name="Program" localSheetId="22">'3382'!$A$10</definedName>
    <definedName name="Program" localSheetId="23">'3391'!$A$10</definedName>
    <definedName name="Program" localSheetId="24">'3394'!$A$10</definedName>
    <definedName name="Program" localSheetId="25">'3395'!$A$10</definedName>
    <definedName name="Program" localSheetId="26">'3396'!$A$10</definedName>
    <definedName name="Program" localSheetId="27">'3398'!$A$10</definedName>
    <definedName name="Program" localSheetId="28">'3400'!$A$10</definedName>
    <definedName name="Program" localSheetId="29">'3401'!$A$10</definedName>
    <definedName name="Program" localSheetId="30">'3413'!$A$10</definedName>
    <definedName name="Program" localSheetId="31">'3421'!$A$10</definedName>
    <definedName name="Program" localSheetId="32">'3431'!$A$10</definedName>
    <definedName name="Program" localSheetId="33">'3441'!$A$10</definedName>
    <definedName name="Program" localSheetId="34">'3924'!$A$10</definedName>
    <definedName name="Program" localSheetId="35">'3941'!$A$10</definedName>
    <definedName name="Program" localSheetId="36">'3961'!$A$10</definedName>
    <definedName name="Program" localSheetId="37">'3971'!$A$10</definedName>
    <definedName name="Program" localSheetId="38">'4001'!$A$10</definedName>
    <definedName name="Program" localSheetId="39">'4002'!$A$10</definedName>
    <definedName name="Program" localSheetId="40">'4012'!$A$10</definedName>
    <definedName name="Program" localSheetId="41">'4013'!$A$10</definedName>
    <definedName name="Program" localSheetId="42">'4020'!$A$10</definedName>
    <definedName name="Program" localSheetId="43">'4030'!$A$10</definedName>
    <definedName name="Program" localSheetId="44">'4031'!$A$10</definedName>
    <definedName name="Program" localSheetId="45">'4041'!$A$10</definedName>
    <definedName name="Program" localSheetId="46">'4050'!$A$10</definedName>
    <definedName name="Program" localSheetId="47">'4051'!$A$10</definedName>
    <definedName name="Program" localSheetId="48">'4061'!$A$10</definedName>
    <definedName name="Program" localSheetId="49">'4080'!$A$10</definedName>
    <definedName name="Program" localSheetId="50">'4081'!$A$10</definedName>
    <definedName name="Program" localSheetId="51">'4090'!$A$10</definedName>
    <definedName name="Program" localSheetId="52">'4091'!$A$10</definedName>
    <definedName name="Program" localSheetId="53">'4100'!$A$10</definedName>
    <definedName name="Program" localSheetId="54">'4102'!$A$10</definedName>
    <definedName name="Program" localSheetId="55">'4103'!$A$10</definedName>
    <definedName name="Program" localSheetId="56">'4111'!$A$10</definedName>
    <definedName name="Program" localSheetId="57">'4131'!$A$10</definedName>
    <definedName name="Program" localSheetId="58">'4141'!$A$10</definedName>
    <definedName name="Program">'0040'!$A$10</definedName>
    <definedName name="Program______________________________Cost_Factor" localSheetId="9">'0100'!$G$10</definedName>
    <definedName name="Program______________________________Cost_Factor" localSheetId="8">'0571'!$G$10</definedName>
    <definedName name="Program______________________________Cost_Factor" localSheetId="10">'1461'!$G$10</definedName>
    <definedName name="Program______________________________Cost_Factor" localSheetId="11">'1571'!$G$10</definedName>
    <definedName name="Program______________________________Cost_Factor" localSheetId="12">'2521'!$G$10</definedName>
    <definedName name="Program______________________________Cost_Factor" localSheetId="13">'2531'!$G$10</definedName>
    <definedName name="Program______________________________Cost_Factor" localSheetId="14">'2791'!$G$10</definedName>
    <definedName name="Program______________________________Cost_Factor" localSheetId="15">'2801'!$G$10</definedName>
    <definedName name="Program______________________________Cost_Factor" localSheetId="16">'2911'!$G$10</definedName>
    <definedName name="Program______________________________Cost_Factor" localSheetId="17">'2941'!$G$10</definedName>
    <definedName name="Program______________________________Cost_Factor" localSheetId="18">'3083'!$G$10</definedName>
    <definedName name="Program______________________________Cost_Factor" localSheetId="19">'3345'!$G$10</definedName>
    <definedName name="Program______________________________Cost_Factor" localSheetId="20">'3362'!$G$10</definedName>
    <definedName name="Program______________________________Cost_Factor" localSheetId="21">'3381'!$G$10</definedName>
    <definedName name="Program______________________________Cost_Factor" localSheetId="22">'3382'!$G$10</definedName>
    <definedName name="Program______________________________Cost_Factor" localSheetId="23">'3391'!$G$10</definedName>
    <definedName name="Program______________________________Cost_Factor" localSheetId="24">'3394'!$G$10</definedName>
    <definedName name="Program______________________________Cost_Factor" localSheetId="25">'3395'!$G$10</definedName>
    <definedName name="Program______________________________Cost_Factor" localSheetId="26">'3396'!$G$10</definedName>
    <definedName name="Program______________________________Cost_Factor" localSheetId="27">'3398'!$G$10</definedName>
    <definedName name="Program______________________________Cost_Factor" localSheetId="28">'3400'!$G$10</definedName>
    <definedName name="Program______________________________Cost_Factor" localSheetId="29">'3401'!$G$10</definedName>
    <definedName name="Program______________________________Cost_Factor" localSheetId="30">'3413'!$G$10</definedName>
    <definedName name="Program______________________________Cost_Factor" localSheetId="31">'3421'!$G$10</definedName>
    <definedName name="Program______________________________Cost_Factor" localSheetId="32">'3431'!$G$10</definedName>
    <definedName name="Program______________________________Cost_Factor" localSheetId="33">'3441'!$G$10</definedName>
    <definedName name="Program______________________________Cost_Factor" localSheetId="34">'3924'!$G$10</definedName>
    <definedName name="Program______________________________Cost_Factor" localSheetId="35">'3941'!$G$10</definedName>
    <definedName name="Program______________________________Cost_Factor" localSheetId="36">'3961'!$G$10</definedName>
    <definedName name="Program______________________________Cost_Factor" localSheetId="37">'3971'!$G$10</definedName>
    <definedName name="Program______________________________Cost_Factor" localSheetId="38">'4001'!$G$10</definedName>
    <definedName name="Program______________________________Cost_Factor" localSheetId="39">'4002'!$G$10</definedName>
    <definedName name="Program______________________________Cost_Factor" localSheetId="40">'4012'!$G$10</definedName>
    <definedName name="Program______________________________Cost_Factor" localSheetId="41">'4013'!$G$10</definedName>
    <definedName name="Program______________________________Cost_Factor" localSheetId="42">'4020'!$G$10</definedName>
    <definedName name="Program______________________________Cost_Factor" localSheetId="43">'4030'!$G$10</definedName>
    <definedName name="Program______________________________Cost_Factor" localSheetId="44">'4031'!$G$10</definedName>
    <definedName name="Program______________________________Cost_Factor" localSheetId="45">'4041'!$G$10</definedName>
    <definedName name="Program______________________________Cost_Factor" localSheetId="46">'4050'!$G$10</definedName>
    <definedName name="Program______________________________Cost_Factor" localSheetId="47">'4051'!$G$10</definedName>
    <definedName name="Program______________________________Cost_Factor" localSheetId="48">'4061'!$G$10</definedName>
    <definedName name="Program______________________________Cost_Factor" localSheetId="49">'4080'!$G$10</definedName>
    <definedName name="Program______________________________Cost_Factor" localSheetId="50">'4081'!$G$10</definedName>
    <definedName name="Program______________________________Cost_Factor" localSheetId="51">'4090'!$G$10</definedName>
    <definedName name="Program______________________________Cost_Factor" localSheetId="52">'4091'!$G$10</definedName>
    <definedName name="Program______________________________Cost_Factor" localSheetId="53">'4100'!$G$10</definedName>
    <definedName name="Program______________________________Cost_Factor" localSheetId="54">'4102'!$G$10</definedName>
    <definedName name="Program______________________________Cost_Factor" localSheetId="55">'4103'!$G$10</definedName>
    <definedName name="Program______________________________Cost_Factor" localSheetId="56">'4111'!$G$10</definedName>
    <definedName name="Program______________________________Cost_Factor" localSheetId="57">'4131'!$G$10</definedName>
    <definedName name="Program______________________________Cost_Factor" localSheetId="58">'4141'!$G$10</definedName>
    <definedName name="Program______________________________Cost_Factor">'0040'!$G$10</definedName>
    <definedName name="Revenue_Estimate_Worksheet_for___________Charter_School" localSheetId="9">'0100'!$A$2</definedName>
    <definedName name="Revenue_Estimate_Worksheet_for___________Charter_School" localSheetId="8">'0571'!$A$2</definedName>
    <definedName name="Revenue_Estimate_Worksheet_for___________Charter_School" localSheetId="10">'1461'!$A$2</definedName>
    <definedName name="Revenue_Estimate_Worksheet_for___________Charter_School" localSheetId="11">'1571'!$A$2</definedName>
    <definedName name="Revenue_Estimate_Worksheet_for___________Charter_School" localSheetId="12">'2521'!$A$2</definedName>
    <definedName name="Revenue_Estimate_Worksheet_for___________Charter_School" localSheetId="13">'2531'!$A$2</definedName>
    <definedName name="Revenue_Estimate_Worksheet_for___________Charter_School" localSheetId="14">'2791'!$A$2</definedName>
    <definedName name="Revenue_Estimate_Worksheet_for___________Charter_School" localSheetId="15">'2801'!$A$2</definedName>
    <definedName name="Revenue_Estimate_Worksheet_for___________Charter_School" localSheetId="16">'2911'!$A$2</definedName>
    <definedName name="Revenue_Estimate_Worksheet_for___________Charter_School" localSheetId="17">'2941'!$A$2</definedName>
    <definedName name="Revenue_Estimate_Worksheet_for___________Charter_School" localSheetId="18">'3083'!$A$2</definedName>
    <definedName name="Revenue_Estimate_Worksheet_for___________Charter_School" localSheetId="19">'3345'!$A$2</definedName>
    <definedName name="Revenue_Estimate_Worksheet_for___________Charter_School" localSheetId="20">'3362'!$A$2</definedName>
    <definedName name="Revenue_Estimate_Worksheet_for___________Charter_School" localSheetId="21">'3381'!$A$2</definedName>
    <definedName name="Revenue_Estimate_Worksheet_for___________Charter_School" localSheetId="22">'3382'!$A$2</definedName>
    <definedName name="Revenue_Estimate_Worksheet_for___________Charter_School" localSheetId="23">'3391'!$A$2</definedName>
    <definedName name="Revenue_Estimate_Worksheet_for___________Charter_School" localSheetId="24">'3394'!$A$2</definedName>
    <definedName name="Revenue_Estimate_Worksheet_for___________Charter_School" localSheetId="25">'3395'!$A$2</definedName>
    <definedName name="Revenue_Estimate_Worksheet_for___________Charter_School" localSheetId="26">'3396'!$A$2</definedName>
    <definedName name="Revenue_Estimate_Worksheet_for___________Charter_School" localSheetId="27">'3398'!$A$2</definedName>
    <definedName name="Revenue_Estimate_Worksheet_for___________Charter_School" localSheetId="28">'3400'!$A$2</definedName>
    <definedName name="Revenue_Estimate_Worksheet_for___________Charter_School" localSheetId="29">'3401'!$A$2</definedName>
    <definedName name="Revenue_Estimate_Worksheet_for___________Charter_School" localSheetId="30">'3413'!$A$2</definedName>
    <definedName name="Revenue_Estimate_Worksheet_for___________Charter_School" localSheetId="31">'3421'!$A$2</definedName>
    <definedName name="Revenue_Estimate_Worksheet_for___________Charter_School" localSheetId="32">'3431'!$A$2</definedName>
    <definedName name="Revenue_Estimate_Worksheet_for___________Charter_School" localSheetId="33">'3441'!$A$2</definedName>
    <definedName name="Revenue_Estimate_Worksheet_for___________Charter_School" localSheetId="34">'3924'!$A$2</definedName>
    <definedName name="Revenue_Estimate_Worksheet_for___________Charter_School" localSheetId="35">'3941'!$A$2</definedName>
    <definedName name="Revenue_Estimate_Worksheet_for___________Charter_School" localSheetId="36">'3961'!$A$2</definedName>
    <definedName name="Revenue_Estimate_Worksheet_for___________Charter_School" localSheetId="37">'3971'!$A$2</definedName>
    <definedName name="Revenue_Estimate_Worksheet_for___________Charter_School" localSheetId="38">'4001'!$A$2</definedName>
    <definedName name="Revenue_Estimate_Worksheet_for___________Charter_School" localSheetId="39">'4002'!$A$2</definedName>
    <definedName name="Revenue_Estimate_Worksheet_for___________Charter_School" localSheetId="40">'4012'!$A$2</definedName>
    <definedName name="Revenue_Estimate_Worksheet_for___________Charter_School" localSheetId="41">'4013'!$A$2</definedName>
    <definedName name="Revenue_Estimate_Worksheet_for___________Charter_School" localSheetId="42">'4020'!$A$2</definedName>
    <definedName name="Revenue_Estimate_Worksheet_for___________Charter_School" localSheetId="43">'4030'!$A$2</definedName>
    <definedName name="Revenue_Estimate_Worksheet_for___________Charter_School" localSheetId="44">'4031'!$A$2</definedName>
    <definedName name="Revenue_Estimate_Worksheet_for___________Charter_School" localSheetId="45">'4041'!$A$2</definedName>
    <definedName name="Revenue_Estimate_Worksheet_for___________Charter_School" localSheetId="46">'4050'!$A$2</definedName>
    <definedName name="Revenue_Estimate_Worksheet_for___________Charter_School" localSheetId="47">'4051'!$A$2</definedName>
    <definedName name="Revenue_Estimate_Worksheet_for___________Charter_School" localSheetId="48">'4061'!$A$2</definedName>
    <definedName name="Revenue_Estimate_Worksheet_for___________Charter_School" localSheetId="49">'4080'!$A$2</definedName>
    <definedName name="Revenue_Estimate_Worksheet_for___________Charter_School" localSheetId="50">'4081'!$A$2</definedName>
    <definedName name="Revenue_Estimate_Worksheet_for___________Charter_School" localSheetId="51">'4090'!$A$2</definedName>
    <definedName name="Revenue_Estimate_Worksheet_for___________Charter_School" localSheetId="52">'4091'!$A$2</definedName>
    <definedName name="Revenue_Estimate_Worksheet_for___________Charter_School" localSheetId="53">'4100'!$A$2</definedName>
    <definedName name="Revenue_Estimate_Worksheet_for___________Charter_School" localSheetId="54">'4102'!$A$2</definedName>
    <definedName name="Revenue_Estimate_Worksheet_for___________Charter_School" localSheetId="55">'4103'!$A$2</definedName>
    <definedName name="Revenue_Estimate_Worksheet_for___________Charter_School" localSheetId="56">'4111'!$A$2</definedName>
    <definedName name="Revenue_Estimate_Worksheet_for___________Charter_School" localSheetId="57">'4131'!$A$2</definedName>
    <definedName name="Revenue_Estimate_Worksheet_for___________Charter_School" localSheetId="58">'4141'!$A$2</definedName>
    <definedName name="Revenue_Estimate_Worksheet_for___________Charter_School">'0040'!$A$2</definedName>
    <definedName name="School_District" localSheetId="9">'0100'!$A$4</definedName>
    <definedName name="School_District" localSheetId="8">'0571'!$A$4</definedName>
    <definedName name="School_District" localSheetId="10">'1461'!$A$4</definedName>
    <definedName name="School_District" localSheetId="11">'1571'!$A$4</definedName>
    <definedName name="School_District" localSheetId="12">'2521'!$A$4</definedName>
    <definedName name="School_District" localSheetId="13">'2531'!$A$4</definedName>
    <definedName name="School_District" localSheetId="14">'2791'!$A$4</definedName>
    <definedName name="School_District" localSheetId="15">'2801'!$A$4</definedName>
    <definedName name="School_District" localSheetId="16">'2911'!$A$4</definedName>
    <definedName name="School_District" localSheetId="17">'2941'!$A$4</definedName>
    <definedName name="School_District" localSheetId="18">'3083'!$A$4</definedName>
    <definedName name="School_District" localSheetId="19">'3345'!$A$4</definedName>
    <definedName name="School_District" localSheetId="20">'3362'!$A$4</definedName>
    <definedName name="School_District" localSheetId="21">'3381'!$A$4</definedName>
    <definedName name="School_District" localSheetId="22">'3382'!$A$4</definedName>
    <definedName name="School_District" localSheetId="23">'3391'!$A$4</definedName>
    <definedName name="School_District" localSheetId="24">'3394'!$A$4</definedName>
    <definedName name="School_District" localSheetId="25">'3395'!$A$4</definedName>
    <definedName name="School_District" localSheetId="26">'3396'!$A$4</definedName>
    <definedName name="School_District" localSheetId="27">'3398'!$A$4</definedName>
    <definedName name="School_District" localSheetId="28">'3400'!$A$4</definedName>
    <definedName name="School_District" localSheetId="29">'3401'!$A$4</definedName>
    <definedName name="School_District" localSheetId="30">'3413'!$A$4</definedName>
    <definedName name="School_District" localSheetId="31">'3421'!$A$4</definedName>
    <definedName name="School_District" localSheetId="32">'3431'!$A$4</definedName>
    <definedName name="School_District" localSheetId="33">'3441'!$A$4</definedName>
    <definedName name="School_District" localSheetId="34">'3924'!$A$4</definedName>
    <definedName name="School_District" localSheetId="35">'3941'!$A$4</definedName>
    <definedName name="School_District" localSheetId="36">'3961'!$A$4</definedName>
    <definedName name="School_District" localSheetId="37">'3971'!$A$4</definedName>
    <definedName name="School_District" localSheetId="38">'4001'!$A$4</definedName>
    <definedName name="School_District" localSheetId="39">'4002'!$A$4</definedName>
    <definedName name="School_District" localSheetId="40">'4012'!$A$4</definedName>
    <definedName name="School_District" localSheetId="41">'4013'!$A$4</definedName>
    <definedName name="School_District" localSheetId="42">'4020'!$A$4</definedName>
    <definedName name="School_District" localSheetId="43">'4030'!$A$4</definedName>
    <definedName name="School_District" localSheetId="44">'4031'!$A$4</definedName>
    <definedName name="School_District" localSheetId="45">'4041'!$A$4</definedName>
    <definedName name="School_District" localSheetId="46">'4050'!$A$4</definedName>
    <definedName name="School_District" localSheetId="47">'4051'!$A$4</definedName>
    <definedName name="School_District" localSheetId="48">'4061'!$A$4</definedName>
    <definedName name="School_District" localSheetId="49">'4080'!$A$4</definedName>
    <definedName name="School_District" localSheetId="50">'4081'!$A$4</definedName>
    <definedName name="School_District" localSheetId="51">'4090'!$A$4</definedName>
    <definedName name="School_District" localSheetId="52">'4091'!$A$4</definedName>
    <definedName name="School_District" localSheetId="53">'4100'!$A$4</definedName>
    <definedName name="School_District" localSheetId="54">'4102'!$A$4</definedName>
    <definedName name="School_District" localSheetId="55">'4103'!$A$4</definedName>
    <definedName name="School_District" localSheetId="56">'4111'!$A$4</definedName>
    <definedName name="School_District" localSheetId="57">'4131'!$A$4</definedName>
    <definedName name="School_District" localSheetId="58">'4141'!$A$4</definedName>
    <definedName name="School_District">'0040'!$A$4</definedName>
    <definedName name="Total" localSheetId="9">'0100'!$A$93</definedName>
    <definedName name="Total" localSheetId="8">'0571'!$A$93</definedName>
    <definedName name="Total" localSheetId="10">'1461'!$A$93</definedName>
    <definedName name="Total" localSheetId="11">'1571'!$A$93</definedName>
    <definedName name="Total" localSheetId="12">'2521'!$A$93</definedName>
    <definedName name="Total" localSheetId="13">'2531'!$A$93</definedName>
    <definedName name="Total" localSheetId="14">'2791'!$A$93</definedName>
    <definedName name="Total" localSheetId="15">'2801'!$A$93</definedName>
    <definedName name="Total" localSheetId="16">'2911'!$A$93</definedName>
    <definedName name="Total" localSheetId="17">'2941'!$A$93</definedName>
    <definedName name="Total" localSheetId="18">'3083'!$A$93</definedName>
    <definedName name="Total" localSheetId="19">'3345'!$A$93</definedName>
    <definedName name="Total" localSheetId="20">'3362'!$A$93</definedName>
    <definedName name="Total" localSheetId="21">'3381'!$A$93</definedName>
    <definedName name="Total" localSheetId="22">'3382'!$A$93</definedName>
    <definedName name="Total" localSheetId="23">'3391'!$A$93</definedName>
    <definedName name="Total" localSheetId="24">'3394'!$A$93</definedName>
    <definedName name="Total" localSheetId="25">'3395'!$A$93</definedName>
    <definedName name="Total" localSheetId="26">'3396'!$A$93</definedName>
    <definedName name="Total" localSheetId="27">'3398'!$A$93</definedName>
    <definedName name="Total" localSheetId="28">'3400'!$A$93</definedName>
    <definedName name="Total" localSheetId="29">'3401'!$A$93</definedName>
    <definedName name="Total" localSheetId="30">'3413'!$A$93</definedName>
    <definedName name="Total" localSheetId="31">'3421'!$A$93</definedName>
    <definedName name="Total" localSheetId="32">'3431'!$A$93</definedName>
    <definedName name="Total" localSheetId="33">'3441'!$A$93</definedName>
    <definedName name="Total" localSheetId="34">'3924'!$A$93</definedName>
    <definedName name="Total" localSheetId="35">'3941'!$A$93</definedName>
    <definedName name="Total" localSheetId="36">'3961'!$A$93</definedName>
    <definedName name="Total" localSheetId="37">'3971'!$A$93</definedName>
    <definedName name="Total" localSheetId="38">'4001'!$A$93</definedName>
    <definedName name="Total" localSheetId="39">'4002'!$A$93</definedName>
    <definedName name="Total" localSheetId="40">'4012'!$A$93</definedName>
    <definedName name="Total" localSheetId="41">'4013'!$A$93</definedName>
    <definedName name="Total" localSheetId="42">'4020'!$A$93</definedName>
    <definedName name="Total" localSheetId="43">'4030'!$A$93</definedName>
    <definedName name="Total" localSheetId="44">'4031'!$A$93</definedName>
    <definedName name="Total" localSheetId="45">'4041'!$A$93</definedName>
    <definedName name="Total" localSheetId="46">'4050'!$A$93</definedName>
    <definedName name="Total" localSheetId="47">'4051'!$A$93</definedName>
    <definedName name="Total" localSheetId="48">'4061'!$A$93</definedName>
    <definedName name="Total" localSheetId="49">'4080'!$A$93</definedName>
    <definedName name="Total" localSheetId="50">'4081'!$A$93</definedName>
    <definedName name="Total" localSheetId="51">'4090'!$A$93</definedName>
    <definedName name="Total" localSheetId="52">'4091'!$A$93</definedName>
    <definedName name="Total" localSheetId="53">'4100'!$A$93</definedName>
    <definedName name="Total" localSheetId="54">'4102'!$A$93</definedName>
    <definedName name="Total" localSheetId="55">'4103'!$A$93</definedName>
    <definedName name="Total" localSheetId="56">'4111'!$A$93</definedName>
    <definedName name="Total" localSheetId="57">'4131'!$A$93</definedName>
    <definedName name="Total" localSheetId="58">'4141'!$A$93</definedName>
    <definedName name="Total">'0040'!$A$93</definedName>
    <definedName name="Total_Class_Size_Reduction_Funds" localSheetId="9">'0100'!$E$93</definedName>
    <definedName name="Total_Class_Size_Reduction_Funds" localSheetId="8">'0571'!$E$93</definedName>
    <definedName name="Total_Class_Size_Reduction_Funds" localSheetId="10">'1461'!$E$93</definedName>
    <definedName name="Total_Class_Size_Reduction_Funds" localSheetId="11">'1571'!$E$93</definedName>
    <definedName name="Total_Class_Size_Reduction_Funds" localSheetId="12">'2521'!$E$93</definedName>
    <definedName name="Total_Class_Size_Reduction_Funds" localSheetId="13">'2531'!$E$93</definedName>
    <definedName name="Total_Class_Size_Reduction_Funds" localSheetId="14">'2791'!$E$93</definedName>
    <definedName name="Total_Class_Size_Reduction_Funds" localSheetId="15">'2801'!$E$93</definedName>
    <definedName name="Total_Class_Size_Reduction_Funds" localSheetId="16">'2911'!$E$93</definedName>
    <definedName name="Total_Class_Size_Reduction_Funds" localSheetId="17">'2941'!$E$93</definedName>
    <definedName name="Total_Class_Size_Reduction_Funds" localSheetId="18">'3083'!$E$93</definedName>
    <definedName name="Total_Class_Size_Reduction_Funds" localSheetId="19">'3345'!$E$93</definedName>
    <definedName name="Total_Class_Size_Reduction_Funds" localSheetId="20">'3362'!$E$93</definedName>
    <definedName name="Total_Class_Size_Reduction_Funds" localSheetId="21">'3381'!$E$93</definedName>
    <definedName name="Total_Class_Size_Reduction_Funds" localSheetId="22">'3382'!$E$93</definedName>
    <definedName name="Total_Class_Size_Reduction_Funds" localSheetId="23">'3391'!$E$93</definedName>
    <definedName name="Total_Class_Size_Reduction_Funds" localSheetId="24">'3394'!$E$93</definedName>
    <definedName name="Total_Class_Size_Reduction_Funds" localSheetId="25">'3395'!$E$93</definedName>
    <definedName name="Total_Class_Size_Reduction_Funds" localSheetId="26">'3396'!$E$93</definedName>
    <definedName name="Total_Class_Size_Reduction_Funds" localSheetId="27">'3398'!$E$93</definedName>
    <definedName name="Total_Class_Size_Reduction_Funds" localSheetId="28">'3400'!$E$93</definedName>
    <definedName name="Total_Class_Size_Reduction_Funds" localSheetId="29">'3401'!$E$93</definedName>
    <definedName name="Total_Class_Size_Reduction_Funds" localSheetId="30">'3413'!$E$93</definedName>
    <definedName name="Total_Class_Size_Reduction_Funds" localSheetId="31">'3421'!$E$93</definedName>
    <definedName name="Total_Class_Size_Reduction_Funds" localSheetId="32">'3431'!$E$93</definedName>
    <definedName name="Total_Class_Size_Reduction_Funds" localSheetId="33">'3441'!$E$93</definedName>
    <definedName name="Total_Class_Size_Reduction_Funds" localSheetId="34">'3924'!$E$93</definedName>
    <definedName name="Total_Class_Size_Reduction_Funds" localSheetId="35">'3941'!$E$93</definedName>
    <definedName name="Total_Class_Size_Reduction_Funds" localSheetId="36">'3961'!$E$93</definedName>
    <definedName name="Total_Class_Size_Reduction_Funds" localSheetId="37">'3971'!$E$93</definedName>
    <definedName name="Total_Class_Size_Reduction_Funds" localSheetId="38">'4001'!$E$93</definedName>
    <definedName name="Total_Class_Size_Reduction_Funds" localSheetId="39">'4002'!$E$93</definedName>
    <definedName name="Total_Class_Size_Reduction_Funds" localSheetId="40">'4012'!$E$93</definedName>
    <definedName name="Total_Class_Size_Reduction_Funds" localSheetId="41">'4013'!$E$93</definedName>
    <definedName name="Total_Class_Size_Reduction_Funds" localSheetId="42">'4020'!$E$93</definedName>
    <definedName name="Total_Class_Size_Reduction_Funds" localSheetId="43">'4030'!$E$93</definedName>
    <definedName name="Total_Class_Size_Reduction_Funds" localSheetId="44">'4031'!$E$93</definedName>
    <definedName name="Total_Class_Size_Reduction_Funds" localSheetId="45">'4041'!$E$93</definedName>
    <definedName name="Total_Class_Size_Reduction_Funds" localSheetId="46">'4050'!$E$93</definedName>
    <definedName name="Total_Class_Size_Reduction_Funds" localSheetId="47">'4051'!$E$93</definedName>
    <definedName name="Total_Class_Size_Reduction_Funds" localSheetId="48">'4061'!$E$93</definedName>
    <definedName name="Total_Class_Size_Reduction_Funds" localSheetId="49">'4080'!$E$93</definedName>
    <definedName name="Total_Class_Size_Reduction_Funds" localSheetId="50">'4081'!$E$93</definedName>
    <definedName name="Total_Class_Size_Reduction_Funds" localSheetId="51">'4090'!$E$93</definedName>
    <definedName name="Total_Class_Size_Reduction_Funds" localSheetId="52">'4091'!$E$93</definedName>
    <definedName name="Total_Class_Size_Reduction_Funds" localSheetId="53">'4100'!$E$93</definedName>
    <definedName name="Total_Class_Size_Reduction_Funds" localSheetId="54">'4102'!$E$93</definedName>
    <definedName name="Total_Class_Size_Reduction_Funds" localSheetId="55">'4103'!$E$93</definedName>
    <definedName name="Total_Class_Size_Reduction_Funds" localSheetId="56">'4111'!$E$93</definedName>
    <definedName name="Total_Class_Size_Reduction_Funds" localSheetId="57">'4131'!$E$93</definedName>
    <definedName name="Total_Class_Size_Reduction_Funds" localSheetId="58">'4141'!$E$93</definedName>
    <definedName name="Total_Class_Size_Reduction_Funds">'0040'!$E$93</definedName>
    <definedName name="Total_from_ESE_Guarantee" localSheetId="9">'0100'!#REF!</definedName>
    <definedName name="Total_from_ESE_Guarantee" localSheetId="8">'0571'!#REF!</definedName>
    <definedName name="Total_from_ESE_Guarantee" localSheetId="10">'1461'!#REF!</definedName>
    <definedName name="Total_from_ESE_Guarantee" localSheetId="11">'1571'!#REF!</definedName>
    <definedName name="Total_from_ESE_Guarantee" localSheetId="12">'2521'!#REF!</definedName>
    <definedName name="Total_from_ESE_Guarantee" localSheetId="13">'2531'!#REF!</definedName>
    <definedName name="Total_from_ESE_Guarantee" localSheetId="14">'2791'!#REF!</definedName>
    <definedName name="Total_from_ESE_Guarantee" localSheetId="15">'2801'!#REF!</definedName>
    <definedName name="Total_from_ESE_Guarantee" localSheetId="16">'2911'!#REF!</definedName>
    <definedName name="Total_from_ESE_Guarantee" localSheetId="17">'2941'!#REF!</definedName>
    <definedName name="Total_from_ESE_Guarantee" localSheetId="18">'3083'!#REF!</definedName>
    <definedName name="Total_from_ESE_Guarantee" localSheetId="19">'3345'!#REF!</definedName>
    <definedName name="Total_from_ESE_Guarantee" localSheetId="20">'3362'!#REF!</definedName>
    <definedName name="Total_from_ESE_Guarantee" localSheetId="21">'3381'!#REF!</definedName>
    <definedName name="Total_from_ESE_Guarantee" localSheetId="22">'3382'!#REF!</definedName>
    <definedName name="Total_from_ESE_Guarantee" localSheetId="23">'3391'!#REF!</definedName>
    <definedName name="Total_from_ESE_Guarantee" localSheetId="24">'3394'!#REF!</definedName>
    <definedName name="Total_from_ESE_Guarantee" localSheetId="25">'3395'!#REF!</definedName>
    <definedName name="Total_from_ESE_Guarantee" localSheetId="26">'3396'!#REF!</definedName>
    <definedName name="Total_from_ESE_Guarantee" localSheetId="27">'3398'!#REF!</definedName>
    <definedName name="Total_from_ESE_Guarantee" localSheetId="28">'3400'!#REF!</definedName>
    <definedName name="Total_from_ESE_Guarantee" localSheetId="29">'3401'!#REF!</definedName>
    <definedName name="Total_from_ESE_Guarantee" localSheetId="30">'3413'!#REF!</definedName>
    <definedName name="Total_from_ESE_Guarantee" localSheetId="31">'3421'!#REF!</definedName>
    <definedName name="Total_from_ESE_Guarantee" localSheetId="32">'3431'!#REF!</definedName>
    <definedName name="Total_from_ESE_Guarantee" localSheetId="33">'3441'!#REF!</definedName>
    <definedName name="Total_from_ESE_Guarantee" localSheetId="34">'3924'!#REF!</definedName>
    <definedName name="Total_from_ESE_Guarantee" localSheetId="35">'3941'!#REF!</definedName>
    <definedName name="Total_from_ESE_Guarantee" localSheetId="36">'3961'!#REF!</definedName>
    <definedName name="Total_from_ESE_Guarantee" localSheetId="37">'3971'!#REF!</definedName>
    <definedName name="Total_from_ESE_Guarantee" localSheetId="38">'4001'!#REF!</definedName>
    <definedName name="Total_from_ESE_Guarantee" localSheetId="39">'4002'!#REF!</definedName>
    <definedName name="Total_from_ESE_Guarantee" localSheetId="40">'4012'!#REF!</definedName>
    <definedName name="Total_from_ESE_Guarantee" localSheetId="41">'4013'!#REF!</definedName>
    <definedName name="Total_from_ESE_Guarantee" localSheetId="42">'4020'!#REF!</definedName>
    <definedName name="Total_from_ESE_Guarantee" localSheetId="43">'4030'!#REF!</definedName>
    <definedName name="Total_from_ESE_Guarantee" localSheetId="44">'4031'!#REF!</definedName>
    <definedName name="Total_from_ESE_Guarantee" localSheetId="45">'4041'!#REF!</definedName>
    <definedName name="Total_from_ESE_Guarantee" localSheetId="46">'4050'!#REF!</definedName>
    <definedName name="Total_from_ESE_Guarantee" localSheetId="47">'4051'!#REF!</definedName>
    <definedName name="Total_from_ESE_Guarantee" localSheetId="48">'4061'!#REF!</definedName>
    <definedName name="Total_from_ESE_Guarantee" localSheetId="49">'4080'!#REF!</definedName>
    <definedName name="Total_from_ESE_Guarantee" localSheetId="50">'4081'!#REF!</definedName>
    <definedName name="Total_from_ESE_Guarantee" localSheetId="51">'4090'!#REF!</definedName>
    <definedName name="Total_from_ESE_Guarantee" localSheetId="52">'4091'!#REF!</definedName>
    <definedName name="Total_from_ESE_Guarantee" localSheetId="53">'4100'!#REF!</definedName>
    <definedName name="Total_from_ESE_Guarantee" localSheetId="54">'4102'!#REF!</definedName>
    <definedName name="Total_from_ESE_Guarantee" localSheetId="55">'4103'!#REF!</definedName>
    <definedName name="Total_from_ESE_Guarantee" localSheetId="56">'4111'!#REF!</definedName>
    <definedName name="Total_from_ESE_Guarantee" localSheetId="57">'4131'!#REF!</definedName>
    <definedName name="Total_from_ESE_Guarantee" localSheetId="58">'4141'!#REF!</definedName>
    <definedName name="Total_FTE_with_ESE_Services" localSheetId="9">'0100'!#REF!</definedName>
    <definedName name="Total_FTE_with_ESE_Services" localSheetId="8">'0571'!#REF!</definedName>
    <definedName name="Total_FTE_with_ESE_Services" localSheetId="10">'1461'!#REF!</definedName>
    <definedName name="Total_FTE_with_ESE_Services" localSheetId="11">'1571'!#REF!</definedName>
    <definedName name="Total_FTE_with_ESE_Services" localSheetId="12">'2521'!#REF!</definedName>
    <definedName name="Total_FTE_with_ESE_Services" localSheetId="13">'2531'!#REF!</definedName>
    <definedName name="Total_FTE_with_ESE_Services" localSheetId="14">'2791'!#REF!</definedName>
    <definedName name="Total_FTE_with_ESE_Services" localSheetId="15">'2801'!#REF!</definedName>
    <definedName name="Total_FTE_with_ESE_Services" localSheetId="16">'2911'!#REF!</definedName>
    <definedName name="Total_FTE_with_ESE_Services" localSheetId="17">'2941'!#REF!</definedName>
    <definedName name="Total_FTE_with_ESE_Services" localSheetId="18">'3083'!#REF!</definedName>
    <definedName name="Total_FTE_with_ESE_Services" localSheetId="19">'3345'!#REF!</definedName>
    <definedName name="Total_FTE_with_ESE_Services" localSheetId="20">'3362'!#REF!</definedName>
    <definedName name="Total_FTE_with_ESE_Services" localSheetId="21">'3381'!#REF!</definedName>
    <definedName name="Total_FTE_with_ESE_Services" localSheetId="22">'3382'!#REF!</definedName>
    <definedName name="Total_FTE_with_ESE_Services" localSheetId="23">'3391'!#REF!</definedName>
    <definedName name="Total_FTE_with_ESE_Services" localSheetId="24">'3394'!#REF!</definedName>
    <definedName name="Total_FTE_with_ESE_Services" localSheetId="25">'3395'!#REF!</definedName>
    <definedName name="Total_FTE_with_ESE_Services" localSheetId="26">'3396'!#REF!</definedName>
    <definedName name="Total_FTE_with_ESE_Services" localSheetId="27">'3398'!#REF!</definedName>
    <definedName name="Total_FTE_with_ESE_Services" localSheetId="28">'3400'!#REF!</definedName>
    <definedName name="Total_FTE_with_ESE_Services" localSheetId="29">'3401'!#REF!</definedName>
    <definedName name="Total_FTE_with_ESE_Services" localSheetId="30">'3413'!#REF!</definedName>
    <definedName name="Total_FTE_with_ESE_Services" localSheetId="31">'3421'!#REF!</definedName>
    <definedName name="Total_FTE_with_ESE_Services" localSheetId="32">'3431'!#REF!</definedName>
    <definedName name="Total_FTE_with_ESE_Services" localSheetId="33">'3441'!#REF!</definedName>
    <definedName name="Total_FTE_with_ESE_Services" localSheetId="34">'3924'!#REF!</definedName>
    <definedName name="Total_FTE_with_ESE_Services" localSheetId="35">'3941'!#REF!</definedName>
    <definedName name="Total_FTE_with_ESE_Services" localSheetId="36">'3961'!#REF!</definedName>
    <definedName name="Total_FTE_with_ESE_Services" localSheetId="37">'3971'!#REF!</definedName>
    <definedName name="Total_FTE_with_ESE_Services" localSheetId="38">'4001'!#REF!</definedName>
    <definedName name="Total_FTE_with_ESE_Services" localSheetId="39">'4002'!#REF!</definedName>
    <definedName name="Total_FTE_with_ESE_Services" localSheetId="40">'4012'!#REF!</definedName>
    <definedName name="Total_FTE_with_ESE_Services" localSheetId="41">'4013'!#REF!</definedName>
    <definedName name="Total_FTE_with_ESE_Services" localSheetId="42">'4020'!#REF!</definedName>
    <definedName name="Total_FTE_with_ESE_Services" localSheetId="43">'4030'!#REF!</definedName>
    <definedName name="Total_FTE_with_ESE_Services" localSheetId="44">'4031'!#REF!</definedName>
    <definedName name="Total_FTE_with_ESE_Services" localSheetId="45">'4041'!#REF!</definedName>
    <definedName name="Total_FTE_with_ESE_Services" localSheetId="46">'4050'!#REF!</definedName>
    <definedName name="Total_FTE_with_ESE_Services" localSheetId="47">'4051'!#REF!</definedName>
    <definedName name="Total_FTE_with_ESE_Services" localSheetId="48">'4061'!#REF!</definedName>
    <definedName name="Total_FTE_with_ESE_Services" localSheetId="49">'4080'!#REF!</definedName>
    <definedName name="Total_FTE_with_ESE_Services" localSheetId="50">'4081'!#REF!</definedName>
    <definedName name="Total_FTE_with_ESE_Services" localSheetId="51">'4090'!#REF!</definedName>
    <definedName name="Total_FTE_with_ESE_Services" localSheetId="52">'4091'!#REF!</definedName>
    <definedName name="Total_FTE_with_ESE_Services" localSheetId="53">'4100'!#REF!</definedName>
    <definedName name="Total_FTE_with_ESE_Services" localSheetId="54">'4102'!#REF!</definedName>
    <definedName name="Total_FTE_with_ESE_Services" localSheetId="55">'4103'!#REF!</definedName>
    <definedName name="Total_FTE_with_ESE_Services" localSheetId="56">'4111'!#REF!</definedName>
    <definedName name="Total_FTE_with_ESE_Services" localSheetId="57">'4131'!#REF!</definedName>
    <definedName name="Total_FTE_with_ESE_Services" localSheetId="58">'4141'!#REF!</definedName>
    <definedName name="Totals" localSheetId="9">'0100'!$A$28</definedName>
    <definedName name="Totals" localSheetId="8">'0571'!$A$28</definedName>
    <definedName name="Totals" localSheetId="10">'1461'!$A$28</definedName>
    <definedName name="Totals" localSheetId="11">'1571'!$A$28</definedName>
    <definedName name="Totals" localSheetId="12">'2521'!$A$28</definedName>
    <definedName name="Totals" localSheetId="13">'2531'!$A$28</definedName>
    <definedName name="Totals" localSheetId="14">'2791'!$A$28</definedName>
    <definedName name="Totals" localSheetId="15">'2801'!$A$28</definedName>
    <definedName name="Totals" localSheetId="16">'2911'!$A$28</definedName>
    <definedName name="Totals" localSheetId="17">'2941'!$A$28</definedName>
    <definedName name="Totals" localSheetId="18">'3083'!$A$28</definedName>
    <definedName name="Totals" localSheetId="19">'3345'!$A$28</definedName>
    <definedName name="Totals" localSheetId="20">'3362'!$A$28</definedName>
    <definedName name="Totals" localSheetId="21">'3381'!$A$28</definedName>
    <definedName name="Totals" localSheetId="22">'3382'!$A$28</definedName>
    <definedName name="Totals" localSheetId="23">'3391'!$A$28</definedName>
    <definedName name="Totals" localSheetId="24">'3394'!$A$28</definedName>
    <definedName name="Totals" localSheetId="25">'3395'!$A$28</definedName>
    <definedName name="Totals" localSheetId="26">'3396'!$A$28</definedName>
    <definedName name="Totals" localSheetId="27">'3398'!$A$28</definedName>
    <definedName name="Totals" localSheetId="28">'3400'!$A$28</definedName>
    <definedName name="Totals" localSheetId="29">'3401'!$A$28</definedName>
    <definedName name="Totals" localSheetId="30">'3413'!$A$28</definedName>
    <definedName name="Totals" localSheetId="31">'3421'!$A$28</definedName>
    <definedName name="Totals" localSheetId="32">'3431'!$A$28</definedName>
    <definedName name="Totals" localSheetId="33">'3441'!$A$28</definedName>
    <definedName name="Totals" localSheetId="34">'3924'!$A$28</definedName>
    <definedName name="Totals" localSheetId="35">'3941'!$A$28</definedName>
    <definedName name="Totals" localSheetId="36">'3961'!$A$28</definedName>
    <definedName name="Totals" localSheetId="37">'3971'!$A$28</definedName>
    <definedName name="Totals" localSheetId="38">'4001'!$A$28</definedName>
    <definedName name="Totals" localSheetId="39">'4002'!$A$28</definedName>
    <definedName name="Totals" localSheetId="40">'4012'!$A$28</definedName>
    <definedName name="Totals" localSheetId="41">'4013'!$A$28</definedName>
    <definedName name="Totals" localSheetId="42">'4020'!$A$28</definedName>
    <definedName name="Totals" localSheetId="43">'4030'!$A$28</definedName>
    <definedName name="Totals" localSheetId="44">'4031'!$A$28</definedName>
    <definedName name="Totals" localSheetId="45">'4041'!$A$28</definedName>
    <definedName name="Totals" localSheetId="46">'4050'!$A$28</definedName>
    <definedName name="Totals" localSheetId="47">'4051'!$A$28</definedName>
    <definedName name="Totals" localSheetId="48">'4061'!$A$28</definedName>
    <definedName name="Totals" localSheetId="49">'4080'!$A$28</definedName>
    <definedName name="Totals" localSheetId="50">'4081'!$A$28</definedName>
    <definedName name="Totals" localSheetId="51">'4090'!$A$28</definedName>
    <definedName name="Totals" localSheetId="52">'4091'!$A$28</definedName>
    <definedName name="Totals" localSheetId="53">'4100'!$A$28</definedName>
    <definedName name="Totals" localSheetId="54">'4102'!$A$28</definedName>
    <definedName name="Totals" localSheetId="55">'4103'!$A$28</definedName>
    <definedName name="Totals" localSheetId="56">'4111'!$A$28</definedName>
    <definedName name="Totals" localSheetId="57">'4131'!$A$28</definedName>
    <definedName name="Totals" localSheetId="58">'4141'!$A$28</definedName>
    <definedName name="Totals">'0040'!$A$28</definedName>
    <definedName name="Weighted_FTE____________b__x__c" localSheetId="9">'0100'!$I$10</definedName>
    <definedName name="Weighted_FTE____________b__x__c" localSheetId="8">'0571'!$I$10</definedName>
    <definedName name="Weighted_FTE____________b__x__c" localSheetId="10">'1461'!$I$10</definedName>
    <definedName name="Weighted_FTE____________b__x__c" localSheetId="11">'1571'!$I$10</definedName>
    <definedName name="Weighted_FTE____________b__x__c" localSheetId="12">'2521'!$I$10</definedName>
    <definedName name="Weighted_FTE____________b__x__c" localSheetId="13">'2531'!$I$10</definedName>
    <definedName name="Weighted_FTE____________b__x__c" localSheetId="14">'2791'!$I$10</definedName>
    <definedName name="Weighted_FTE____________b__x__c" localSheetId="15">'2801'!$I$10</definedName>
    <definedName name="Weighted_FTE____________b__x__c" localSheetId="16">'2911'!$I$10</definedName>
    <definedName name="Weighted_FTE____________b__x__c" localSheetId="17">'2941'!$I$10</definedName>
    <definedName name="Weighted_FTE____________b__x__c" localSheetId="18">'3083'!$I$10</definedName>
    <definedName name="Weighted_FTE____________b__x__c" localSheetId="19">'3345'!$I$10</definedName>
    <definedName name="Weighted_FTE____________b__x__c" localSheetId="20">'3362'!$I$10</definedName>
    <definedName name="Weighted_FTE____________b__x__c" localSheetId="21">'3381'!$I$10</definedName>
    <definedName name="Weighted_FTE____________b__x__c" localSheetId="22">'3382'!$I$10</definedName>
    <definedName name="Weighted_FTE____________b__x__c" localSheetId="23">'3391'!$I$10</definedName>
    <definedName name="Weighted_FTE____________b__x__c" localSheetId="24">'3394'!$I$10</definedName>
    <definedName name="Weighted_FTE____________b__x__c" localSheetId="25">'3395'!$I$10</definedName>
    <definedName name="Weighted_FTE____________b__x__c" localSheetId="26">'3396'!$I$10</definedName>
    <definedName name="Weighted_FTE____________b__x__c" localSheetId="27">'3398'!$I$10</definedName>
    <definedName name="Weighted_FTE____________b__x__c" localSheetId="28">'3400'!$I$10</definedName>
    <definedName name="Weighted_FTE____________b__x__c" localSheetId="29">'3401'!$I$10</definedName>
    <definedName name="Weighted_FTE____________b__x__c" localSheetId="30">'3413'!$I$10</definedName>
    <definedName name="Weighted_FTE____________b__x__c" localSheetId="31">'3421'!$I$10</definedName>
    <definedName name="Weighted_FTE____________b__x__c" localSheetId="32">'3431'!$I$10</definedName>
    <definedName name="Weighted_FTE____________b__x__c" localSheetId="33">'3441'!$I$10</definedName>
    <definedName name="Weighted_FTE____________b__x__c" localSheetId="34">'3924'!$I$10</definedName>
    <definedName name="Weighted_FTE____________b__x__c" localSheetId="35">'3941'!$I$10</definedName>
    <definedName name="Weighted_FTE____________b__x__c" localSheetId="36">'3961'!$I$10</definedName>
    <definedName name="Weighted_FTE____________b__x__c" localSheetId="37">'3971'!$I$10</definedName>
    <definedName name="Weighted_FTE____________b__x__c" localSheetId="38">'4001'!$I$10</definedName>
    <definedName name="Weighted_FTE____________b__x__c" localSheetId="39">'4002'!$I$10</definedName>
    <definedName name="Weighted_FTE____________b__x__c" localSheetId="40">'4012'!$I$10</definedName>
    <definedName name="Weighted_FTE____________b__x__c" localSheetId="41">'4013'!$I$10</definedName>
    <definedName name="Weighted_FTE____________b__x__c" localSheetId="42">'4020'!$I$10</definedName>
    <definedName name="Weighted_FTE____________b__x__c" localSheetId="43">'4030'!$I$10</definedName>
    <definedName name="Weighted_FTE____________b__x__c" localSheetId="44">'4031'!$I$10</definedName>
    <definedName name="Weighted_FTE____________b__x__c" localSheetId="45">'4041'!$I$10</definedName>
    <definedName name="Weighted_FTE____________b__x__c" localSheetId="46">'4050'!$I$10</definedName>
    <definedName name="Weighted_FTE____________b__x__c" localSheetId="47">'4051'!$I$10</definedName>
    <definedName name="Weighted_FTE____________b__x__c" localSheetId="48">'4061'!$I$10</definedName>
    <definedName name="Weighted_FTE____________b__x__c" localSheetId="49">'4080'!$I$10</definedName>
    <definedName name="Weighted_FTE____________b__x__c" localSheetId="50">'4081'!$I$10</definedName>
    <definedName name="Weighted_FTE____________b__x__c" localSheetId="51">'4090'!$I$10</definedName>
    <definedName name="Weighted_FTE____________b__x__c" localSheetId="52">'4091'!$I$10</definedName>
    <definedName name="Weighted_FTE____________b__x__c" localSheetId="53">'4100'!$I$10</definedName>
    <definedName name="Weighted_FTE____________b__x__c" localSheetId="54">'4102'!$I$10</definedName>
    <definedName name="Weighted_FTE____________b__x__c" localSheetId="55">'4103'!$I$10</definedName>
    <definedName name="Weighted_FTE____________b__x__c" localSheetId="56">'4111'!$I$10</definedName>
    <definedName name="Weighted_FTE____________b__x__c" localSheetId="57">'4131'!$I$10</definedName>
    <definedName name="Weighted_FTE____________b__x__c" localSheetId="58">'4141'!$I$10</definedName>
    <definedName name="Weighted_FTE____________b__x__c">'0040'!$I$10</definedName>
    <definedName name="Weighted_FTE__From_Section_1" localSheetId="9">'0100'!$B$89</definedName>
    <definedName name="Weighted_FTE__From_Section_1" localSheetId="8">'0571'!$B$89</definedName>
    <definedName name="Weighted_FTE__From_Section_1" localSheetId="10">'1461'!$B$89</definedName>
    <definedName name="Weighted_FTE__From_Section_1" localSheetId="11">'1571'!$B$89</definedName>
    <definedName name="Weighted_FTE__From_Section_1" localSheetId="12">'2521'!$B$89</definedName>
    <definedName name="Weighted_FTE__From_Section_1" localSheetId="13">'2531'!$B$89</definedName>
    <definedName name="Weighted_FTE__From_Section_1" localSheetId="14">'2791'!$B$89</definedName>
    <definedName name="Weighted_FTE__From_Section_1" localSheetId="15">'2801'!$B$89</definedName>
    <definedName name="Weighted_FTE__From_Section_1" localSheetId="16">'2911'!$B$89</definedName>
    <definedName name="Weighted_FTE__From_Section_1" localSheetId="17">'2941'!$B$89</definedName>
    <definedName name="Weighted_FTE__From_Section_1" localSheetId="18">'3083'!$B$89</definedName>
    <definedName name="Weighted_FTE__From_Section_1" localSheetId="19">'3345'!$B$89</definedName>
    <definedName name="Weighted_FTE__From_Section_1" localSheetId="20">'3362'!$B$89</definedName>
    <definedName name="Weighted_FTE__From_Section_1" localSheetId="21">'3381'!$B$89</definedName>
    <definedName name="Weighted_FTE__From_Section_1" localSheetId="22">'3382'!$B$89</definedName>
    <definedName name="Weighted_FTE__From_Section_1" localSheetId="23">'3391'!$B$89</definedName>
    <definedName name="Weighted_FTE__From_Section_1" localSheetId="24">'3394'!$B$89</definedName>
    <definedName name="Weighted_FTE__From_Section_1" localSheetId="25">'3395'!$B$89</definedName>
    <definedName name="Weighted_FTE__From_Section_1" localSheetId="26">'3396'!$B$89</definedName>
    <definedName name="Weighted_FTE__From_Section_1" localSheetId="27">'3398'!$B$89</definedName>
    <definedName name="Weighted_FTE__From_Section_1" localSheetId="28">'3400'!$B$89</definedName>
    <definedName name="Weighted_FTE__From_Section_1" localSheetId="29">'3401'!$B$89</definedName>
    <definedName name="Weighted_FTE__From_Section_1" localSheetId="30">'3413'!$B$89</definedName>
    <definedName name="Weighted_FTE__From_Section_1" localSheetId="31">'3421'!$B$89</definedName>
    <definedName name="Weighted_FTE__From_Section_1" localSheetId="32">'3431'!$B$89</definedName>
    <definedName name="Weighted_FTE__From_Section_1" localSheetId="33">'3441'!$B$89</definedName>
    <definedName name="Weighted_FTE__From_Section_1" localSheetId="34">'3924'!$B$89</definedName>
    <definedName name="Weighted_FTE__From_Section_1" localSheetId="35">'3941'!$B$89</definedName>
    <definedName name="Weighted_FTE__From_Section_1" localSheetId="36">'3961'!$B$89</definedName>
    <definedName name="Weighted_FTE__From_Section_1" localSheetId="37">'3971'!$B$89</definedName>
    <definedName name="Weighted_FTE__From_Section_1" localSheetId="38">'4001'!$B$89</definedName>
    <definedName name="Weighted_FTE__From_Section_1" localSheetId="39">'4002'!$B$89</definedName>
    <definedName name="Weighted_FTE__From_Section_1" localSheetId="40">'4012'!$B$89</definedName>
    <definedName name="Weighted_FTE__From_Section_1" localSheetId="41">'4013'!$B$89</definedName>
    <definedName name="Weighted_FTE__From_Section_1" localSheetId="42">'4020'!$B$89</definedName>
    <definedName name="Weighted_FTE__From_Section_1" localSheetId="43">'4030'!$B$89</definedName>
    <definedName name="Weighted_FTE__From_Section_1" localSheetId="44">'4031'!$B$89</definedName>
    <definedName name="Weighted_FTE__From_Section_1" localSheetId="45">'4041'!$B$89</definedName>
    <definedName name="Weighted_FTE__From_Section_1" localSheetId="46">'4050'!$B$89</definedName>
    <definedName name="Weighted_FTE__From_Section_1" localSheetId="47">'4051'!$B$89</definedName>
    <definedName name="Weighted_FTE__From_Section_1" localSheetId="48">'4061'!$B$89</definedName>
    <definedName name="Weighted_FTE__From_Section_1" localSheetId="49">'4080'!$B$89</definedName>
    <definedName name="Weighted_FTE__From_Section_1" localSheetId="50">'4081'!$B$89</definedName>
    <definedName name="Weighted_FTE__From_Section_1" localSheetId="51">'4090'!$B$89</definedName>
    <definedName name="Weighted_FTE__From_Section_1" localSheetId="52">'4091'!$B$89</definedName>
    <definedName name="Weighted_FTE__From_Section_1" localSheetId="53">'4100'!$B$89</definedName>
    <definedName name="Weighted_FTE__From_Section_1" localSheetId="54">'4102'!$B$89</definedName>
    <definedName name="Weighted_FTE__From_Section_1" localSheetId="55">'4103'!$B$89</definedName>
    <definedName name="Weighted_FTE__From_Section_1" localSheetId="56">'4111'!$B$89</definedName>
    <definedName name="Weighted_FTE__From_Section_1" localSheetId="57">'4131'!$B$89</definedName>
    <definedName name="Weighted_FTE__From_Section_1" localSheetId="58">'4141'!$B$89</definedName>
    <definedName name="Weighted_FTE__From_Section_1">'0040'!$B$89</definedName>
    <definedName name="wrn.Base._.Data._.Comparison." localSheetId="7" hidden="1">{#N/A,#N/A,FALSE,"Summation";#N/A,#N/A,FALSE,"BSA";#N/A,#N/A,FALSE,"Detail1";#N/A,#N/A,FALSE,"Detail2";#N/A,#N/A,FALSE,"Detail3";#N/A,#N/A,FALSE,"WFTE_Summary";#N/A,#N/A,FALSE,"Funded_WFTE";#N/A,#N/A,FALSE,"PYADJ96"}</definedName>
    <definedName name="wrn.Base._.Data._.Comparison." localSheetId="9" hidden="1">{#N/A,#N/A,FALSE,"Summation";#N/A,#N/A,FALSE,"BSA";#N/A,#N/A,FALSE,"Detail1";#N/A,#N/A,FALSE,"Detail2";#N/A,#N/A,FALSE,"Detail3";#N/A,#N/A,FALSE,"WFTE_Summary";#N/A,#N/A,FALSE,"Funded_WFTE";#N/A,#N/A,FALSE,"PYADJ96"}</definedName>
    <definedName name="wrn.Base._.Data._.Comparison." localSheetId="8" hidden="1">{#N/A,#N/A,FALSE,"Summation";#N/A,#N/A,FALSE,"BSA";#N/A,#N/A,FALSE,"Detail1";#N/A,#N/A,FALSE,"Detail2";#N/A,#N/A,FALSE,"Detail3";#N/A,#N/A,FALSE,"WFTE_Summary";#N/A,#N/A,FALSE,"Funded_WFTE";#N/A,#N/A,FALSE,"PYADJ96"}</definedName>
    <definedName name="wrn.Base._.Data._.Comparison." localSheetId="10" hidden="1">{#N/A,#N/A,FALSE,"Summation";#N/A,#N/A,FALSE,"BSA";#N/A,#N/A,FALSE,"Detail1";#N/A,#N/A,FALSE,"Detail2";#N/A,#N/A,FALSE,"Detail3";#N/A,#N/A,FALSE,"WFTE_Summary";#N/A,#N/A,FALSE,"Funded_WFTE";#N/A,#N/A,FALSE,"PYADJ96"}</definedName>
    <definedName name="wrn.Base._.Data._.Comparison." localSheetId="11" hidden="1">{#N/A,#N/A,FALSE,"Summation";#N/A,#N/A,FALSE,"BSA";#N/A,#N/A,FALSE,"Detail1";#N/A,#N/A,FALSE,"Detail2";#N/A,#N/A,FALSE,"Detail3";#N/A,#N/A,FALSE,"WFTE_Summary";#N/A,#N/A,FALSE,"Funded_WFTE";#N/A,#N/A,FALSE,"PYADJ96"}</definedName>
    <definedName name="wrn.Base._.Data._.Comparison." localSheetId="12" hidden="1">{#N/A,#N/A,FALSE,"Summation";#N/A,#N/A,FALSE,"BSA";#N/A,#N/A,FALSE,"Detail1";#N/A,#N/A,FALSE,"Detail2";#N/A,#N/A,FALSE,"Detail3";#N/A,#N/A,FALSE,"WFTE_Summary";#N/A,#N/A,FALSE,"Funded_WFTE";#N/A,#N/A,FALSE,"PYADJ96"}</definedName>
    <definedName name="wrn.Base._.Data._.Comparison." localSheetId="13" hidden="1">{#N/A,#N/A,FALSE,"Summation";#N/A,#N/A,FALSE,"BSA";#N/A,#N/A,FALSE,"Detail1";#N/A,#N/A,FALSE,"Detail2";#N/A,#N/A,FALSE,"Detail3";#N/A,#N/A,FALSE,"WFTE_Summary";#N/A,#N/A,FALSE,"Funded_WFTE";#N/A,#N/A,FALSE,"PYADJ96"}</definedName>
    <definedName name="wrn.Base._.Data._.Comparison." localSheetId="14" hidden="1">{#N/A,#N/A,FALSE,"Summation";#N/A,#N/A,FALSE,"BSA";#N/A,#N/A,FALSE,"Detail1";#N/A,#N/A,FALSE,"Detail2";#N/A,#N/A,FALSE,"Detail3";#N/A,#N/A,FALSE,"WFTE_Summary";#N/A,#N/A,FALSE,"Funded_WFTE";#N/A,#N/A,FALSE,"PYADJ96"}</definedName>
    <definedName name="wrn.Base._.Data._.Comparison." localSheetId="15" hidden="1">{#N/A,#N/A,FALSE,"Summation";#N/A,#N/A,FALSE,"BSA";#N/A,#N/A,FALSE,"Detail1";#N/A,#N/A,FALSE,"Detail2";#N/A,#N/A,FALSE,"Detail3";#N/A,#N/A,FALSE,"WFTE_Summary";#N/A,#N/A,FALSE,"Funded_WFTE";#N/A,#N/A,FALSE,"PYADJ96"}</definedName>
    <definedName name="wrn.Base._.Data._.Comparison." localSheetId="16" hidden="1">{#N/A,#N/A,FALSE,"Summation";#N/A,#N/A,FALSE,"BSA";#N/A,#N/A,FALSE,"Detail1";#N/A,#N/A,FALSE,"Detail2";#N/A,#N/A,FALSE,"Detail3";#N/A,#N/A,FALSE,"WFTE_Summary";#N/A,#N/A,FALSE,"Funded_WFTE";#N/A,#N/A,FALSE,"PYADJ96"}</definedName>
    <definedName name="wrn.Base._.Data._.Comparison." localSheetId="17" hidden="1">{#N/A,#N/A,FALSE,"Summation";#N/A,#N/A,FALSE,"BSA";#N/A,#N/A,FALSE,"Detail1";#N/A,#N/A,FALSE,"Detail2";#N/A,#N/A,FALSE,"Detail3";#N/A,#N/A,FALSE,"WFTE_Summary";#N/A,#N/A,FALSE,"Funded_WFTE";#N/A,#N/A,FALSE,"PYADJ96"}</definedName>
    <definedName name="wrn.Base._.Data._.Comparison." localSheetId="18" hidden="1">{#N/A,#N/A,FALSE,"Summation";#N/A,#N/A,FALSE,"BSA";#N/A,#N/A,FALSE,"Detail1";#N/A,#N/A,FALSE,"Detail2";#N/A,#N/A,FALSE,"Detail3";#N/A,#N/A,FALSE,"WFTE_Summary";#N/A,#N/A,FALSE,"Funded_WFTE";#N/A,#N/A,FALSE,"PYADJ96"}</definedName>
    <definedName name="wrn.Base._.Data._.Comparison." localSheetId="19" hidden="1">{#N/A,#N/A,FALSE,"Summation";#N/A,#N/A,FALSE,"BSA";#N/A,#N/A,FALSE,"Detail1";#N/A,#N/A,FALSE,"Detail2";#N/A,#N/A,FALSE,"Detail3";#N/A,#N/A,FALSE,"WFTE_Summary";#N/A,#N/A,FALSE,"Funded_WFTE";#N/A,#N/A,FALSE,"PYADJ96"}</definedName>
    <definedName name="wrn.Base._.Data._.Comparison." localSheetId="20" hidden="1">{#N/A,#N/A,FALSE,"Summation";#N/A,#N/A,FALSE,"BSA";#N/A,#N/A,FALSE,"Detail1";#N/A,#N/A,FALSE,"Detail2";#N/A,#N/A,FALSE,"Detail3";#N/A,#N/A,FALSE,"WFTE_Summary";#N/A,#N/A,FALSE,"Funded_WFTE";#N/A,#N/A,FALSE,"PYADJ96"}</definedName>
    <definedName name="wrn.Base._.Data._.Comparison." localSheetId="21" hidden="1">{#N/A,#N/A,FALSE,"Summation";#N/A,#N/A,FALSE,"BSA";#N/A,#N/A,FALSE,"Detail1";#N/A,#N/A,FALSE,"Detail2";#N/A,#N/A,FALSE,"Detail3";#N/A,#N/A,FALSE,"WFTE_Summary";#N/A,#N/A,FALSE,"Funded_WFTE";#N/A,#N/A,FALSE,"PYADJ96"}</definedName>
    <definedName name="wrn.Base._.Data._.Comparison." localSheetId="22" hidden="1">{#N/A,#N/A,FALSE,"Summation";#N/A,#N/A,FALSE,"BSA";#N/A,#N/A,FALSE,"Detail1";#N/A,#N/A,FALSE,"Detail2";#N/A,#N/A,FALSE,"Detail3";#N/A,#N/A,FALSE,"WFTE_Summary";#N/A,#N/A,FALSE,"Funded_WFTE";#N/A,#N/A,FALSE,"PYADJ96"}</definedName>
    <definedName name="wrn.Base._.Data._.Comparison." localSheetId="23" hidden="1">{#N/A,#N/A,FALSE,"Summation";#N/A,#N/A,FALSE,"BSA";#N/A,#N/A,FALSE,"Detail1";#N/A,#N/A,FALSE,"Detail2";#N/A,#N/A,FALSE,"Detail3";#N/A,#N/A,FALSE,"WFTE_Summary";#N/A,#N/A,FALSE,"Funded_WFTE";#N/A,#N/A,FALSE,"PYADJ96"}</definedName>
    <definedName name="wrn.Base._.Data._.Comparison." localSheetId="24" hidden="1">{#N/A,#N/A,FALSE,"Summation";#N/A,#N/A,FALSE,"BSA";#N/A,#N/A,FALSE,"Detail1";#N/A,#N/A,FALSE,"Detail2";#N/A,#N/A,FALSE,"Detail3";#N/A,#N/A,FALSE,"WFTE_Summary";#N/A,#N/A,FALSE,"Funded_WFTE";#N/A,#N/A,FALSE,"PYADJ96"}</definedName>
    <definedName name="wrn.Base._.Data._.Comparison." localSheetId="25" hidden="1">{#N/A,#N/A,FALSE,"Summation";#N/A,#N/A,FALSE,"BSA";#N/A,#N/A,FALSE,"Detail1";#N/A,#N/A,FALSE,"Detail2";#N/A,#N/A,FALSE,"Detail3";#N/A,#N/A,FALSE,"WFTE_Summary";#N/A,#N/A,FALSE,"Funded_WFTE";#N/A,#N/A,FALSE,"PYADJ96"}</definedName>
    <definedName name="wrn.Base._.Data._.Comparison." localSheetId="26" hidden="1">{#N/A,#N/A,FALSE,"Summation";#N/A,#N/A,FALSE,"BSA";#N/A,#N/A,FALSE,"Detail1";#N/A,#N/A,FALSE,"Detail2";#N/A,#N/A,FALSE,"Detail3";#N/A,#N/A,FALSE,"WFTE_Summary";#N/A,#N/A,FALSE,"Funded_WFTE";#N/A,#N/A,FALSE,"PYADJ96"}</definedName>
    <definedName name="wrn.Base._.Data._.Comparison." localSheetId="27" hidden="1">{#N/A,#N/A,FALSE,"Summation";#N/A,#N/A,FALSE,"BSA";#N/A,#N/A,FALSE,"Detail1";#N/A,#N/A,FALSE,"Detail2";#N/A,#N/A,FALSE,"Detail3";#N/A,#N/A,FALSE,"WFTE_Summary";#N/A,#N/A,FALSE,"Funded_WFTE";#N/A,#N/A,FALSE,"PYADJ96"}</definedName>
    <definedName name="wrn.Base._.Data._.Comparison." localSheetId="28" hidden="1">{#N/A,#N/A,FALSE,"Summation";#N/A,#N/A,FALSE,"BSA";#N/A,#N/A,FALSE,"Detail1";#N/A,#N/A,FALSE,"Detail2";#N/A,#N/A,FALSE,"Detail3";#N/A,#N/A,FALSE,"WFTE_Summary";#N/A,#N/A,FALSE,"Funded_WFTE";#N/A,#N/A,FALSE,"PYADJ96"}</definedName>
    <definedName name="wrn.Base._.Data._.Comparison." localSheetId="29" hidden="1">{#N/A,#N/A,FALSE,"Summation";#N/A,#N/A,FALSE,"BSA";#N/A,#N/A,FALSE,"Detail1";#N/A,#N/A,FALSE,"Detail2";#N/A,#N/A,FALSE,"Detail3";#N/A,#N/A,FALSE,"WFTE_Summary";#N/A,#N/A,FALSE,"Funded_WFTE";#N/A,#N/A,FALSE,"PYADJ96"}</definedName>
    <definedName name="wrn.Base._.Data._.Comparison." localSheetId="30" hidden="1">{#N/A,#N/A,FALSE,"Summation";#N/A,#N/A,FALSE,"BSA";#N/A,#N/A,FALSE,"Detail1";#N/A,#N/A,FALSE,"Detail2";#N/A,#N/A,FALSE,"Detail3";#N/A,#N/A,FALSE,"WFTE_Summary";#N/A,#N/A,FALSE,"Funded_WFTE";#N/A,#N/A,FALSE,"PYADJ96"}</definedName>
    <definedName name="wrn.Base._.Data._.Comparison." localSheetId="31" hidden="1">{#N/A,#N/A,FALSE,"Summation";#N/A,#N/A,FALSE,"BSA";#N/A,#N/A,FALSE,"Detail1";#N/A,#N/A,FALSE,"Detail2";#N/A,#N/A,FALSE,"Detail3";#N/A,#N/A,FALSE,"WFTE_Summary";#N/A,#N/A,FALSE,"Funded_WFTE";#N/A,#N/A,FALSE,"PYADJ96"}</definedName>
    <definedName name="wrn.Base._.Data._.Comparison." localSheetId="32" hidden="1">{#N/A,#N/A,FALSE,"Summation";#N/A,#N/A,FALSE,"BSA";#N/A,#N/A,FALSE,"Detail1";#N/A,#N/A,FALSE,"Detail2";#N/A,#N/A,FALSE,"Detail3";#N/A,#N/A,FALSE,"WFTE_Summary";#N/A,#N/A,FALSE,"Funded_WFTE";#N/A,#N/A,FALSE,"PYADJ96"}</definedName>
    <definedName name="wrn.Base._.Data._.Comparison." localSheetId="33" hidden="1">{#N/A,#N/A,FALSE,"Summation";#N/A,#N/A,FALSE,"BSA";#N/A,#N/A,FALSE,"Detail1";#N/A,#N/A,FALSE,"Detail2";#N/A,#N/A,FALSE,"Detail3";#N/A,#N/A,FALSE,"WFTE_Summary";#N/A,#N/A,FALSE,"Funded_WFTE";#N/A,#N/A,FALSE,"PYADJ96"}</definedName>
    <definedName name="wrn.Base._.Data._.Comparison." localSheetId="34" hidden="1">{#N/A,#N/A,FALSE,"Summation";#N/A,#N/A,FALSE,"BSA";#N/A,#N/A,FALSE,"Detail1";#N/A,#N/A,FALSE,"Detail2";#N/A,#N/A,FALSE,"Detail3";#N/A,#N/A,FALSE,"WFTE_Summary";#N/A,#N/A,FALSE,"Funded_WFTE";#N/A,#N/A,FALSE,"PYADJ96"}</definedName>
    <definedName name="wrn.Base._.Data._.Comparison." localSheetId="35" hidden="1">{#N/A,#N/A,FALSE,"Summation";#N/A,#N/A,FALSE,"BSA";#N/A,#N/A,FALSE,"Detail1";#N/A,#N/A,FALSE,"Detail2";#N/A,#N/A,FALSE,"Detail3";#N/A,#N/A,FALSE,"WFTE_Summary";#N/A,#N/A,FALSE,"Funded_WFTE";#N/A,#N/A,FALSE,"PYADJ96"}</definedName>
    <definedName name="wrn.Base._.Data._.Comparison." localSheetId="36" hidden="1">{#N/A,#N/A,FALSE,"Summation";#N/A,#N/A,FALSE,"BSA";#N/A,#N/A,FALSE,"Detail1";#N/A,#N/A,FALSE,"Detail2";#N/A,#N/A,FALSE,"Detail3";#N/A,#N/A,FALSE,"WFTE_Summary";#N/A,#N/A,FALSE,"Funded_WFTE";#N/A,#N/A,FALSE,"PYADJ96"}</definedName>
    <definedName name="wrn.Base._.Data._.Comparison." localSheetId="37" hidden="1">{#N/A,#N/A,FALSE,"Summation";#N/A,#N/A,FALSE,"BSA";#N/A,#N/A,FALSE,"Detail1";#N/A,#N/A,FALSE,"Detail2";#N/A,#N/A,FALSE,"Detail3";#N/A,#N/A,FALSE,"WFTE_Summary";#N/A,#N/A,FALSE,"Funded_WFTE";#N/A,#N/A,FALSE,"PYADJ96"}</definedName>
    <definedName name="wrn.Base._.Data._.Comparison." localSheetId="38" hidden="1">{#N/A,#N/A,FALSE,"Summation";#N/A,#N/A,FALSE,"BSA";#N/A,#N/A,FALSE,"Detail1";#N/A,#N/A,FALSE,"Detail2";#N/A,#N/A,FALSE,"Detail3";#N/A,#N/A,FALSE,"WFTE_Summary";#N/A,#N/A,FALSE,"Funded_WFTE";#N/A,#N/A,FALSE,"PYADJ96"}</definedName>
    <definedName name="wrn.Base._.Data._.Comparison." localSheetId="39" hidden="1">{#N/A,#N/A,FALSE,"Summation";#N/A,#N/A,FALSE,"BSA";#N/A,#N/A,FALSE,"Detail1";#N/A,#N/A,FALSE,"Detail2";#N/A,#N/A,FALSE,"Detail3";#N/A,#N/A,FALSE,"WFTE_Summary";#N/A,#N/A,FALSE,"Funded_WFTE";#N/A,#N/A,FALSE,"PYADJ96"}</definedName>
    <definedName name="wrn.Base._.Data._.Comparison." localSheetId="40" hidden="1">{#N/A,#N/A,FALSE,"Summation";#N/A,#N/A,FALSE,"BSA";#N/A,#N/A,FALSE,"Detail1";#N/A,#N/A,FALSE,"Detail2";#N/A,#N/A,FALSE,"Detail3";#N/A,#N/A,FALSE,"WFTE_Summary";#N/A,#N/A,FALSE,"Funded_WFTE";#N/A,#N/A,FALSE,"PYADJ96"}</definedName>
    <definedName name="wrn.Base._.Data._.Comparison." localSheetId="41" hidden="1">{#N/A,#N/A,FALSE,"Summation";#N/A,#N/A,FALSE,"BSA";#N/A,#N/A,FALSE,"Detail1";#N/A,#N/A,FALSE,"Detail2";#N/A,#N/A,FALSE,"Detail3";#N/A,#N/A,FALSE,"WFTE_Summary";#N/A,#N/A,FALSE,"Funded_WFTE";#N/A,#N/A,FALSE,"PYADJ96"}</definedName>
    <definedName name="wrn.Base._.Data._.Comparison." localSheetId="42" hidden="1">{#N/A,#N/A,FALSE,"Summation";#N/A,#N/A,FALSE,"BSA";#N/A,#N/A,FALSE,"Detail1";#N/A,#N/A,FALSE,"Detail2";#N/A,#N/A,FALSE,"Detail3";#N/A,#N/A,FALSE,"WFTE_Summary";#N/A,#N/A,FALSE,"Funded_WFTE";#N/A,#N/A,FALSE,"PYADJ96"}</definedName>
    <definedName name="wrn.Base._.Data._.Comparison." localSheetId="43" hidden="1">{#N/A,#N/A,FALSE,"Summation";#N/A,#N/A,FALSE,"BSA";#N/A,#N/A,FALSE,"Detail1";#N/A,#N/A,FALSE,"Detail2";#N/A,#N/A,FALSE,"Detail3";#N/A,#N/A,FALSE,"WFTE_Summary";#N/A,#N/A,FALSE,"Funded_WFTE";#N/A,#N/A,FALSE,"PYADJ96"}</definedName>
    <definedName name="wrn.Base._.Data._.Comparison." localSheetId="44" hidden="1">{#N/A,#N/A,FALSE,"Summation";#N/A,#N/A,FALSE,"BSA";#N/A,#N/A,FALSE,"Detail1";#N/A,#N/A,FALSE,"Detail2";#N/A,#N/A,FALSE,"Detail3";#N/A,#N/A,FALSE,"WFTE_Summary";#N/A,#N/A,FALSE,"Funded_WFTE";#N/A,#N/A,FALSE,"PYADJ96"}</definedName>
    <definedName name="wrn.Base._.Data._.Comparison." localSheetId="45" hidden="1">{#N/A,#N/A,FALSE,"Summation";#N/A,#N/A,FALSE,"BSA";#N/A,#N/A,FALSE,"Detail1";#N/A,#N/A,FALSE,"Detail2";#N/A,#N/A,FALSE,"Detail3";#N/A,#N/A,FALSE,"WFTE_Summary";#N/A,#N/A,FALSE,"Funded_WFTE";#N/A,#N/A,FALSE,"PYADJ96"}</definedName>
    <definedName name="wrn.Base._.Data._.Comparison." localSheetId="46" hidden="1">{#N/A,#N/A,FALSE,"Summation";#N/A,#N/A,FALSE,"BSA";#N/A,#N/A,FALSE,"Detail1";#N/A,#N/A,FALSE,"Detail2";#N/A,#N/A,FALSE,"Detail3";#N/A,#N/A,FALSE,"WFTE_Summary";#N/A,#N/A,FALSE,"Funded_WFTE";#N/A,#N/A,FALSE,"PYADJ96"}</definedName>
    <definedName name="wrn.Base._.Data._.Comparison." localSheetId="47" hidden="1">{#N/A,#N/A,FALSE,"Summation";#N/A,#N/A,FALSE,"BSA";#N/A,#N/A,FALSE,"Detail1";#N/A,#N/A,FALSE,"Detail2";#N/A,#N/A,FALSE,"Detail3";#N/A,#N/A,FALSE,"WFTE_Summary";#N/A,#N/A,FALSE,"Funded_WFTE";#N/A,#N/A,FALSE,"PYADJ96"}</definedName>
    <definedName name="wrn.Base._.Data._.Comparison." localSheetId="48" hidden="1">{#N/A,#N/A,FALSE,"Summation";#N/A,#N/A,FALSE,"BSA";#N/A,#N/A,FALSE,"Detail1";#N/A,#N/A,FALSE,"Detail2";#N/A,#N/A,FALSE,"Detail3";#N/A,#N/A,FALSE,"WFTE_Summary";#N/A,#N/A,FALSE,"Funded_WFTE";#N/A,#N/A,FALSE,"PYADJ96"}</definedName>
    <definedName name="wrn.Base._.Data._.Comparison." localSheetId="49" hidden="1">{#N/A,#N/A,FALSE,"Summation";#N/A,#N/A,FALSE,"BSA";#N/A,#N/A,FALSE,"Detail1";#N/A,#N/A,FALSE,"Detail2";#N/A,#N/A,FALSE,"Detail3";#N/A,#N/A,FALSE,"WFTE_Summary";#N/A,#N/A,FALSE,"Funded_WFTE";#N/A,#N/A,FALSE,"PYADJ96"}</definedName>
    <definedName name="wrn.Base._.Data._.Comparison." localSheetId="50" hidden="1">{#N/A,#N/A,FALSE,"Summation";#N/A,#N/A,FALSE,"BSA";#N/A,#N/A,FALSE,"Detail1";#N/A,#N/A,FALSE,"Detail2";#N/A,#N/A,FALSE,"Detail3";#N/A,#N/A,FALSE,"WFTE_Summary";#N/A,#N/A,FALSE,"Funded_WFTE";#N/A,#N/A,FALSE,"PYADJ96"}</definedName>
    <definedName name="wrn.Base._.Data._.Comparison." localSheetId="51" hidden="1">{#N/A,#N/A,FALSE,"Summation";#N/A,#N/A,FALSE,"BSA";#N/A,#N/A,FALSE,"Detail1";#N/A,#N/A,FALSE,"Detail2";#N/A,#N/A,FALSE,"Detail3";#N/A,#N/A,FALSE,"WFTE_Summary";#N/A,#N/A,FALSE,"Funded_WFTE";#N/A,#N/A,FALSE,"PYADJ96"}</definedName>
    <definedName name="wrn.Base._.Data._.Comparison." localSheetId="52" hidden="1">{#N/A,#N/A,FALSE,"Summation";#N/A,#N/A,FALSE,"BSA";#N/A,#N/A,FALSE,"Detail1";#N/A,#N/A,FALSE,"Detail2";#N/A,#N/A,FALSE,"Detail3";#N/A,#N/A,FALSE,"WFTE_Summary";#N/A,#N/A,FALSE,"Funded_WFTE";#N/A,#N/A,FALSE,"PYADJ96"}</definedName>
    <definedName name="wrn.Base._.Data._.Comparison." localSheetId="53" hidden="1">{#N/A,#N/A,FALSE,"Summation";#N/A,#N/A,FALSE,"BSA";#N/A,#N/A,FALSE,"Detail1";#N/A,#N/A,FALSE,"Detail2";#N/A,#N/A,FALSE,"Detail3";#N/A,#N/A,FALSE,"WFTE_Summary";#N/A,#N/A,FALSE,"Funded_WFTE";#N/A,#N/A,FALSE,"PYADJ96"}</definedName>
    <definedName name="wrn.Base._.Data._.Comparison." localSheetId="54" hidden="1">{#N/A,#N/A,FALSE,"Summation";#N/A,#N/A,FALSE,"BSA";#N/A,#N/A,FALSE,"Detail1";#N/A,#N/A,FALSE,"Detail2";#N/A,#N/A,FALSE,"Detail3";#N/A,#N/A,FALSE,"WFTE_Summary";#N/A,#N/A,FALSE,"Funded_WFTE";#N/A,#N/A,FALSE,"PYADJ96"}</definedName>
    <definedName name="wrn.Base._.Data._.Comparison." localSheetId="55" hidden="1">{#N/A,#N/A,FALSE,"Summation";#N/A,#N/A,FALSE,"BSA";#N/A,#N/A,FALSE,"Detail1";#N/A,#N/A,FALSE,"Detail2";#N/A,#N/A,FALSE,"Detail3";#N/A,#N/A,FALSE,"WFTE_Summary";#N/A,#N/A,FALSE,"Funded_WFTE";#N/A,#N/A,FALSE,"PYADJ96"}</definedName>
    <definedName name="wrn.Base._.Data._.Comparison." localSheetId="56" hidden="1">{#N/A,#N/A,FALSE,"Summation";#N/A,#N/A,FALSE,"BSA";#N/A,#N/A,FALSE,"Detail1";#N/A,#N/A,FALSE,"Detail2";#N/A,#N/A,FALSE,"Detail3";#N/A,#N/A,FALSE,"WFTE_Summary";#N/A,#N/A,FALSE,"Funded_WFTE";#N/A,#N/A,FALSE,"PYADJ96"}</definedName>
    <definedName name="wrn.Base._.Data._.Comparison." localSheetId="57" hidden="1">{#N/A,#N/A,FALSE,"Summation";#N/A,#N/A,FALSE,"BSA";#N/A,#N/A,FALSE,"Detail1";#N/A,#N/A,FALSE,"Detail2";#N/A,#N/A,FALSE,"Detail3";#N/A,#N/A,FALSE,"WFTE_Summary";#N/A,#N/A,FALSE,"Funded_WFTE";#N/A,#N/A,FALSE,"PYADJ96"}</definedName>
    <definedName name="wrn.Base._.Data._.Comparison." localSheetId="58" hidden="1">{#N/A,#N/A,FALSE,"Summation";#N/A,#N/A,FALSE,"BSA";#N/A,#N/A,FALSE,"Detail1";#N/A,#N/A,FALSE,"Detail2";#N/A,#N/A,FALSE,"Detail3";#N/A,#N/A,FALSE,"WFTE_Summary";#N/A,#N/A,FALSE,"Funded_WFTE";#N/A,#N/A,FALSE,"PYADJ96"}</definedName>
    <definedName name="wrn.Base._.Data._.Comparison." localSheetId="2" hidden="1">{#N/A,#N/A,FALSE,"Summation";#N/A,#N/A,FALSE,"BSA";#N/A,#N/A,FALSE,"Detail1";#N/A,#N/A,FALSE,"Detail2";#N/A,#N/A,FALSE,"Detail3";#N/A,#N/A,FALSE,"WFTE_Summary";#N/A,#N/A,FALSE,"Funded_WFTE";#N/A,#N/A,FALSE,"PYADJ96"}</definedName>
    <definedName name="wrn.Base._.Data._.Comparison." localSheetId="3" hidden="1">{#N/A,#N/A,FALSE,"Summation";#N/A,#N/A,FALSE,"BSA";#N/A,#N/A,FALSE,"Detail1";#N/A,#N/A,FALSE,"Detail2";#N/A,#N/A,FALSE,"Detail3";#N/A,#N/A,FALSE,"WFTE_Summary";#N/A,#N/A,FALSE,"Funded_WFTE";#N/A,#N/A,FALSE,"PYADJ96"}</definedName>
    <definedName name="wrn.Base._.Data._.Comparison." localSheetId="5" hidden="1">{#N/A,#N/A,FALSE,"Summation";#N/A,#N/A,FALSE,"BSA";#N/A,#N/A,FALSE,"Detail1";#N/A,#N/A,FALSE,"Detail2";#N/A,#N/A,FALSE,"Detail3";#N/A,#N/A,FALSE,"WFTE_Summary";#N/A,#N/A,FALSE,"Funded_WFTE";#N/A,#N/A,FALSE,"PYADJ96"}</definedName>
    <definedName name="wrn.Base._.Data._.Comparison." localSheetId="4" hidden="1">{#N/A,#N/A,FALSE,"Summation";#N/A,#N/A,FALSE,"BSA";#N/A,#N/A,FALSE,"Detail1";#N/A,#N/A,FALSE,"Detail2";#N/A,#N/A,FALSE,"Detail3";#N/A,#N/A,FALSE,"WFTE_Summary";#N/A,#N/A,FALSE,"Funded_WFTE";#N/A,#N/A,FALSE,"PYADJ96"}</definedName>
    <definedName name="wrn.Base._.Data._.Comparison." localSheetId="1" hidden="1">{#N/A,#N/A,FALSE,"Summation";#N/A,#N/A,FALSE,"BSA";#N/A,#N/A,FALSE,"Detail1";#N/A,#N/A,FALSE,"Detail2";#N/A,#N/A,FALSE,"Detail3";#N/A,#N/A,FALSE,"WFTE_Summary";#N/A,#N/A,FALSE,"Funded_WFTE";#N/A,#N/A,FALSE,"PYADJ96"}</definedName>
    <definedName name="wrn.Base._.Data._.Comparison." localSheetId="0" hidden="1">{#N/A,#N/A,FALSE,"Summation";#N/A,#N/A,FALSE,"BSA";#N/A,#N/A,FALSE,"Detail1";#N/A,#N/A,FALSE,"Detail2";#N/A,#N/A,FALSE,"Detail3";#N/A,#N/A,FALSE,"WFTE_Summary";#N/A,#N/A,FALSE,"Funded_WFTE";#N/A,#N/A,FALSE,"PYADJ96"}</definedName>
    <definedName name="wrn.Base._.Data._.Comparison." hidden="1">{#N/A,#N/A,FALSE,"Summation";#N/A,#N/A,FALSE,"BSA";#N/A,#N/A,FALSE,"Detail1";#N/A,#N/A,FALSE,"Detail2";#N/A,#N/A,FALSE,"Detail3";#N/A,#N/A,FALSE,"WFTE_Summary";#N/A,#N/A,FALSE,"Funded_WFTE";#N/A,#N/A,FALSE,"PYADJ96"}</definedName>
    <definedName name="wrn.SecondCalc9798." localSheetId="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61" i="54" l="1"/>
  <c r="I149" i="56"/>
  <c r="G37" i="88"/>
  <c r="G36" i="88"/>
  <c r="G37" i="89"/>
  <c r="G36" i="89"/>
  <c r="D97" i="89"/>
  <c r="C97" i="89"/>
  <c r="J78" i="89"/>
  <c r="D89" i="57"/>
  <c r="D102" i="57"/>
  <c r="D115" i="57"/>
  <c r="D124" i="57"/>
  <c r="J63" i="57"/>
  <c r="E58" i="57"/>
  <c r="O57" i="54" l="1" a="1"/>
  <c r="O57" i="54" s="1"/>
  <c r="V57" i="54"/>
  <c r="U57" i="54"/>
  <c r="M219" i="109"/>
  <c r="L219" i="109"/>
  <c r="K219" i="109"/>
  <c r="J219" i="109"/>
  <c r="D219" i="109"/>
  <c r="E219" i="109"/>
  <c r="F219" i="109"/>
  <c r="C219" i="109"/>
  <c r="D49" i="59"/>
  <c r="C49" i="59"/>
  <c r="D48" i="59"/>
  <c r="C48" i="59"/>
  <c r="D47" i="59"/>
  <c r="C47" i="59"/>
  <c r="D46" i="59"/>
  <c r="C46" i="59"/>
  <c r="D45" i="59"/>
  <c r="C45" i="59"/>
  <c r="D44" i="59"/>
  <c r="C44" i="59"/>
  <c r="D43" i="59"/>
  <c r="C43" i="59"/>
  <c r="D42" i="59"/>
  <c r="C42" i="59"/>
  <c r="D41" i="59"/>
  <c r="C41" i="59"/>
  <c r="D49" i="60"/>
  <c r="C49" i="60"/>
  <c r="D48" i="60"/>
  <c r="C48" i="60"/>
  <c r="D47" i="60"/>
  <c r="C47" i="60"/>
  <c r="D46" i="60"/>
  <c r="C46" i="60"/>
  <c r="D45" i="60"/>
  <c r="C45" i="60"/>
  <c r="D44" i="60"/>
  <c r="C44" i="60"/>
  <c r="D43" i="60"/>
  <c r="C43" i="60"/>
  <c r="D42" i="60"/>
  <c r="C42" i="60"/>
  <c r="D41" i="60"/>
  <c r="C41" i="60"/>
  <c r="D49" i="61"/>
  <c r="C49" i="61"/>
  <c r="D48" i="61"/>
  <c r="C48" i="61"/>
  <c r="D47" i="61"/>
  <c r="C47" i="61"/>
  <c r="D46" i="61"/>
  <c r="C46" i="61"/>
  <c r="D45" i="61"/>
  <c r="C45" i="61"/>
  <c r="D44" i="61"/>
  <c r="C44" i="61"/>
  <c r="D43" i="61"/>
  <c r="C43" i="61"/>
  <c r="D42" i="61"/>
  <c r="C42" i="61"/>
  <c r="D41" i="61"/>
  <c r="C41" i="61"/>
  <c r="D49" i="62"/>
  <c r="C49" i="62"/>
  <c r="D48" i="62"/>
  <c r="C48" i="62"/>
  <c r="D47" i="62"/>
  <c r="C47" i="62"/>
  <c r="D46" i="62"/>
  <c r="C46" i="62"/>
  <c r="D45" i="62"/>
  <c r="C45" i="62"/>
  <c r="D44" i="62"/>
  <c r="C44" i="62"/>
  <c r="D43" i="62"/>
  <c r="C43" i="62"/>
  <c r="D42" i="62"/>
  <c r="C42" i="62"/>
  <c r="D41" i="62"/>
  <c r="C41" i="62"/>
  <c r="D49" i="63"/>
  <c r="C49" i="63"/>
  <c r="D48" i="63"/>
  <c r="C48" i="63"/>
  <c r="D47" i="63"/>
  <c r="C47" i="63"/>
  <c r="D46" i="63"/>
  <c r="C46" i="63"/>
  <c r="D45" i="63"/>
  <c r="C45" i="63"/>
  <c r="D44" i="63"/>
  <c r="C44" i="63"/>
  <c r="D43" i="63"/>
  <c r="C43" i="63"/>
  <c r="D42" i="63"/>
  <c r="C42" i="63"/>
  <c r="D41" i="63"/>
  <c r="C41" i="63"/>
  <c r="D49" i="64"/>
  <c r="C49" i="64"/>
  <c r="D48" i="64"/>
  <c r="C48" i="64"/>
  <c r="D47" i="64"/>
  <c r="C47" i="64"/>
  <c r="D46" i="64"/>
  <c r="C46" i="64"/>
  <c r="D45" i="64"/>
  <c r="C45" i="64"/>
  <c r="D44" i="64"/>
  <c r="C44" i="64"/>
  <c r="D43" i="64"/>
  <c r="C43" i="64"/>
  <c r="D42" i="64"/>
  <c r="C42" i="64"/>
  <c r="D41" i="64"/>
  <c r="C41" i="64"/>
  <c r="D49" i="65"/>
  <c r="C49" i="65"/>
  <c r="D48" i="65"/>
  <c r="C48" i="65"/>
  <c r="D47" i="65"/>
  <c r="C47" i="65"/>
  <c r="D46" i="65"/>
  <c r="C46" i="65"/>
  <c r="D45" i="65"/>
  <c r="C45" i="65"/>
  <c r="D44" i="65"/>
  <c r="C44" i="65"/>
  <c r="D43" i="65"/>
  <c r="C43" i="65"/>
  <c r="D42" i="65"/>
  <c r="C42" i="65"/>
  <c r="D41" i="65"/>
  <c r="C41" i="65"/>
  <c r="D49" i="66"/>
  <c r="C49" i="66"/>
  <c r="D48" i="66"/>
  <c r="C48" i="66"/>
  <c r="D47" i="66"/>
  <c r="C47" i="66"/>
  <c r="D46" i="66"/>
  <c r="C46" i="66"/>
  <c r="D45" i="66"/>
  <c r="C45" i="66"/>
  <c r="D44" i="66"/>
  <c r="C44" i="66"/>
  <c r="D43" i="66"/>
  <c r="C43" i="66"/>
  <c r="D42" i="66"/>
  <c r="C42" i="66"/>
  <c r="D41" i="66"/>
  <c r="C41" i="66"/>
  <c r="D49" i="67"/>
  <c r="C49" i="67"/>
  <c r="D48" i="67"/>
  <c r="C48" i="67"/>
  <c r="D47" i="67"/>
  <c r="C47" i="67"/>
  <c r="D46" i="67"/>
  <c r="C46" i="67"/>
  <c r="D45" i="67"/>
  <c r="C45" i="67"/>
  <c r="D44" i="67"/>
  <c r="C44" i="67"/>
  <c r="D43" i="67"/>
  <c r="C43" i="67"/>
  <c r="D42" i="67"/>
  <c r="C42" i="67"/>
  <c r="D41" i="67"/>
  <c r="C41" i="67"/>
  <c r="D49" i="68"/>
  <c r="C49" i="68"/>
  <c r="D48" i="68"/>
  <c r="C48" i="68"/>
  <c r="D47" i="68"/>
  <c r="C47" i="68"/>
  <c r="D46" i="68"/>
  <c r="C46" i="68"/>
  <c r="D45" i="68"/>
  <c r="C45" i="68"/>
  <c r="D44" i="68"/>
  <c r="C44" i="68"/>
  <c r="D43" i="68"/>
  <c r="C43" i="68"/>
  <c r="D42" i="68"/>
  <c r="C42" i="68"/>
  <c r="D41" i="68"/>
  <c r="C41" i="68"/>
  <c r="D49" i="108"/>
  <c r="C49" i="108"/>
  <c r="D48" i="108"/>
  <c r="C48" i="108"/>
  <c r="D47" i="108"/>
  <c r="C47" i="108"/>
  <c r="D46" i="108"/>
  <c r="C46" i="108"/>
  <c r="D45" i="108"/>
  <c r="C45" i="108"/>
  <c r="D44" i="108"/>
  <c r="C44" i="108"/>
  <c r="D43" i="108"/>
  <c r="C43" i="108"/>
  <c r="D42" i="108"/>
  <c r="C42" i="108"/>
  <c r="D41" i="108"/>
  <c r="C41" i="108"/>
  <c r="D49" i="69"/>
  <c r="C49" i="69"/>
  <c r="D48" i="69"/>
  <c r="C48" i="69"/>
  <c r="D47" i="69"/>
  <c r="C47" i="69"/>
  <c r="D46" i="69"/>
  <c r="C46" i="69"/>
  <c r="D45" i="69"/>
  <c r="C45" i="69"/>
  <c r="D44" i="69"/>
  <c r="C44" i="69"/>
  <c r="D43" i="69"/>
  <c r="C43" i="69"/>
  <c r="D42" i="69"/>
  <c r="C42" i="69"/>
  <c r="D41" i="69"/>
  <c r="C41" i="69"/>
  <c r="D49" i="70"/>
  <c r="C49" i="70"/>
  <c r="D48" i="70"/>
  <c r="C48" i="70"/>
  <c r="D47" i="70"/>
  <c r="C47" i="70"/>
  <c r="D46" i="70"/>
  <c r="C46" i="70"/>
  <c r="D45" i="70"/>
  <c r="C45" i="70"/>
  <c r="D44" i="70"/>
  <c r="C44" i="70"/>
  <c r="D43" i="70"/>
  <c r="C43" i="70"/>
  <c r="D42" i="70"/>
  <c r="C42" i="70"/>
  <c r="D41" i="70"/>
  <c r="C41" i="70"/>
  <c r="D49" i="71"/>
  <c r="C49" i="71"/>
  <c r="D48" i="71"/>
  <c r="C48" i="71"/>
  <c r="D47" i="71"/>
  <c r="C47" i="71"/>
  <c r="D46" i="71"/>
  <c r="C46" i="71"/>
  <c r="D45" i="71"/>
  <c r="C45" i="71"/>
  <c r="D44" i="71"/>
  <c r="C44" i="71"/>
  <c r="D43" i="71"/>
  <c r="C43" i="71"/>
  <c r="D42" i="71"/>
  <c r="C42" i="71"/>
  <c r="D41" i="71"/>
  <c r="C41" i="71"/>
  <c r="D49" i="72"/>
  <c r="C49" i="72"/>
  <c r="D48" i="72"/>
  <c r="C48" i="72"/>
  <c r="D47" i="72"/>
  <c r="C47" i="72"/>
  <c r="D46" i="72"/>
  <c r="C46" i="72"/>
  <c r="D45" i="72"/>
  <c r="C45" i="72"/>
  <c r="D44" i="72"/>
  <c r="C44" i="72"/>
  <c r="D43" i="72"/>
  <c r="C43" i="72"/>
  <c r="D42" i="72"/>
  <c r="C42" i="72"/>
  <c r="D41" i="72"/>
  <c r="C41" i="72"/>
  <c r="D49" i="73"/>
  <c r="C49" i="73"/>
  <c r="D48" i="73"/>
  <c r="C48" i="73"/>
  <c r="D47" i="73"/>
  <c r="C47" i="73"/>
  <c r="D46" i="73"/>
  <c r="C46" i="73"/>
  <c r="D45" i="73"/>
  <c r="C45" i="73"/>
  <c r="D44" i="73"/>
  <c r="C44" i="73"/>
  <c r="D43" i="73"/>
  <c r="C43" i="73"/>
  <c r="D42" i="73"/>
  <c r="C42" i="73"/>
  <c r="D41" i="73"/>
  <c r="C41" i="73"/>
  <c r="D49" i="74"/>
  <c r="C49" i="74"/>
  <c r="D48" i="74"/>
  <c r="C48" i="74"/>
  <c r="D47" i="74"/>
  <c r="C47" i="74"/>
  <c r="D46" i="74"/>
  <c r="C46" i="74"/>
  <c r="D45" i="74"/>
  <c r="C45" i="74"/>
  <c r="D44" i="74"/>
  <c r="C44" i="74"/>
  <c r="D43" i="74"/>
  <c r="C43" i="74"/>
  <c r="D42" i="74"/>
  <c r="C42" i="74"/>
  <c r="D41" i="74"/>
  <c r="C41" i="74"/>
  <c r="D49" i="75"/>
  <c r="C49" i="75"/>
  <c r="D48" i="75"/>
  <c r="C48" i="75"/>
  <c r="D47" i="75"/>
  <c r="C47" i="75"/>
  <c r="D46" i="75"/>
  <c r="C46" i="75"/>
  <c r="D45" i="75"/>
  <c r="C45" i="75"/>
  <c r="D44" i="75"/>
  <c r="C44" i="75"/>
  <c r="D43" i="75"/>
  <c r="C43" i="75"/>
  <c r="D42" i="75"/>
  <c r="C42" i="75"/>
  <c r="D41" i="75"/>
  <c r="C41" i="75"/>
  <c r="D49" i="76"/>
  <c r="C49" i="76"/>
  <c r="D48" i="76"/>
  <c r="C48" i="76"/>
  <c r="D47" i="76"/>
  <c r="C47" i="76"/>
  <c r="D46" i="76"/>
  <c r="C46" i="76"/>
  <c r="D45" i="76"/>
  <c r="C45" i="76"/>
  <c r="D44" i="76"/>
  <c r="C44" i="76"/>
  <c r="D43" i="76"/>
  <c r="C43" i="76"/>
  <c r="D42" i="76"/>
  <c r="C42" i="76"/>
  <c r="D41" i="76"/>
  <c r="C41" i="76"/>
  <c r="D49" i="77"/>
  <c r="C49" i="77"/>
  <c r="D48" i="77"/>
  <c r="C48" i="77"/>
  <c r="D47" i="77"/>
  <c r="C47" i="77"/>
  <c r="D46" i="77"/>
  <c r="C46" i="77"/>
  <c r="D45" i="77"/>
  <c r="C45" i="77"/>
  <c r="D44" i="77"/>
  <c r="C44" i="77"/>
  <c r="D43" i="77"/>
  <c r="C43" i="77"/>
  <c r="D42" i="77"/>
  <c r="C42" i="77"/>
  <c r="D41" i="77"/>
  <c r="C41" i="77"/>
  <c r="D49" i="78"/>
  <c r="C49" i="78"/>
  <c r="D48" i="78"/>
  <c r="C48" i="78"/>
  <c r="D47" i="78"/>
  <c r="C47" i="78"/>
  <c r="D46" i="78"/>
  <c r="C46" i="78"/>
  <c r="D45" i="78"/>
  <c r="C45" i="78"/>
  <c r="D44" i="78"/>
  <c r="C44" i="78"/>
  <c r="D43" i="78"/>
  <c r="C43" i="78"/>
  <c r="D42" i="78"/>
  <c r="C42" i="78"/>
  <c r="D41" i="78"/>
  <c r="C41" i="78"/>
  <c r="D49" i="79"/>
  <c r="C49" i="79"/>
  <c r="D48" i="79"/>
  <c r="C48" i="79"/>
  <c r="D47" i="79"/>
  <c r="C47" i="79"/>
  <c r="D46" i="79"/>
  <c r="C46" i="79"/>
  <c r="D45" i="79"/>
  <c r="C45" i="79"/>
  <c r="D44" i="79"/>
  <c r="C44" i="79"/>
  <c r="D43" i="79"/>
  <c r="C43" i="79"/>
  <c r="D42" i="79"/>
  <c r="C42" i="79"/>
  <c r="D41" i="79"/>
  <c r="C41" i="79"/>
  <c r="D49" i="80"/>
  <c r="C49" i="80"/>
  <c r="D48" i="80"/>
  <c r="C48" i="80"/>
  <c r="D47" i="80"/>
  <c r="C47" i="80"/>
  <c r="D46" i="80"/>
  <c r="C46" i="80"/>
  <c r="D45" i="80"/>
  <c r="C45" i="80"/>
  <c r="D44" i="80"/>
  <c r="C44" i="80"/>
  <c r="D43" i="80"/>
  <c r="C43" i="80"/>
  <c r="D42" i="80"/>
  <c r="C42" i="80"/>
  <c r="D41" i="80"/>
  <c r="C41" i="80"/>
  <c r="D49" i="81"/>
  <c r="C49" i="81"/>
  <c r="D48" i="81"/>
  <c r="C48" i="81"/>
  <c r="D47" i="81"/>
  <c r="C47" i="81"/>
  <c r="D46" i="81"/>
  <c r="C46" i="81"/>
  <c r="D45" i="81"/>
  <c r="C45" i="81"/>
  <c r="D44" i="81"/>
  <c r="C44" i="81"/>
  <c r="D43" i="81"/>
  <c r="C43" i="81"/>
  <c r="D42" i="81"/>
  <c r="C42" i="81"/>
  <c r="D41" i="81"/>
  <c r="C41" i="81"/>
  <c r="D49" i="82"/>
  <c r="C49" i="82"/>
  <c r="D48" i="82"/>
  <c r="C48" i="82"/>
  <c r="D47" i="82"/>
  <c r="C47" i="82"/>
  <c r="D46" i="82"/>
  <c r="C46" i="82"/>
  <c r="D45" i="82"/>
  <c r="C45" i="82"/>
  <c r="D44" i="82"/>
  <c r="C44" i="82"/>
  <c r="D43" i="82"/>
  <c r="C43" i="82"/>
  <c r="D42" i="82"/>
  <c r="C42" i="82"/>
  <c r="D41" i="82"/>
  <c r="C41" i="82"/>
  <c r="D49" i="83"/>
  <c r="C49" i="83"/>
  <c r="D48" i="83"/>
  <c r="C48" i="83"/>
  <c r="D47" i="83"/>
  <c r="C47" i="83"/>
  <c r="D46" i="83"/>
  <c r="C46" i="83"/>
  <c r="D45" i="83"/>
  <c r="C45" i="83"/>
  <c r="D44" i="83"/>
  <c r="C44" i="83"/>
  <c r="D43" i="83"/>
  <c r="C43" i="83"/>
  <c r="D42" i="83"/>
  <c r="C42" i="83"/>
  <c r="D41" i="83"/>
  <c r="C41" i="83"/>
  <c r="D49" i="84"/>
  <c r="C49" i="84"/>
  <c r="D48" i="84"/>
  <c r="C48" i="84"/>
  <c r="D47" i="84"/>
  <c r="C47" i="84"/>
  <c r="D46" i="84"/>
  <c r="C46" i="84"/>
  <c r="D45" i="84"/>
  <c r="C45" i="84"/>
  <c r="D44" i="84"/>
  <c r="C44" i="84"/>
  <c r="D43" i="84"/>
  <c r="C43" i="84"/>
  <c r="D42" i="84"/>
  <c r="C42" i="84"/>
  <c r="D41" i="84"/>
  <c r="C41" i="84"/>
  <c r="D49" i="85"/>
  <c r="C49" i="85"/>
  <c r="D48" i="85"/>
  <c r="C48" i="85"/>
  <c r="D47" i="85"/>
  <c r="C47" i="85"/>
  <c r="D46" i="85"/>
  <c r="C46" i="85"/>
  <c r="D45" i="85"/>
  <c r="C45" i="85"/>
  <c r="D44" i="85"/>
  <c r="C44" i="85"/>
  <c r="D43" i="85"/>
  <c r="C43" i="85"/>
  <c r="D42" i="85"/>
  <c r="C42" i="85"/>
  <c r="D41" i="85"/>
  <c r="C41" i="85"/>
  <c r="D49" i="86"/>
  <c r="C49" i="86"/>
  <c r="D48" i="86"/>
  <c r="C48" i="86"/>
  <c r="D47" i="86"/>
  <c r="C47" i="86"/>
  <c r="D46" i="86"/>
  <c r="C46" i="86"/>
  <c r="D45" i="86"/>
  <c r="C45" i="86"/>
  <c r="D44" i="86"/>
  <c r="C44" i="86"/>
  <c r="D43" i="86"/>
  <c r="C43" i="86"/>
  <c r="D42" i="86"/>
  <c r="C42" i="86"/>
  <c r="D41" i="86"/>
  <c r="C41" i="86"/>
  <c r="D49" i="87"/>
  <c r="C49" i="87"/>
  <c r="D48" i="87"/>
  <c r="C48" i="87"/>
  <c r="D47" i="87"/>
  <c r="C47" i="87"/>
  <c r="D46" i="87"/>
  <c r="C46" i="87"/>
  <c r="D45" i="87"/>
  <c r="C45" i="87"/>
  <c r="D44" i="87"/>
  <c r="C44" i="87"/>
  <c r="D43" i="87"/>
  <c r="C43" i="87"/>
  <c r="D42" i="87"/>
  <c r="C42" i="87"/>
  <c r="D41" i="87"/>
  <c r="C41" i="87"/>
  <c r="D49" i="88"/>
  <c r="C49" i="88"/>
  <c r="D48" i="88"/>
  <c r="C48" i="88"/>
  <c r="D47" i="88"/>
  <c r="C47" i="88"/>
  <c r="D46" i="88"/>
  <c r="C46" i="88"/>
  <c r="D45" i="88"/>
  <c r="C45" i="88"/>
  <c r="D44" i="88"/>
  <c r="C44" i="88"/>
  <c r="D43" i="88"/>
  <c r="C43" i="88"/>
  <c r="D42" i="88"/>
  <c r="C42" i="88"/>
  <c r="D41" i="88"/>
  <c r="C41" i="88"/>
  <c r="D49" i="89"/>
  <c r="C49" i="89"/>
  <c r="D48" i="89"/>
  <c r="C48" i="89"/>
  <c r="D47" i="89"/>
  <c r="C47" i="89"/>
  <c r="D46" i="89"/>
  <c r="C46" i="89"/>
  <c r="D45" i="89"/>
  <c r="C45" i="89"/>
  <c r="D44" i="89"/>
  <c r="C44" i="89"/>
  <c r="D43" i="89"/>
  <c r="C43" i="89"/>
  <c r="D42" i="89"/>
  <c r="C42" i="89"/>
  <c r="D41" i="89"/>
  <c r="C41" i="89"/>
  <c r="D49" i="90"/>
  <c r="C49" i="90"/>
  <c r="D48" i="90"/>
  <c r="C48" i="90"/>
  <c r="D47" i="90"/>
  <c r="C47" i="90"/>
  <c r="D46" i="90"/>
  <c r="C46" i="90"/>
  <c r="D45" i="90"/>
  <c r="C45" i="90"/>
  <c r="D44" i="90"/>
  <c r="C44" i="90"/>
  <c r="D43" i="90"/>
  <c r="C43" i="90"/>
  <c r="D42" i="90"/>
  <c r="C42" i="90"/>
  <c r="D41" i="90"/>
  <c r="C41" i="90"/>
  <c r="D49" i="91"/>
  <c r="C49" i="91"/>
  <c r="D48" i="91"/>
  <c r="C48" i="91"/>
  <c r="D47" i="91"/>
  <c r="C47" i="91"/>
  <c r="D46" i="91"/>
  <c r="C46" i="91"/>
  <c r="D45" i="91"/>
  <c r="C45" i="91"/>
  <c r="D44" i="91"/>
  <c r="C44" i="91"/>
  <c r="D43" i="91"/>
  <c r="C43" i="91"/>
  <c r="D42" i="91"/>
  <c r="C42" i="91"/>
  <c r="D41" i="91"/>
  <c r="C41" i="91"/>
  <c r="D49" i="92"/>
  <c r="C49" i="92"/>
  <c r="D48" i="92"/>
  <c r="C48" i="92"/>
  <c r="D47" i="92"/>
  <c r="C47" i="92"/>
  <c r="D46" i="92"/>
  <c r="C46" i="92"/>
  <c r="D45" i="92"/>
  <c r="C45" i="92"/>
  <c r="D44" i="92"/>
  <c r="C44" i="92"/>
  <c r="D43" i="92"/>
  <c r="C43" i="92"/>
  <c r="D42" i="92"/>
  <c r="C42" i="92"/>
  <c r="D41" i="92"/>
  <c r="C41" i="92"/>
  <c r="D49" i="93"/>
  <c r="C49" i="93"/>
  <c r="D48" i="93"/>
  <c r="C48" i="93"/>
  <c r="D47" i="93"/>
  <c r="C47" i="93"/>
  <c r="D46" i="93"/>
  <c r="C46" i="93"/>
  <c r="D45" i="93"/>
  <c r="C45" i="93"/>
  <c r="D44" i="93"/>
  <c r="C44" i="93"/>
  <c r="D43" i="93"/>
  <c r="C43" i="93"/>
  <c r="D42" i="93"/>
  <c r="C42" i="93"/>
  <c r="D41" i="93"/>
  <c r="C41" i="93"/>
  <c r="D49" i="94"/>
  <c r="C49" i="94"/>
  <c r="D48" i="94"/>
  <c r="C48" i="94"/>
  <c r="D47" i="94"/>
  <c r="C47" i="94"/>
  <c r="D46" i="94"/>
  <c r="C46" i="94"/>
  <c r="D45" i="94"/>
  <c r="C45" i="94"/>
  <c r="D44" i="94"/>
  <c r="C44" i="94"/>
  <c r="D43" i="94"/>
  <c r="C43" i="94"/>
  <c r="D42" i="94"/>
  <c r="C42" i="94"/>
  <c r="D41" i="94"/>
  <c r="C41" i="94"/>
  <c r="D49" i="95"/>
  <c r="C49" i="95"/>
  <c r="D48" i="95"/>
  <c r="C48" i="95"/>
  <c r="D47" i="95"/>
  <c r="C47" i="95"/>
  <c r="D46" i="95"/>
  <c r="C46" i="95"/>
  <c r="D45" i="95"/>
  <c r="C45" i="95"/>
  <c r="D44" i="95"/>
  <c r="C44" i="95"/>
  <c r="D43" i="95"/>
  <c r="C43" i="95"/>
  <c r="D42" i="95"/>
  <c r="C42" i="95"/>
  <c r="D41" i="95"/>
  <c r="C41" i="95"/>
  <c r="D49" i="96"/>
  <c r="C49" i="96"/>
  <c r="D48" i="96"/>
  <c r="C48" i="96"/>
  <c r="D47" i="96"/>
  <c r="C47" i="96"/>
  <c r="D46" i="96"/>
  <c r="C46" i="96"/>
  <c r="D45" i="96"/>
  <c r="C45" i="96"/>
  <c r="D44" i="96"/>
  <c r="C44" i="96"/>
  <c r="D43" i="96"/>
  <c r="C43" i="96"/>
  <c r="D42" i="96"/>
  <c r="C42" i="96"/>
  <c r="D41" i="96"/>
  <c r="C41" i="96"/>
  <c r="D49" i="97"/>
  <c r="C49" i="97"/>
  <c r="D48" i="97"/>
  <c r="C48" i="97"/>
  <c r="D47" i="97"/>
  <c r="C47" i="97"/>
  <c r="D46" i="97"/>
  <c r="C46" i="97"/>
  <c r="D45" i="97"/>
  <c r="C45" i="97"/>
  <c r="D44" i="97"/>
  <c r="C44" i="97"/>
  <c r="D43" i="97"/>
  <c r="C43" i="97"/>
  <c r="D42" i="97"/>
  <c r="C42" i="97"/>
  <c r="D41" i="97"/>
  <c r="C41" i="97"/>
  <c r="D49" i="98"/>
  <c r="C49" i="98"/>
  <c r="D48" i="98"/>
  <c r="C48" i="98"/>
  <c r="D47" i="98"/>
  <c r="C47" i="98"/>
  <c r="D46" i="98"/>
  <c r="C46" i="98"/>
  <c r="D45" i="98"/>
  <c r="C45" i="98"/>
  <c r="D44" i="98"/>
  <c r="C44" i="98"/>
  <c r="D43" i="98"/>
  <c r="C43" i="98"/>
  <c r="D42" i="98"/>
  <c r="C42" i="98"/>
  <c r="D41" i="98"/>
  <c r="C41" i="98"/>
  <c r="D49" i="99"/>
  <c r="C49" i="99"/>
  <c r="D48" i="99"/>
  <c r="C48" i="99"/>
  <c r="D47" i="99"/>
  <c r="C47" i="99"/>
  <c r="D46" i="99"/>
  <c r="C46" i="99"/>
  <c r="D45" i="99"/>
  <c r="C45" i="99"/>
  <c r="D44" i="99"/>
  <c r="C44" i="99"/>
  <c r="D43" i="99"/>
  <c r="C43" i="99"/>
  <c r="D42" i="99"/>
  <c r="C42" i="99"/>
  <c r="D41" i="99"/>
  <c r="C41" i="99"/>
  <c r="D49" i="100"/>
  <c r="C49" i="100"/>
  <c r="D48" i="100"/>
  <c r="C48" i="100"/>
  <c r="D47" i="100"/>
  <c r="C47" i="100"/>
  <c r="D46" i="100"/>
  <c r="C46" i="100"/>
  <c r="D45" i="100"/>
  <c r="C45" i="100"/>
  <c r="D44" i="100"/>
  <c r="C44" i="100"/>
  <c r="D43" i="100"/>
  <c r="C43" i="100"/>
  <c r="D42" i="100"/>
  <c r="C42" i="100"/>
  <c r="D41" i="100"/>
  <c r="C41" i="100"/>
  <c r="D49" i="101"/>
  <c r="C49" i="101"/>
  <c r="D48" i="101"/>
  <c r="C48" i="101"/>
  <c r="D47" i="101"/>
  <c r="C47" i="101"/>
  <c r="D46" i="101"/>
  <c r="C46" i="101"/>
  <c r="D45" i="101"/>
  <c r="C45" i="101"/>
  <c r="D44" i="101"/>
  <c r="C44" i="101"/>
  <c r="D43" i="101"/>
  <c r="C43" i="101"/>
  <c r="D42" i="101"/>
  <c r="C42" i="101"/>
  <c r="D41" i="101"/>
  <c r="C41" i="101"/>
  <c r="D49" i="102"/>
  <c r="C49" i="102"/>
  <c r="D48" i="102"/>
  <c r="C48" i="102"/>
  <c r="D47" i="102"/>
  <c r="C47" i="102"/>
  <c r="D46" i="102"/>
  <c r="C46" i="102"/>
  <c r="D45" i="102"/>
  <c r="C45" i="102"/>
  <c r="D44" i="102"/>
  <c r="C44" i="102"/>
  <c r="D43" i="102"/>
  <c r="C43" i="102"/>
  <c r="D42" i="102"/>
  <c r="C42" i="102"/>
  <c r="D41" i="102"/>
  <c r="C41" i="102"/>
  <c r="D49" i="103"/>
  <c r="C49" i="103"/>
  <c r="D48" i="103"/>
  <c r="C48" i="103"/>
  <c r="D47" i="103"/>
  <c r="C47" i="103"/>
  <c r="D46" i="103"/>
  <c r="C46" i="103"/>
  <c r="D45" i="103"/>
  <c r="C45" i="103"/>
  <c r="D44" i="103"/>
  <c r="C44" i="103"/>
  <c r="D43" i="103"/>
  <c r="C43" i="103"/>
  <c r="D42" i="103"/>
  <c r="C42" i="103"/>
  <c r="D41" i="103"/>
  <c r="C41" i="103"/>
  <c r="D49" i="104"/>
  <c r="C49" i="104"/>
  <c r="D48" i="104"/>
  <c r="C48" i="104"/>
  <c r="D47" i="104"/>
  <c r="C47" i="104"/>
  <c r="D46" i="104"/>
  <c r="C46" i="104"/>
  <c r="D45" i="104"/>
  <c r="C45" i="104"/>
  <c r="D44" i="104"/>
  <c r="C44" i="104"/>
  <c r="D43" i="104"/>
  <c r="C43" i="104"/>
  <c r="D42" i="104"/>
  <c r="C42" i="104"/>
  <c r="D41" i="104"/>
  <c r="C41" i="104"/>
  <c r="D49" i="105"/>
  <c r="C49" i="105"/>
  <c r="D48" i="105"/>
  <c r="C48" i="105"/>
  <c r="D47" i="105"/>
  <c r="C47" i="105"/>
  <c r="D46" i="105"/>
  <c r="C46" i="105"/>
  <c r="D45" i="105"/>
  <c r="C45" i="105"/>
  <c r="D44" i="105"/>
  <c r="C44" i="105"/>
  <c r="D43" i="105"/>
  <c r="C43" i="105"/>
  <c r="D42" i="105"/>
  <c r="C42" i="105"/>
  <c r="D41" i="105"/>
  <c r="C41" i="105"/>
  <c r="D49" i="111"/>
  <c r="C49" i="111"/>
  <c r="D48" i="111"/>
  <c r="C48" i="111"/>
  <c r="D47" i="111"/>
  <c r="C47" i="111"/>
  <c r="D46" i="111"/>
  <c r="C46" i="111"/>
  <c r="D45" i="111"/>
  <c r="C45" i="111"/>
  <c r="D44" i="111"/>
  <c r="C44" i="111"/>
  <c r="D43" i="111"/>
  <c r="C43" i="111"/>
  <c r="D42" i="111"/>
  <c r="C42" i="111"/>
  <c r="D41" i="111"/>
  <c r="C41" i="111"/>
  <c r="D49" i="58"/>
  <c r="C49" i="58"/>
  <c r="D48" i="58"/>
  <c r="C48" i="58"/>
  <c r="D47" i="58"/>
  <c r="C47" i="58"/>
  <c r="D46" i="58"/>
  <c r="C46" i="58"/>
  <c r="D45" i="58"/>
  <c r="C45" i="58"/>
  <c r="D44" i="58"/>
  <c r="C44" i="58"/>
  <c r="D43" i="58"/>
  <c r="C43" i="58"/>
  <c r="D42" i="58"/>
  <c r="C42" i="58"/>
  <c r="D41" i="58"/>
  <c r="C41" i="58"/>
  <c r="D27" i="59"/>
  <c r="C27" i="59"/>
  <c r="D26" i="59"/>
  <c r="C26" i="59"/>
  <c r="D25" i="59"/>
  <c r="C25" i="59"/>
  <c r="D24" i="59"/>
  <c r="C24" i="59"/>
  <c r="D23" i="59"/>
  <c r="C23" i="59"/>
  <c r="D22" i="59"/>
  <c r="C22" i="59"/>
  <c r="D21" i="59"/>
  <c r="C21" i="59"/>
  <c r="D20" i="59"/>
  <c r="C20" i="59"/>
  <c r="D19" i="59"/>
  <c r="C19" i="59"/>
  <c r="D18" i="59"/>
  <c r="C18" i="59"/>
  <c r="D17" i="59"/>
  <c r="C17" i="59"/>
  <c r="D16" i="59"/>
  <c r="C16" i="59"/>
  <c r="D15" i="59"/>
  <c r="C15" i="59"/>
  <c r="D14" i="59"/>
  <c r="C14" i="59"/>
  <c r="D13" i="59"/>
  <c r="C13" i="59"/>
  <c r="D12" i="59"/>
  <c r="C12" i="59"/>
  <c r="D27" i="60"/>
  <c r="C27" i="60"/>
  <c r="D26" i="60"/>
  <c r="C26" i="60"/>
  <c r="D25" i="60"/>
  <c r="C25" i="60"/>
  <c r="D24" i="60"/>
  <c r="C24" i="60"/>
  <c r="D23" i="60"/>
  <c r="C23" i="60"/>
  <c r="D22" i="60"/>
  <c r="C22" i="60"/>
  <c r="D21" i="60"/>
  <c r="C21" i="60"/>
  <c r="D20" i="60"/>
  <c r="C20" i="60"/>
  <c r="D19" i="60"/>
  <c r="C19" i="60"/>
  <c r="D18" i="60"/>
  <c r="C18" i="60"/>
  <c r="D17" i="60"/>
  <c r="C17" i="60"/>
  <c r="D16" i="60"/>
  <c r="C16" i="60"/>
  <c r="D15" i="60"/>
  <c r="C15" i="60"/>
  <c r="D14" i="60"/>
  <c r="C14" i="60"/>
  <c r="D13" i="60"/>
  <c r="C13" i="60"/>
  <c r="D12" i="60"/>
  <c r="C12" i="60"/>
  <c r="D27" i="61"/>
  <c r="C27" i="61"/>
  <c r="D26" i="61"/>
  <c r="C26" i="61"/>
  <c r="D25" i="61"/>
  <c r="C25" i="61"/>
  <c r="D24" i="61"/>
  <c r="C24" i="61"/>
  <c r="D23" i="61"/>
  <c r="C23" i="61"/>
  <c r="D22" i="61"/>
  <c r="C22" i="61"/>
  <c r="D21" i="61"/>
  <c r="C21" i="61"/>
  <c r="D20" i="61"/>
  <c r="C20" i="61"/>
  <c r="D19" i="61"/>
  <c r="C19" i="61"/>
  <c r="D18" i="61"/>
  <c r="C18" i="61"/>
  <c r="D17" i="61"/>
  <c r="C17" i="61"/>
  <c r="D16" i="61"/>
  <c r="C16" i="61"/>
  <c r="D15" i="61"/>
  <c r="C15" i="61"/>
  <c r="D14" i="61"/>
  <c r="C14" i="61"/>
  <c r="D13" i="61"/>
  <c r="C13" i="61"/>
  <c r="D12" i="61"/>
  <c r="C12" i="61"/>
  <c r="D27" i="62"/>
  <c r="C27" i="62"/>
  <c r="D26" i="62"/>
  <c r="C26" i="62"/>
  <c r="D25" i="62"/>
  <c r="C25" i="62"/>
  <c r="D24" i="62"/>
  <c r="C24" i="62"/>
  <c r="D23" i="62"/>
  <c r="C23" i="62"/>
  <c r="D22" i="62"/>
  <c r="C22" i="62"/>
  <c r="D21" i="62"/>
  <c r="C21" i="62"/>
  <c r="D20" i="62"/>
  <c r="C20" i="62"/>
  <c r="D19" i="62"/>
  <c r="C19" i="62"/>
  <c r="D18" i="62"/>
  <c r="C18" i="62"/>
  <c r="D17" i="62"/>
  <c r="C17" i="62"/>
  <c r="D16" i="62"/>
  <c r="C16" i="62"/>
  <c r="D15" i="62"/>
  <c r="C15" i="62"/>
  <c r="D14" i="62"/>
  <c r="C14" i="62"/>
  <c r="D13" i="62"/>
  <c r="C13" i="62"/>
  <c r="D12" i="62"/>
  <c r="C12" i="62"/>
  <c r="D27" i="63"/>
  <c r="C27" i="63"/>
  <c r="D26" i="63"/>
  <c r="C26" i="63"/>
  <c r="D25" i="63"/>
  <c r="C25" i="63"/>
  <c r="D24" i="63"/>
  <c r="C24" i="63"/>
  <c r="D23" i="63"/>
  <c r="C23" i="63"/>
  <c r="D22" i="63"/>
  <c r="C22" i="63"/>
  <c r="D21" i="63"/>
  <c r="C21" i="63"/>
  <c r="D20" i="63"/>
  <c r="C20" i="63"/>
  <c r="D19" i="63"/>
  <c r="C19" i="63"/>
  <c r="D18" i="63"/>
  <c r="C18" i="63"/>
  <c r="D17" i="63"/>
  <c r="C17" i="63"/>
  <c r="D16" i="63"/>
  <c r="C16" i="63"/>
  <c r="D15" i="63"/>
  <c r="C15" i="63"/>
  <c r="D14" i="63"/>
  <c r="C14" i="63"/>
  <c r="D13" i="63"/>
  <c r="C13" i="63"/>
  <c r="D12" i="63"/>
  <c r="C12" i="63"/>
  <c r="D27" i="64"/>
  <c r="C27" i="64"/>
  <c r="D26" i="64"/>
  <c r="C26" i="64"/>
  <c r="D25" i="64"/>
  <c r="C25" i="64"/>
  <c r="D24" i="64"/>
  <c r="C24" i="64"/>
  <c r="D23" i="64"/>
  <c r="C23" i="64"/>
  <c r="D22" i="64"/>
  <c r="C22" i="64"/>
  <c r="D21" i="64"/>
  <c r="C21" i="64"/>
  <c r="D20" i="64"/>
  <c r="C20" i="64"/>
  <c r="D19" i="64"/>
  <c r="C19" i="64"/>
  <c r="D18" i="64"/>
  <c r="C18" i="64"/>
  <c r="D17" i="64"/>
  <c r="C17" i="64"/>
  <c r="D16" i="64"/>
  <c r="C16" i="64"/>
  <c r="D15" i="64"/>
  <c r="C15" i="64"/>
  <c r="D14" i="64"/>
  <c r="C14" i="64"/>
  <c r="D13" i="64"/>
  <c r="C13" i="64"/>
  <c r="D12" i="64"/>
  <c r="C12" i="64"/>
  <c r="D27" i="65"/>
  <c r="C27" i="65"/>
  <c r="D26" i="65"/>
  <c r="C26" i="65"/>
  <c r="D25" i="65"/>
  <c r="C25" i="65"/>
  <c r="D24" i="65"/>
  <c r="C24" i="65"/>
  <c r="D23" i="65"/>
  <c r="C23" i="65"/>
  <c r="D22" i="65"/>
  <c r="C22" i="65"/>
  <c r="D21" i="65"/>
  <c r="C21" i="65"/>
  <c r="D20" i="65"/>
  <c r="C20" i="65"/>
  <c r="D19" i="65"/>
  <c r="C19" i="65"/>
  <c r="D18" i="65"/>
  <c r="C18" i="65"/>
  <c r="D17" i="65"/>
  <c r="C17" i="65"/>
  <c r="D16" i="65"/>
  <c r="C16" i="65"/>
  <c r="D15" i="65"/>
  <c r="C15" i="65"/>
  <c r="D14" i="65"/>
  <c r="C14" i="65"/>
  <c r="D13" i="65"/>
  <c r="C13" i="65"/>
  <c r="D12" i="65"/>
  <c r="C12" i="65"/>
  <c r="D27" i="66"/>
  <c r="C27" i="66"/>
  <c r="D26" i="66"/>
  <c r="C26" i="66"/>
  <c r="D25" i="66"/>
  <c r="C25" i="66"/>
  <c r="D24" i="66"/>
  <c r="C24" i="66"/>
  <c r="D23" i="66"/>
  <c r="C23" i="66"/>
  <c r="D22" i="66"/>
  <c r="C22" i="66"/>
  <c r="D21" i="66"/>
  <c r="C21" i="66"/>
  <c r="D20" i="66"/>
  <c r="C20" i="66"/>
  <c r="D19" i="66"/>
  <c r="C19" i="66"/>
  <c r="D18" i="66"/>
  <c r="C18" i="66"/>
  <c r="D17" i="66"/>
  <c r="C17" i="66"/>
  <c r="D16" i="66"/>
  <c r="C16" i="66"/>
  <c r="D15" i="66"/>
  <c r="C15" i="66"/>
  <c r="D14" i="66"/>
  <c r="C14" i="66"/>
  <c r="D13" i="66"/>
  <c r="C13" i="66"/>
  <c r="D12" i="66"/>
  <c r="C12" i="66"/>
  <c r="D27" i="67"/>
  <c r="C27" i="67"/>
  <c r="D26" i="67"/>
  <c r="C26" i="67"/>
  <c r="D25" i="67"/>
  <c r="C25" i="67"/>
  <c r="D24" i="67"/>
  <c r="C24" i="67"/>
  <c r="D23" i="67"/>
  <c r="C23" i="67"/>
  <c r="D22" i="67"/>
  <c r="C22" i="67"/>
  <c r="D21" i="67"/>
  <c r="C21" i="67"/>
  <c r="D20" i="67"/>
  <c r="C20" i="67"/>
  <c r="D19" i="67"/>
  <c r="C19" i="67"/>
  <c r="D18" i="67"/>
  <c r="C18" i="67"/>
  <c r="D17" i="67"/>
  <c r="C17" i="67"/>
  <c r="D16" i="67"/>
  <c r="C16" i="67"/>
  <c r="D15" i="67"/>
  <c r="C15" i="67"/>
  <c r="D14" i="67"/>
  <c r="C14" i="67"/>
  <c r="D13" i="67"/>
  <c r="C13" i="67"/>
  <c r="D12" i="67"/>
  <c r="C12" i="67"/>
  <c r="D27" i="68"/>
  <c r="C27" i="68"/>
  <c r="D26" i="68"/>
  <c r="C26" i="68"/>
  <c r="D25" i="68"/>
  <c r="C25" i="68"/>
  <c r="D24" i="68"/>
  <c r="C24" i="68"/>
  <c r="D23" i="68"/>
  <c r="C23" i="68"/>
  <c r="D22" i="68"/>
  <c r="C22" i="68"/>
  <c r="D21" i="68"/>
  <c r="C21" i="68"/>
  <c r="D20" i="68"/>
  <c r="C20" i="68"/>
  <c r="D19" i="68"/>
  <c r="C19" i="68"/>
  <c r="D18" i="68"/>
  <c r="C18" i="68"/>
  <c r="D17" i="68"/>
  <c r="C17" i="68"/>
  <c r="D16" i="68"/>
  <c r="C16" i="68"/>
  <c r="D15" i="68"/>
  <c r="C15" i="68"/>
  <c r="D14" i="68"/>
  <c r="C14" i="68"/>
  <c r="D13" i="68"/>
  <c r="C13" i="68"/>
  <c r="D12" i="68"/>
  <c r="C12" i="68"/>
  <c r="D27" i="108"/>
  <c r="C27" i="108"/>
  <c r="D26" i="108"/>
  <c r="C26" i="108"/>
  <c r="D25" i="108"/>
  <c r="C25" i="108"/>
  <c r="D24" i="108"/>
  <c r="C24" i="108"/>
  <c r="D23" i="108"/>
  <c r="C23" i="108"/>
  <c r="D22" i="108"/>
  <c r="C22" i="108"/>
  <c r="D21" i="108"/>
  <c r="C21" i="108"/>
  <c r="D20" i="108"/>
  <c r="C20" i="108"/>
  <c r="D19" i="108"/>
  <c r="C19" i="108"/>
  <c r="D18" i="108"/>
  <c r="C18" i="108"/>
  <c r="D17" i="108"/>
  <c r="C17" i="108"/>
  <c r="D16" i="108"/>
  <c r="C16" i="108"/>
  <c r="D15" i="108"/>
  <c r="C15" i="108"/>
  <c r="D14" i="108"/>
  <c r="C14" i="108"/>
  <c r="D13" i="108"/>
  <c r="C13" i="108"/>
  <c r="D12" i="108"/>
  <c r="C12" i="108"/>
  <c r="D27" i="69"/>
  <c r="C27" i="69"/>
  <c r="D26" i="69"/>
  <c r="C26" i="69"/>
  <c r="D25" i="69"/>
  <c r="C25" i="69"/>
  <c r="D24" i="69"/>
  <c r="C24" i="69"/>
  <c r="D23" i="69"/>
  <c r="C23" i="69"/>
  <c r="D22" i="69"/>
  <c r="C22" i="69"/>
  <c r="D21" i="69"/>
  <c r="C21" i="69"/>
  <c r="D20" i="69"/>
  <c r="C20" i="69"/>
  <c r="D19" i="69"/>
  <c r="C19" i="69"/>
  <c r="D18" i="69"/>
  <c r="C18" i="69"/>
  <c r="D17" i="69"/>
  <c r="C17" i="69"/>
  <c r="D16" i="69"/>
  <c r="C16" i="69"/>
  <c r="D15" i="69"/>
  <c r="C15" i="69"/>
  <c r="D14" i="69"/>
  <c r="C14" i="69"/>
  <c r="D13" i="69"/>
  <c r="C13" i="69"/>
  <c r="D12" i="69"/>
  <c r="C12" i="69"/>
  <c r="D27" i="70"/>
  <c r="C27" i="70"/>
  <c r="D26" i="70"/>
  <c r="C26" i="70"/>
  <c r="D25" i="70"/>
  <c r="C25" i="70"/>
  <c r="D24" i="70"/>
  <c r="C24" i="70"/>
  <c r="D23" i="70"/>
  <c r="C23" i="70"/>
  <c r="D22" i="70"/>
  <c r="C22" i="70"/>
  <c r="D21" i="70"/>
  <c r="C21" i="70"/>
  <c r="D20" i="70"/>
  <c r="C20" i="70"/>
  <c r="D19" i="70"/>
  <c r="C19" i="70"/>
  <c r="D18" i="70"/>
  <c r="C18" i="70"/>
  <c r="D17" i="70"/>
  <c r="C17" i="70"/>
  <c r="D16" i="70"/>
  <c r="C16" i="70"/>
  <c r="D15" i="70"/>
  <c r="C15" i="70"/>
  <c r="D14" i="70"/>
  <c r="C14" i="70"/>
  <c r="D13" i="70"/>
  <c r="C13" i="70"/>
  <c r="D12" i="70"/>
  <c r="C12" i="70"/>
  <c r="D27" i="71"/>
  <c r="C27" i="71"/>
  <c r="D26" i="71"/>
  <c r="C26" i="71"/>
  <c r="D25" i="71"/>
  <c r="C25" i="71"/>
  <c r="D24" i="71"/>
  <c r="C24" i="71"/>
  <c r="D23" i="71"/>
  <c r="C23" i="71"/>
  <c r="D22" i="71"/>
  <c r="C22" i="71"/>
  <c r="D21" i="71"/>
  <c r="C21" i="71"/>
  <c r="D20" i="71"/>
  <c r="C20" i="71"/>
  <c r="D19" i="71"/>
  <c r="C19" i="71"/>
  <c r="D18" i="71"/>
  <c r="C18" i="71"/>
  <c r="D17" i="71"/>
  <c r="C17" i="71"/>
  <c r="D16" i="71"/>
  <c r="C16" i="71"/>
  <c r="D15" i="71"/>
  <c r="C15" i="71"/>
  <c r="D14" i="71"/>
  <c r="C14" i="71"/>
  <c r="D13" i="71"/>
  <c r="C13" i="71"/>
  <c r="D12" i="71"/>
  <c r="C12" i="71"/>
  <c r="D27" i="72"/>
  <c r="C27" i="72"/>
  <c r="D26" i="72"/>
  <c r="C26" i="72"/>
  <c r="D25" i="72"/>
  <c r="C25" i="72"/>
  <c r="D24" i="72"/>
  <c r="C24" i="72"/>
  <c r="D23" i="72"/>
  <c r="C23" i="72"/>
  <c r="D22" i="72"/>
  <c r="C22" i="72"/>
  <c r="D21" i="72"/>
  <c r="C21" i="72"/>
  <c r="D20" i="72"/>
  <c r="C20" i="72"/>
  <c r="D19" i="72"/>
  <c r="C19" i="72"/>
  <c r="D18" i="72"/>
  <c r="C18" i="72"/>
  <c r="D17" i="72"/>
  <c r="C17" i="72"/>
  <c r="D16" i="72"/>
  <c r="C16" i="72"/>
  <c r="D15" i="72"/>
  <c r="C15" i="72"/>
  <c r="D14" i="72"/>
  <c r="C14" i="72"/>
  <c r="D13" i="72"/>
  <c r="C13" i="72"/>
  <c r="D12" i="72"/>
  <c r="C12" i="72"/>
  <c r="D27" i="73"/>
  <c r="C27" i="73"/>
  <c r="D26" i="73"/>
  <c r="C26" i="73"/>
  <c r="D25" i="73"/>
  <c r="C25" i="73"/>
  <c r="D24" i="73"/>
  <c r="C24" i="73"/>
  <c r="D23" i="73"/>
  <c r="C23" i="73"/>
  <c r="D22" i="73"/>
  <c r="C22" i="73"/>
  <c r="D21" i="73"/>
  <c r="C21" i="73"/>
  <c r="D20" i="73"/>
  <c r="C20" i="73"/>
  <c r="D19" i="73"/>
  <c r="C19" i="73"/>
  <c r="D18" i="73"/>
  <c r="C18" i="73"/>
  <c r="D17" i="73"/>
  <c r="C17" i="73"/>
  <c r="D16" i="73"/>
  <c r="C16" i="73"/>
  <c r="D15" i="73"/>
  <c r="C15" i="73"/>
  <c r="D14" i="73"/>
  <c r="C14" i="73"/>
  <c r="D13" i="73"/>
  <c r="C13" i="73"/>
  <c r="D12" i="73"/>
  <c r="C12" i="73"/>
  <c r="D27" i="74"/>
  <c r="C27" i="74"/>
  <c r="D26" i="74"/>
  <c r="C26" i="74"/>
  <c r="D25" i="74"/>
  <c r="C25" i="74"/>
  <c r="D24" i="74"/>
  <c r="C24" i="74"/>
  <c r="D23" i="74"/>
  <c r="C23" i="74"/>
  <c r="D22" i="74"/>
  <c r="C22" i="74"/>
  <c r="D21" i="74"/>
  <c r="C21" i="74"/>
  <c r="D20" i="74"/>
  <c r="C20" i="74"/>
  <c r="D19" i="74"/>
  <c r="C19" i="74"/>
  <c r="D18" i="74"/>
  <c r="C18" i="74"/>
  <c r="D17" i="74"/>
  <c r="C17" i="74"/>
  <c r="D16" i="74"/>
  <c r="C16" i="74"/>
  <c r="D15" i="74"/>
  <c r="C15" i="74"/>
  <c r="D14" i="74"/>
  <c r="C14" i="74"/>
  <c r="D13" i="74"/>
  <c r="C13" i="74"/>
  <c r="D12" i="74"/>
  <c r="C12" i="74"/>
  <c r="D27" i="75"/>
  <c r="C27" i="75"/>
  <c r="D26" i="75"/>
  <c r="C26" i="75"/>
  <c r="D25" i="75"/>
  <c r="C25" i="75"/>
  <c r="D24" i="75"/>
  <c r="C24" i="75"/>
  <c r="D23" i="75"/>
  <c r="C23" i="75"/>
  <c r="D22" i="75"/>
  <c r="C22" i="75"/>
  <c r="D21" i="75"/>
  <c r="C21" i="75"/>
  <c r="D20" i="75"/>
  <c r="C20" i="75"/>
  <c r="D19" i="75"/>
  <c r="C19" i="75"/>
  <c r="D18" i="75"/>
  <c r="C18" i="75"/>
  <c r="D17" i="75"/>
  <c r="C17" i="75"/>
  <c r="D16" i="75"/>
  <c r="C16" i="75"/>
  <c r="D15" i="75"/>
  <c r="C15" i="75"/>
  <c r="D14" i="75"/>
  <c r="C14" i="75"/>
  <c r="D13" i="75"/>
  <c r="C13" i="75"/>
  <c r="D12" i="75"/>
  <c r="C12" i="75"/>
  <c r="D27" i="76"/>
  <c r="C27" i="76"/>
  <c r="D26" i="76"/>
  <c r="C26" i="76"/>
  <c r="D25" i="76"/>
  <c r="C25" i="76"/>
  <c r="D24" i="76"/>
  <c r="C24" i="76"/>
  <c r="D23" i="76"/>
  <c r="C23" i="76"/>
  <c r="D22" i="76"/>
  <c r="C22" i="76"/>
  <c r="D21" i="76"/>
  <c r="C21" i="76"/>
  <c r="D20" i="76"/>
  <c r="C20" i="76"/>
  <c r="D19" i="76"/>
  <c r="C19" i="76"/>
  <c r="D18" i="76"/>
  <c r="C18" i="76"/>
  <c r="D17" i="76"/>
  <c r="C17" i="76"/>
  <c r="D16" i="76"/>
  <c r="C16" i="76"/>
  <c r="D15" i="76"/>
  <c r="C15" i="76"/>
  <c r="D14" i="76"/>
  <c r="C14" i="76"/>
  <c r="D13" i="76"/>
  <c r="C13" i="76"/>
  <c r="D12" i="76"/>
  <c r="C12" i="76"/>
  <c r="D27" i="77"/>
  <c r="C27" i="77"/>
  <c r="D26" i="77"/>
  <c r="C26" i="77"/>
  <c r="D25" i="77"/>
  <c r="C25" i="77"/>
  <c r="D24" i="77"/>
  <c r="C24" i="77"/>
  <c r="D23" i="77"/>
  <c r="C23" i="77"/>
  <c r="D22" i="77"/>
  <c r="C22" i="77"/>
  <c r="D21" i="77"/>
  <c r="C21" i="77"/>
  <c r="D20" i="77"/>
  <c r="C20" i="77"/>
  <c r="D19" i="77"/>
  <c r="C19" i="77"/>
  <c r="D18" i="77"/>
  <c r="C18" i="77"/>
  <c r="D17" i="77"/>
  <c r="C17" i="77"/>
  <c r="D16" i="77"/>
  <c r="C16" i="77"/>
  <c r="D15" i="77"/>
  <c r="C15" i="77"/>
  <c r="D14" i="77"/>
  <c r="C14" i="77"/>
  <c r="D13" i="77"/>
  <c r="C13" i="77"/>
  <c r="D12" i="77"/>
  <c r="C12" i="77"/>
  <c r="D27" i="78"/>
  <c r="C27" i="78"/>
  <c r="D26" i="78"/>
  <c r="C26" i="78"/>
  <c r="D25" i="78"/>
  <c r="C25" i="78"/>
  <c r="D24" i="78"/>
  <c r="C24" i="78"/>
  <c r="D23" i="78"/>
  <c r="C23" i="78"/>
  <c r="D22" i="78"/>
  <c r="C22" i="78"/>
  <c r="D21" i="78"/>
  <c r="C21" i="78"/>
  <c r="D20" i="78"/>
  <c r="C20" i="78"/>
  <c r="D19" i="78"/>
  <c r="C19" i="78"/>
  <c r="D18" i="78"/>
  <c r="C18" i="78"/>
  <c r="D17" i="78"/>
  <c r="C17" i="78"/>
  <c r="D16" i="78"/>
  <c r="C16" i="78"/>
  <c r="D15" i="78"/>
  <c r="C15" i="78"/>
  <c r="D14" i="78"/>
  <c r="C14" i="78"/>
  <c r="D13" i="78"/>
  <c r="C13" i="78"/>
  <c r="D12" i="78"/>
  <c r="C12" i="78"/>
  <c r="D27" i="79"/>
  <c r="C27" i="79"/>
  <c r="D26" i="79"/>
  <c r="C26" i="79"/>
  <c r="D25" i="79"/>
  <c r="C25" i="79"/>
  <c r="D24" i="79"/>
  <c r="C24" i="79"/>
  <c r="D23" i="79"/>
  <c r="C23" i="79"/>
  <c r="D22" i="79"/>
  <c r="C22" i="79"/>
  <c r="D21" i="79"/>
  <c r="C21" i="79"/>
  <c r="D20" i="79"/>
  <c r="C20" i="79"/>
  <c r="D19" i="79"/>
  <c r="C19" i="79"/>
  <c r="D18" i="79"/>
  <c r="C18" i="79"/>
  <c r="D17" i="79"/>
  <c r="C17" i="79"/>
  <c r="D16" i="79"/>
  <c r="C16" i="79"/>
  <c r="D15" i="79"/>
  <c r="C15" i="79"/>
  <c r="D14" i="79"/>
  <c r="C14" i="79"/>
  <c r="D13" i="79"/>
  <c r="C13" i="79"/>
  <c r="D12" i="79"/>
  <c r="C12" i="79"/>
  <c r="D27" i="80"/>
  <c r="C27" i="80"/>
  <c r="D26" i="80"/>
  <c r="C26" i="80"/>
  <c r="D25" i="80"/>
  <c r="C25" i="80"/>
  <c r="D24" i="80"/>
  <c r="C24" i="80"/>
  <c r="D23" i="80"/>
  <c r="C23" i="80"/>
  <c r="D22" i="80"/>
  <c r="C22" i="80"/>
  <c r="D21" i="80"/>
  <c r="C21" i="80"/>
  <c r="D20" i="80"/>
  <c r="C20" i="80"/>
  <c r="D19" i="80"/>
  <c r="C19" i="80"/>
  <c r="D18" i="80"/>
  <c r="C18" i="80"/>
  <c r="D17" i="80"/>
  <c r="C17" i="80"/>
  <c r="D16" i="80"/>
  <c r="C16" i="80"/>
  <c r="D15" i="80"/>
  <c r="C15" i="80"/>
  <c r="D14" i="80"/>
  <c r="C14" i="80"/>
  <c r="D13" i="80"/>
  <c r="C13" i="80"/>
  <c r="D12" i="80"/>
  <c r="C12" i="80"/>
  <c r="D27" i="81"/>
  <c r="C27" i="81"/>
  <c r="D26" i="81"/>
  <c r="C26" i="81"/>
  <c r="D25" i="81"/>
  <c r="C25" i="81"/>
  <c r="D24" i="81"/>
  <c r="C24" i="81"/>
  <c r="D23" i="81"/>
  <c r="C23" i="81"/>
  <c r="D22" i="81"/>
  <c r="C22" i="81"/>
  <c r="D21" i="81"/>
  <c r="C21" i="81"/>
  <c r="D20" i="81"/>
  <c r="C20" i="81"/>
  <c r="D19" i="81"/>
  <c r="C19" i="81"/>
  <c r="D18" i="81"/>
  <c r="C18" i="81"/>
  <c r="D17" i="81"/>
  <c r="C17" i="81"/>
  <c r="D16" i="81"/>
  <c r="C16" i="81"/>
  <c r="D15" i="81"/>
  <c r="C15" i="81"/>
  <c r="D14" i="81"/>
  <c r="C14" i="81"/>
  <c r="D13" i="81"/>
  <c r="C13" i="81"/>
  <c r="D12" i="81"/>
  <c r="C12" i="81"/>
  <c r="D27" i="82"/>
  <c r="C27" i="82"/>
  <c r="D26" i="82"/>
  <c r="C26" i="82"/>
  <c r="D25" i="82"/>
  <c r="C25" i="82"/>
  <c r="D24" i="82"/>
  <c r="C24" i="82"/>
  <c r="D23" i="82"/>
  <c r="C23" i="82"/>
  <c r="D22" i="82"/>
  <c r="C22" i="82"/>
  <c r="D21" i="82"/>
  <c r="C21" i="82"/>
  <c r="D20" i="82"/>
  <c r="C20" i="82"/>
  <c r="D19" i="82"/>
  <c r="C19" i="82"/>
  <c r="D18" i="82"/>
  <c r="C18" i="82"/>
  <c r="D17" i="82"/>
  <c r="C17" i="82"/>
  <c r="D16" i="82"/>
  <c r="C16" i="82"/>
  <c r="D15" i="82"/>
  <c r="C15" i="82"/>
  <c r="D14" i="82"/>
  <c r="C14" i="82"/>
  <c r="D13" i="82"/>
  <c r="C13" i="82"/>
  <c r="D12" i="82"/>
  <c r="C12" i="82"/>
  <c r="D27" i="83"/>
  <c r="C27" i="83"/>
  <c r="D26" i="83"/>
  <c r="C26" i="83"/>
  <c r="D25" i="83"/>
  <c r="C25" i="83"/>
  <c r="D24" i="83"/>
  <c r="C24" i="83"/>
  <c r="D23" i="83"/>
  <c r="C23" i="83"/>
  <c r="D22" i="83"/>
  <c r="C22" i="83"/>
  <c r="D21" i="83"/>
  <c r="C21" i="83"/>
  <c r="D20" i="83"/>
  <c r="C20" i="83"/>
  <c r="D19" i="83"/>
  <c r="C19" i="83"/>
  <c r="D18" i="83"/>
  <c r="C18" i="83"/>
  <c r="D17" i="83"/>
  <c r="C17" i="83"/>
  <c r="D16" i="83"/>
  <c r="C16" i="83"/>
  <c r="D15" i="83"/>
  <c r="C15" i="83"/>
  <c r="D14" i="83"/>
  <c r="C14" i="83"/>
  <c r="D13" i="83"/>
  <c r="C13" i="83"/>
  <c r="D12" i="83"/>
  <c r="C12" i="83"/>
  <c r="D27" i="84"/>
  <c r="C27" i="84"/>
  <c r="D26" i="84"/>
  <c r="C26" i="84"/>
  <c r="D25" i="84"/>
  <c r="C25" i="84"/>
  <c r="D24" i="84"/>
  <c r="C24" i="84"/>
  <c r="D23" i="84"/>
  <c r="C23" i="84"/>
  <c r="D22" i="84"/>
  <c r="C22" i="84"/>
  <c r="D21" i="84"/>
  <c r="C21" i="84"/>
  <c r="D20" i="84"/>
  <c r="C20" i="84"/>
  <c r="D19" i="84"/>
  <c r="C19" i="84"/>
  <c r="D18" i="84"/>
  <c r="C18" i="84"/>
  <c r="D17" i="84"/>
  <c r="C17" i="84"/>
  <c r="D16" i="84"/>
  <c r="C16" i="84"/>
  <c r="D15" i="84"/>
  <c r="C15" i="84"/>
  <c r="D14" i="84"/>
  <c r="C14" i="84"/>
  <c r="D13" i="84"/>
  <c r="C13" i="84"/>
  <c r="D12" i="84"/>
  <c r="C12" i="84"/>
  <c r="D27" i="85"/>
  <c r="C27" i="85"/>
  <c r="D26" i="85"/>
  <c r="C26" i="85"/>
  <c r="D25" i="85"/>
  <c r="C25" i="85"/>
  <c r="D24" i="85"/>
  <c r="C24" i="85"/>
  <c r="D23" i="85"/>
  <c r="C23" i="85"/>
  <c r="D22" i="85"/>
  <c r="C22" i="85"/>
  <c r="D21" i="85"/>
  <c r="C21" i="85"/>
  <c r="D20" i="85"/>
  <c r="C20" i="85"/>
  <c r="D19" i="85"/>
  <c r="C19" i="85"/>
  <c r="D18" i="85"/>
  <c r="C18" i="85"/>
  <c r="D17" i="85"/>
  <c r="C17" i="85"/>
  <c r="D16" i="85"/>
  <c r="C16" i="85"/>
  <c r="D15" i="85"/>
  <c r="C15" i="85"/>
  <c r="D14" i="85"/>
  <c r="C14" i="85"/>
  <c r="D13" i="85"/>
  <c r="C13" i="85"/>
  <c r="D12" i="85"/>
  <c r="C12" i="85"/>
  <c r="D27" i="86"/>
  <c r="C27" i="86"/>
  <c r="D26" i="86"/>
  <c r="C26" i="86"/>
  <c r="D25" i="86"/>
  <c r="C25" i="86"/>
  <c r="D24" i="86"/>
  <c r="C24" i="86"/>
  <c r="D23" i="86"/>
  <c r="C23" i="86"/>
  <c r="D22" i="86"/>
  <c r="C22" i="86"/>
  <c r="D21" i="86"/>
  <c r="C21" i="86"/>
  <c r="D20" i="86"/>
  <c r="C20" i="86"/>
  <c r="D19" i="86"/>
  <c r="C19" i="86"/>
  <c r="D18" i="86"/>
  <c r="C18" i="86"/>
  <c r="D17" i="86"/>
  <c r="C17" i="86"/>
  <c r="D16" i="86"/>
  <c r="C16" i="86"/>
  <c r="D15" i="86"/>
  <c r="C15" i="86"/>
  <c r="D14" i="86"/>
  <c r="C14" i="86"/>
  <c r="D13" i="86"/>
  <c r="C13" i="86"/>
  <c r="D12" i="86"/>
  <c r="C12" i="86"/>
  <c r="D27" i="87"/>
  <c r="C27" i="87"/>
  <c r="D26" i="87"/>
  <c r="C26" i="87"/>
  <c r="D25" i="87"/>
  <c r="C25" i="87"/>
  <c r="D24" i="87"/>
  <c r="C24" i="87"/>
  <c r="D23" i="87"/>
  <c r="C23" i="87"/>
  <c r="D22" i="87"/>
  <c r="C22" i="87"/>
  <c r="D21" i="87"/>
  <c r="C21" i="87"/>
  <c r="D20" i="87"/>
  <c r="C20" i="87"/>
  <c r="D19" i="87"/>
  <c r="C19" i="87"/>
  <c r="D18" i="87"/>
  <c r="C18" i="87"/>
  <c r="D17" i="87"/>
  <c r="C17" i="87"/>
  <c r="D16" i="87"/>
  <c r="C16" i="87"/>
  <c r="D15" i="87"/>
  <c r="C15" i="87"/>
  <c r="D14" i="87"/>
  <c r="C14" i="87"/>
  <c r="D13" i="87"/>
  <c r="C13" i="87"/>
  <c r="D12" i="87"/>
  <c r="C12" i="87"/>
  <c r="D27" i="88"/>
  <c r="C27" i="88"/>
  <c r="D26" i="88"/>
  <c r="C26" i="88"/>
  <c r="D25" i="88"/>
  <c r="C25" i="88"/>
  <c r="D24" i="88"/>
  <c r="C24" i="88"/>
  <c r="D23" i="88"/>
  <c r="C23" i="88"/>
  <c r="D22" i="88"/>
  <c r="C22" i="88"/>
  <c r="D21" i="88"/>
  <c r="C21" i="88"/>
  <c r="D20" i="88"/>
  <c r="C20" i="88"/>
  <c r="D19" i="88"/>
  <c r="C19" i="88"/>
  <c r="D18" i="88"/>
  <c r="C18" i="88"/>
  <c r="D17" i="88"/>
  <c r="C17" i="88"/>
  <c r="D16" i="88"/>
  <c r="C16" i="88"/>
  <c r="D15" i="88"/>
  <c r="C15" i="88"/>
  <c r="D14" i="88"/>
  <c r="C14" i="88"/>
  <c r="D13" i="88"/>
  <c r="C13" i="88"/>
  <c r="D12" i="88"/>
  <c r="C12" i="88"/>
  <c r="D27" i="89"/>
  <c r="C27" i="89"/>
  <c r="D26" i="89"/>
  <c r="C26" i="89"/>
  <c r="D25" i="89"/>
  <c r="C25" i="89"/>
  <c r="D24" i="89"/>
  <c r="C24" i="89"/>
  <c r="D23" i="89"/>
  <c r="C23" i="89"/>
  <c r="D22" i="89"/>
  <c r="C22" i="89"/>
  <c r="D21" i="89"/>
  <c r="C21" i="89"/>
  <c r="D20" i="89"/>
  <c r="C20" i="89"/>
  <c r="D19" i="89"/>
  <c r="C19" i="89"/>
  <c r="D18" i="89"/>
  <c r="C18" i="89"/>
  <c r="D17" i="89"/>
  <c r="C17" i="89"/>
  <c r="D16" i="89"/>
  <c r="C16" i="89"/>
  <c r="D15" i="89"/>
  <c r="C15" i="89"/>
  <c r="D14" i="89"/>
  <c r="C14" i="89"/>
  <c r="D13" i="89"/>
  <c r="C13" i="89"/>
  <c r="D12" i="89"/>
  <c r="C12" i="89"/>
  <c r="D27" i="90"/>
  <c r="C27" i="90"/>
  <c r="D26" i="90"/>
  <c r="C26" i="90"/>
  <c r="D25" i="90"/>
  <c r="C25" i="90"/>
  <c r="D24" i="90"/>
  <c r="C24" i="90"/>
  <c r="D23" i="90"/>
  <c r="C23" i="90"/>
  <c r="D22" i="90"/>
  <c r="C22" i="90"/>
  <c r="D21" i="90"/>
  <c r="C21" i="90"/>
  <c r="D20" i="90"/>
  <c r="C20" i="90"/>
  <c r="D19" i="90"/>
  <c r="C19" i="90"/>
  <c r="D18" i="90"/>
  <c r="C18" i="90"/>
  <c r="D17" i="90"/>
  <c r="C17" i="90"/>
  <c r="D16" i="90"/>
  <c r="C16" i="90"/>
  <c r="D15" i="90"/>
  <c r="C15" i="90"/>
  <c r="D14" i="90"/>
  <c r="C14" i="90"/>
  <c r="D13" i="90"/>
  <c r="C13" i="90"/>
  <c r="D12" i="90"/>
  <c r="C12" i="90"/>
  <c r="D27" i="91"/>
  <c r="C27" i="91"/>
  <c r="D26" i="91"/>
  <c r="C26" i="91"/>
  <c r="D25" i="91"/>
  <c r="C25" i="91"/>
  <c r="D24" i="91"/>
  <c r="C24" i="91"/>
  <c r="D23" i="91"/>
  <c r="C23" i="91"/>
  <c r="D22" i="91"/>
  <c r="C22" i="91"/>
  <c r="D21" i="91"/>
  <c r="C21" i="91"/>
  <c r="D20" i="91"/>
  <c r="C20" i="91"/>
  <c r="D19" i="91"/>
  <c r="C19" i="91"/>
  <c r="D18" i="91"/>
  <c r="C18" i="91"/>
  <c r="D17" i="91"/>
  <c r="C17" i="91"/>
  <c r="D16" i="91"/>
  <c r="C16" i="91"/>
  <c r="D15" i="91"/>
  <c r="C15" i="91"/>
  <c r="D14" i="91"/>
  <c r="C14" i="91"/>
  <c r="D13" i="91"/>
  <c r="C13" i="91"/>
  <c r="D12" i="91"/>
  <c r="C12" i="91"/>
  <c r="D27" i="92"/>
  <c r="C27" i="92"/>
  <c r="D26" i="92"/>
  <c r="C26" i="92"/>
  <c r="D25" i="92"/>
  <c r="C25" i="92"/>
  <c r="D24" i="92"/>
  <c r="C24" i="92"/>
  <c r="D23" i="92"/>
  <c r="C23" i="92"/>
  <c r="D22" i="92"/>
  <c r="C22" i="92"/>
  <c r="D21" i="92"/>
  <c r="C21" i="92"/>
  <c r="D20" i="92"/>
  <c r="C20" i="92"/>
  <c r="D19" i="92"/>
  <c r="C19" i="92"/>
  <c r="D18" i="92"/>
  <c r="C18" i="92"/>
  <c r="D17" i="92"/>
  <c r="C17" i="92"/>
  <c r="D16" i="92"/>
  <c r="C16" i="92"/>
  <c r="D15" i="92"/>
  <c r="C15" i="92"/>
  <c r="D14" i="92"/>
  <c r="C14" i="92"/>
  <c r="D13" i="92"/>
  <c r="C13" i="92"/>
  <c r="D12" i="92"/>
  <c r="C12" i="92"/>
  <c r="D27" i="93"/>
  <c r="C27" i="93"/>
  <c r="D26" i="93"/>
  <c r="C26" i="93"/>
  <c r="D25" i="93"/>
  <c r="C25" i="93"/>
  <c r="D24" i="93"/>
  <c r="C24" i="93"/>
  <c r="D23" i="93"/>
  <c r="C23" i="93"/>
  <c r="D22" i="93"/>
  <c r="C22" i="93"/>
  <c r="D21" i="93"/>
  <c r="C21" i="93"/>
  <c r="D20" i="93"/>
  <c r="C20" i="93"/>
  <c r="D19" i="93"/>
  <c r="C19" i="93"/>
  <c r="D18" i="93"/>
  <c r="C18" i="93"/>
  <c r="D17" i="93"/>
  <c r="C17" i="93"/>
  <c r="D16" i="93"/>
  <c r="C16" i="93"/>
  <c r="D15" i="93"/>
  <c r="C15" i="93"/>
  <c r="D14" i="93"/>
  <c r="C14" i="93"/>
  <c r="D13" i="93"/>
  <c r="C13" i="93"/>
  <c r="D12" i="93"/>
  <c r="C12" i="93"/>
  <c r="D27" i="94"/>
  <c r="C27" i="94"/>
  <c r="D26" i="94"/>
  <c r="C26" i="94"/>
  <c r="D25" i="94"/>
  <c r="C25" i="94"/>
  <c r="D24" i="94"/>
  <c r="C24" i="94"/>
  <c r="D23" i="94"/>
  <c r="C23" i="94"/>
  <c r="D22" i="94"/>
  <c r="C22" i="94"/>
  <c r="D21" i="94"/>
  <c r="C21" i="94"/>
  <c r="D20" i="94"/>
  <c r="C20" i="94"/>
  <c r="D19" i="94"/>
  <c r="C19" i="94"/>
  <c r="D18" i="94"/>
  <c r="C18" i="94"/>
  <c r="D17" i="94"/>
  <c r="C17" i="94"/>
  <c r="D16" i="94"/>
  <c r="C16" i="94"/>
  <c r="D15" i="94"/>
  <c r="C15" i="94"/>
  <c r="D14" i="94"/>
  <c r="C14" i="94"/>
  <c r="D13" i="94"/>
  <c r="C13" i="94"/>
  <c r="D12" i="94"/>
  <c r="C12" i="94"/>
  <c r="D27" i="95"/>
  <c r="C27" i="95"/>
  <c r="D26" i="95"/>
  <c r="C26" i="95"/>
  <c r="D25" i="95"/>
  <c r="C25" i="95"/>
  <c r="D24" i="95"/>
  <c r="C24" i="95"/>
  <c r="D23" i="95"/>
  <c r="C23" i="95"/>
  <c r="D22" i="95"/>
  <c r="C22" i="95"/>
  <c r="D21" i="95"/>
  <c r="C21" i="95"/>
  <c r="D20" i="95"/>
  <c r="C20" i="95"/>
  <c r="D19" i="95"/>
  <c r="C19" i="95"/>
  <c r="D18" i="95"/>
  <c r="C18" i="95"/>
  <c r="D17" i="95"/>
  <c r="C17" i="95"/>
  <c r="D16" i="95"/>
  <c r="C16" i="95"/>
  <c r="D15" i="95"/>
  <c r="C15" i="95"/>
  <c r="D14" i="95"/>
  <c r="C14" i="95"/>
  <c r="D13" i="95"/>
  <c r="C13" i="95"/>
  <c r="D12" i="95"/>
  <c r="C12" i="95"/>
  <c r="D27" i="96"/>
  <c r="C27" i="96"/>
  <c r="D26" i="96"/>
  <c r="C26" i="96"/>
  <c r="D25" i="96"/>
  <c r="C25" i="96"/>
  <c r="D24" i="96"/>
  <c r="C24" i="96"/>
  <c r="D23" i="96"/>
  <c r="C23" i="96"/>
  <c r="D22" i="96"/>
  <c r="C22" i="96"/>
  <c r="D21" i="96"/>
  <c r="C21" i="96"/>
  <c r="D20" i="96"/>
  <c r="C20" i="96"/>
  <c r="D19" i="96"/>
  <c r="C19" i="96"/>
  <c r="D18" i="96"/>
  <c r="C18" i="96"/>
  <c r="D17" i="96"/>
  <c r="C17" i="96"/>
  <c r="D16" i="96"/>
  <c r="C16" i="96"/>
  <c r="D15" i="96"/>
  <c r="C15" i="96"/>
  <c r="D14" i="96"/>
  <c r="C14" i="96"/>
  <c r="D13" i="96"/>
  <c r="C13" i="96"/>
  <c r="D12" i="96"/>
  <c r="C12" i="96"/>
  <c r="D27" i="97"/>
  <c r="C27" i="97"/>
  <c r="D26" i="97"/>
  <c r="C26" i="97"/>
  <c r="D25" i="97"/>
  <c r="C25" i="97"/>
  <c r="D24" i="97"/>
  <c r="C24" i="97"/>
  <c r="D23" i="97"/>
  <c r="C23" i="97"/>
  <c r="D22" i="97"/>
  <c r="C22" i="97"/>
  <c r="D21" i="97"/>
  <c r="C21" i="97"/>
  <c r="D20" i="97"/>
  <c r="C20" i="97"/>
  <c r="D19" i="97"/>
  <c r="C19" i="97"/>
  <c r="D18" i="97"/>
  <c r="C18" i="97"/>
  <c r="D17" i="97"/>
  <c r="C17" i="97"/>
  <c r="D16" i="97"/>
  <c r="C16" i="97"/>
  <c r="D15" i="97"/>
  <c r="C15" i="97"/>
  <c r="D14" i="97"/>
  <c r="C14" i="97"/>
  <c r="D13" i="97"/>
  <c r="C13" i="97"/>
  <c r="D12" i="97"/>
  <c r="C12" i="97"/>
  <c r="D27" i="98"/>
  <c r="C27" i="98"/>
  <c r="D26" i="98"/>
  <c r="C26" i="98"/>
  <c r="D25" i="98"/>
  <c r="C25" i="98"/>
  <c r="D24" i="98"/>
  <c r="C24" i="98"/>
  <c r="D23" i="98"/>
  <c r="C23" i="98"/>
  <c r="D22" i="98"/>
  <c r="C22" i="98"/>
  <c r="D21" i="98"/>
  <c r="C21" i="98"/>
  <c r="D20" i="98"/>
  <c r="C20" i="98"/>
  <c r="D19" i="98"/>
  <c r="C19" i="98"/>
  <c r="D18" i="98"/>
  <c r="C18" i="98"/>
  <c r="D17" i="98"/>
  <c r="C17" i="98"/>
  <c r="D16" i="98"/>
  <c r="C16" i="98"/>
  <c r="D15" i="98"/>
  <c r="C15" i="98"/>
  <c r="D14" i="98"/>
  <c r="C14" i="98"/>
  <c r="D13" i="98"/>
  <c r="C13" i="98"/>
  <c r="D12" i="98"/>
  <c r="C12" i="98"/>
  <c r="D27" i="99"/>
  <c r="C27" i="99"/>
  <c r="D26" i="99"/>
  <c r="C26" i="99"/>
  <c r="D25" i="99"/>
  <c r="C25" i="99"/>
  <c r="D24" i="99"/>
  <c r="C24" i="99"/>
  <c r="D23" i="99"/>
  <c r="C23" i="99"/>
  <c r="D22" i="99"/>
  <c r="C22" i="99"/>
  <c r="D21" i="99"/>
  <c r="C21" i="99"/>
  <c r="D20" i="99"/>
  <c r="C20" i="99"/>
  <c r="D19" i="99"/>
  <c r="C19" i="99"/>
  <c r="D18" i="99"/>
  <c r="C18" i="99"/>
  <c r="D17" i="99"/>
  <c r="C17" i="99"/>
  <c r="D16" i="99"/>
  <c r="C16" i="99"/>
  <c r="D15" i="99"/>
  <c r="C15" i="99"/>
  <c r="D14" i="99"/>
  <c r="C14" i="99"/>
  <c r="D13" i="99"/>
  <c r="C13" i="99"/>
  <c r="D12" i="99"/>
  <c r="C12" i="99"/>
  <c r="D27" i="100"/>
  <c r="C27" i="100"/>
  <c r="D26" i="100"/>
  <c r="C26" i="100"/>
  <c r="D25" i="100"/>
  <c r="C25" i="100"/>
  <c r="D24" i="100"/>
  <c r="C24" i="100"/>
  <c r="D23" i="100"/>
  <c r="C23" i="100"/>
  <c r="D22" i="100"/>
  <c r="C22" i="100"/>
  <c r="D21" i="100"/>
  <c r="C21" i="100"/>
  <c r="D20" i="100"/>
  <c r="C20" i="100"/>
  <c r="D19" i="100"/>
  <c r="C19" i="100"/>
  <c r="D18" i="100"/>
  <c r="C18" i="100"/>
  <c r="D17" i="100"/>
  <c r="C17" i="100"/>
  <c r="D16" i="100"/>
  <c r="C16" i="100"/>
  <c r="D15" i="100"/>
  <c r="C15" i="100"/>
  <c r="D14" i="100"/>
  <c r="C14" i="100"/>
  <c r="D13" i="100"/>
  <c r="C13" i="100"/>
  <c r="D12" i="100"/>
  <c r="C12" i="100"/>
  <c r="D27" i="101"/>
  <c r="C27" i="101"/>
  <c r="D26" i="101"/>
  <c r="C26" i="101"/>
  <c r="D25" i="101"/>
  <c r="C25" i="101"/>
  <c r="D24" i="101"/>
  <c r="C24" i="101"/>
  <c r="D23" i="101"/>
  <c r="C23" i="101"/>
  <c r="D22" i="101"/>
  <c r="C22" i="101"/>
  <c r="D21" i="101"/>
  <c r="C21" i="101"/>
  <c r="D20" i="101"/>
  <c r="C20" i="101"/>
  <c r="D19" i="101"/>
  <c r="C19" i="101"/>
  <c r="D18" i="101"/>
  <c r="C18" i="101"/>
  <c r="D17" i="101"/>
  <c r="C17" i="101"/>
  <c r="D16" i="101"/>
  <c r="C16" i="101"/>
  <c r="D15" i="101"/>
  <c r="C15" i="101"/>
  <c r="D14" i="101"/>
  <c r="C14" i="101"/>
  <c r="D13" i="101"/>
  <c r="C13" i="101"/>
  <c r="D12" i="101"/>
  <c r="C12" i="101"/>
  <c r="D27" i="102"/>
  <c r="C27" i="102"/>
  <c r="D26" i="102"/>
  <c r="C26" i="102"/>
  <c r="D25" i="102"/>
  <c r="C25" i="102"/>
  <c r="D24" i="102"/>
  <c r="C24" i="102"/>
  <c r="D23" i="102"/>
  <c r="C23" i="102"/>
  <c r="D22" i="102"/>
  <c r="C22" i="102"/>
  <c r="D21" i="102"/>
  <c r="C21" i="102"/>
  <c r="D20" i="102"/>
  <c r="C20" i="102"/>
  <c r="D19" i="102"/>
  <c r="C19" i="102"/>
  <c r="D18" i="102"/>
  <c r="C18" i="102"/>
  <c r="D17" i="102"/>
  <c r="C17" i="102"/>
  <c r="D16" i="102"/>
  <c r="C16" i="102"/>
  <c r="D15" i="102"/>
  <c r="C15" i="102"/>
  <c r="D14" i="102"/>
  <c r="C14" i="102"/>
  <c r="D13" i="102"/>
  <c r="C13" i="102"/>
  <c r="D12" i="102"/>
  <c r="C12" i="102"/>
  <c r="D27" i="103"/>
  <c r="C27" i="103"/>
  <c r="D26" i="103"/>
  <c r="C26" i="103"/>
  <c r="D25" i="103"/>
  <c r="C25" i="103"/>
  <c r="D24" i="103"/>
  <c r="C24" i="103"/>
  <c r="D23" i="103"/>
  <c r="C23" i="103"/>
  <c r="D22" i="103"/>
  <c r="C22" i="103"/>
  <c r="D21" i="103"/>
  <c r="C21" i="103"/>
  <c r="D20" i="103"/>
  <c r="C20" i="103"/>
  <c r="D19" i="103"/>
  <c r="C19" i="103"/>
  <c r="D18" i="103"/>
  <c r="C18" i="103"/>
  <c r="D17" i="103"/>
  <c r="C17" i="103"/>
  <c r="D16" i="103"/>
  <c r="C16" i="103"/>
  <c r="D15" i="103"/>
  <c r="C15" i="103"/>
  <c r="D14" i="103"/>
  <c r="C14" i="103"/>
  <c r="D13" i="103"/>
  <c r="C13" i="103"/>
  <c r="D12" i="103"/>
  <c r="C12" i="103"/>
  <c r="D27" i="104"/>
  <c r="C27" i="104"/>
  <c r="D26" i="104"/>
  <c r="C26" i="104"/>
  <c r="D25" i="104"/>
  <c r="C25" i="104"/>
  <c r="D24" i="104"/>
  <c r="C24" i="104"/>
  <c r="D23" i="104"/>
  <c r="C23" i="104"/>
  <c r="D22" i="104"/>
  <c r="C22" i="104"/>
  <c r="D21" i="104"/>
  <c r="C21" i="104"/>
  <c r="D20" i="104"/>
  <c r="C20" i="104"/>
  <c r="D19" i="104"/>
  <c r="C19" i="104"/>
  <c r="D18" i="104"/>
  <c r="C18" i="104"/>
  <c r="D17" i="104"/>
  <c r="C17" i="104"/>
  <c r="D16" i="104"/>
  <c r="C16" i="104"/>
  <c r="D15" i="104"/>
  <c r="C15" i="104"/>
  <c r="D14" i="104"/>
  <c r="C14" i="104"/>
  <c r="D13" i="104"/>
  <c r="C13" i="104"/>
  <c r="D12" i="104"/>
  <c r="C12" i="104"/>
  <c r="D27" i="105"/>
  <c r="C27" i="105"/>
  <c r="D26" i="105"/>
  <c r="C26" i="105"/>
  <c r="D25" i="105"/>
  <c r="C25" i="105"/>
  <c r="D24" i="105"/>
  <c r="C24" i="105"/>
  <c r="D23" i="105"/>
  <c r="C23" i="105"/>
  <c r="D22" i="105"/>
  <c r="C22" i="105"/>
  <c r="D21" i="105"/>
  <c r="C21" i="105"/>
  <c r="D20" i="105"/>
  <c r="C20" i="105"/>
  <c r="D19" i="105"/>
  <c r="C19" i="105"/>
  <c r="D18" i="105"/>
  <c r="C18" i="105"/>
  <c r="D17" i="105"/>
  <c r="C17" i="105"/>
  <c r="D16" i="105"/>
  <c r="C16" i="105"/>
  <c r="D15" i="105"/>
  <c r="C15" i="105"/>
  <c r="D14" i="105"/>
  <c r="C14" i="105"/>
  <c r="D13" i="105"/>
  <c r="C13" i="105"/>
  <c r="D12" i="105"/>
  <c r="C12" i="105"/>
  <c r="D27" i="111"/>
  <c r="C27" i="111"/>
  <c r="D26" i="111"/>
  <c r="C26" i="111"/>
  <c r="D25" i="111"/>
  <c r="C25" i="111"/>
  <c r="D24" i="111"/>
  <c r="C24" i="111"/>
  <c r="D23" i="111"/>
  <c r="C23" i="111"/>
  <c r="D22" i="111"/>
  <c r="C22" i="111"/>
  <c r="D21" i="111"/>
  <c r="C21" i="111"/>
  <c r="D20" i="111"/>
  <c r="C20" i="111"/>
  <c r="D19" i="111"/>
  <c r="C19" i="111"/>
  <c r="D18" i="111"/>
  <c r="C18" i="111"/>
  <c r="D17" i="111"/>
  <c r="C17" i="111"/>
  <c r="D16" i="111"/>
  <c r="C16" i="111"/>
  <c r="D15" i="111"/>
  <c r="C15" i="111"/>
  <c r="D14" i="111"/>
  <c r="C14" i="111"/>
  <c r="D13" i="111"/>
  <c r="C13" i="111"/>
  <c r="D12" i="111"/>
  <c r="C12" i="111"/>
  <c r="D27" i="58"/>
  <c r="C27" i="58"/>
  <c r="D26" i="58"/>
  <c r="C26" i="58"/>
  <c r="D25" i="58"/>
  <c r="C25" i="58"/>
  <c r="D24" i="58"/>
  <c r="C24" i="58"/>
  <c r="D23" i="58"/>
  <c r="C23" i="58"/>
  <c r="D22" i="58"/>
  <c r="C22" i="58"/>
  <c r="D21" i="58"/>
  <c r="C21" i="58"/>
  <c r="D20" i="58"/>
  <c r="C20" i="58"/>
  <c r="D19" i="58"/>
  <c r="C19" i="58"/>
  <c r="D18" i="58"/>
  <c r="C18" i="58"/>
  <c r="D17" i="58"/>
  <c r="C17" i="58"/>
  <c r="D16" i="58"/>
  <c r="C16" i="58"/>
  <c r="D15" i="58"/>
  <c r="C15" i="58"/>
  <c r="D14" i="58"/>
  <c r="C14" i="58"/>
  <c r="D13" i="58"/>
  <c r="C13" i="58"/>
  <c r="D12" i="58"/>
  <c r="C12" i="58"/>
  <c r="O27" i="59"/>
  <c r="O26" i="59"/>
  <c r="O25" i="59"/>
  <c r="O24" i="59"/>
  <c r="O23" i="59"/>
  <c r="O22" i="59"/>
  <c r="O21" i="59"/>
  <c r="O20" i="59"/>
  <c r="O19" i="59"/>
  <c r="O18" i="59"/>
  <c r="O17" i="59"/>
  <c r="O16" i="59"/>
  <c r="O15" i="59"/>
  <c r="O14" i="59"/>
  <c r="O13" i="59"/>
  <c r="O12" i="59"/>
  <c r="O27" i="60"/>
  <c r="O26" i="60"/>
  <c r="O25" i="60"/>
  <c r="O24" i="60"/>
  <c r="O23" i="60"/>
  <c r="O22" i="60"/>
  <c r="O21" i="60"/>
  <c r="O20" i="60"/>
  <c r="O19" i="60"/>
  <c r="O18" i="60"/>
  <c r="O17" i="60"/>
  <c r="O16" i="60"/>
  <c r="O15" i="60"/>
  <c r="O14" i="60"/>
  <c r="O13" i="60"/>
  <c r="O12" i="60"/>
  <c r="O27" i="61"/>
  <c r="O26" i="61"/>
  <c r="O25" i="61"/>
  <c r="O24" i="61"/>
  <c r="O23" i="61"/>
  <c r="O22" i="61"/>
  <c r="O21" i="61"/>
  <c r="O20" i="61"/>
  <c r="O19" i="61"/>
  <c r="O18" i="61"/>
  <c r="O17" i="61"/>
  <c r="O16" i="61"/>
  <c r="O15" i="61"/>
  <c r="O14" i="61"/>
  <c r="O13" i="61"/>
  <c r="O12" i="61"/>
  <c r="O27" i="62"/>
  <c r="O26" i="62"/>
  <c r="O25" i="62"/>
  <c r="O24" i="62"/>
  <c r="O23" i="62"/>
  <c r="O22" i="62"/>
  <c r="O21" i="62"/>
  <c r="O20" i="62"/>
  <c r="O19" i="62"/>
  <c r="O18" i="62"/>
  <c r="O17" i="62"/>
  <c r="O16" i="62"/>
  <c r="O15" i="62"/>
  <c r="O14" i="62"/>
  <c r="O13" i="62"/>
  <c r="O12" i="62"/>
  <c r="O27" i="63"/>
  <c r="O26" i="63"/>
  <c r="O25" i="63"/>
  <c r="O24" i="63"/>
  <c r="O23" i="63"/>
  <c r="O22" i="63"/>
  <c r="O21" i="63"/>
  <c r="O20" i="63"/>
  <c r="O19" i="63"/>
  <c r="O18" i="63"/>
  <c r="O17" i="63"/>
  <c r="O16" i="63"/>
  <c r="O15" i="63"/>
  <c r="O14" i="63"/>
  <c r="O13" i="63"/>
  <c r="O12" i="63"/>
  <c r="O27" i="64"/>
  <c r="O26" i="64"/>
  <c r="O25" i="64"/>
  <c r="O24" i="64"/>
  <c r="O23" i="64"/>
  <c r="O22" i="64"/>
  <c r="O21" i="64"/>
  <c r="O20" i="64"/>
  <c r="O19" i="64"/>
  <c r="O18" i="64"/>
  <c r="O17" i="64"/>
  <c r="O16" i="64"/>
  <c r="O15" i="64"/>
  <c r="O14" i="64"/>
  <c r="O13" i="64"/>
  <c r="O12" i="64"/>
  <c r="O27" i="65"/>
  <c r="O26" i="65"/>
  <c r="O25" i="65"/>
  <c r="O24" i="65"/>
  <c r="O23" i="65"/>
  <c r="O22" i="65"/>
  <c r="O21" i="65"/>
  <c r="O20" i="65"/>
  <c r="O19" i="65"/>
  <c r="O18" i="65"/>
  <c r="O17" i="65"/>
  <c r="O16" i="65"/>
  <c r="O15" i="65"/>
  <c r="O14" i="65"/>
  <c r="O13" i="65"/>
  <c r="O12" i="65"/>
  <c r="O27" i="66"/>
  <c r="O26" i="66"/>
  <c r="O25" i="66"/>
  <c r="O24" i="66"/>
  <c r="O23" i="66"/>
  <c r="O22" i="66"/>
  <c r="O21" i="66"/>
  <c r="O20" i="66"/>
  <c r="O19" i="66"/>
  <c r="O18" i="66"/>
  <c r="O17" i="66"/>
  <c r="O16" i="66"/>
  <c r="O15" i="66"/>
  <c r="O14" i="66"/>
  <c r="O13" i="66"/>
  <c r="O12" i="66"/>
  <c r="O27" i="67"/>
  <c r="O26" i="67"/>
  <c r="O25" i="67"/>
  <c r="O24" i="67"/>
  <c r="O23" i="67"/>
  <c r="O22" i="67"/>
  <c r="O21" i="67"/>
  <c r="O20" i="67"/>
  <c r="O19" i="67"/>
  <c r="O18" i="67"/>
  <c r="O17" i="67"/>
  <c r="O16" i="67"/>
  <c r="O15" i="67"/>
  <c r="O14" i="67"/>
  <c r="O13" i="67"/>
  <c r="O12" i="67"/>
  <c r="O27" i="68"/>
  <c r="O26" i="68"/>
  <c r="O25" i="68"/>
  <c r="O24" i="68"/>
  <c r="O23" i="68"/>
  <c r="O22" i="68"/>
  <c r="O21" i="68"/>
  <c r="O20" i="68"/>
  <c r="O19" i="68"/>
  <c r="O18" i="68"/>
  <c r="O17" i="68"/>
  <c r="O16" i="68"/>
  <c r="O15" i="68"/>
  <c r="O14" i="68"/>
  <c r="O13" i="68"/>
  <c r="O12" i="68"/>
  <c r="O27" i="108"/>
  <c r="O26" i="108"/>
  <c r="O25" i="108"/>
  <c r="O24" i="108"/>
  <c r="O23" i="108"/>
  <c r="O22" i="108"/>
  <c r="O21" i="108"/>
  <c r="O20" i="108"/>
  <c r="O19" i="108"/>
  <c r="O18" i="108"/>
  <c r="O17" i="108"/>
  <c r="O16" i="108"/>
  <c r="O15" i="108"/>
  <c r="O14" i="108"/>
  <c r="O13" i="108"/>
  <c r="O12" i="108"/>
  <c r="O27" i="69"/>
  <c r="O26" i="69"/>
  <c r="O25" i="69"/>
  <c r="O24" i="69"/>
  <c r="O23" i="69"/>
  <c r="O22" i="69"/>
  <c r="O21" i="69"/>
  <c r="O20" i="69"/>
  <c r="O19" i="69"/>
  <c r="O18" i="69"/>
  <c r="O17" i="69"/>
  <c r="O16" i="69"/>
  <c r="O15" i="69"/>
  <c r="O14" i="69"/>
  <c r="O13" i="69"/>
  <c r="O12" i="69"/>
  <c r="O27" i="70"/>
  <c r="O26" i="70"/>
  <c r="O25" i="70"/>
  <c r="O24" i="70"/>
  <c r="O23" i="70"/>
  <c r="O22" i="70"/>
  <c r="O21" i="70"/>
  <c r="O20" i="70"/>
  <c r="O19" i="70"/>
  <c r="O18" i="70"/>
  <c r="O17" i="70"/>
  <c r="O16" i="70"/>
  <c r="O15" i="70"/>
  <c r="O14" i="70"/>
  <c r="O13" i="70"/>
  <c r="O12" i="70"/>
  <c r="O27" i="71"/>
  <c r="O26" i="71"/>
  <c r="O25" i="71"/>
  <c r="O24" i="71"/>
  <c r="O23" i="71"/>
  <c r="O22" i="71"/>
  <c r="O21" i="71"/>
  <c r="O20" i="71"/>
  <c r="O19" i="71"/>
  <c r="O18" i="71"/>
  <c r="O17" i="71"/>
  <c r="O16" i="71"/>
  <c r="O15" i="71"/>
  <c r="O14" i="71"/>
  <c r="O13" i="71"/>
  <c r="O12" i="71"/>
  <c r="O27" i="72"/>
  <c r="O26" i="72"/>
  <c r="O25" i="72"/>
  <c r="O24" i="72"/>
  <c r="O23" i="72"/>
  <c r="O22" i="72"/>
  <c r="O21" i="72"/>
  <c r="O20" i="72"/>
  <c r="O19" i="72"/>
  <c r="O18" i="72"/>
  <c r="O17" i="72"/>
  <c r="O16" i="72"/>
  <c r="O15" i="72"/>
  <c r="O14" i="72"/>
  <c r="O13" i="72"/>
  <c r="O12" i="72"/>
  <c r="O27" i="73"/>
  <c r="O26" i="73"/>
  <c r="O25" i="73"/>
  <c r="O24" i="73"/>
  <c r="O23" i="73"/>
  <c r="O22" i="73"/>
  <c r="O21" i="73"/>
  <c r="O20" i="73"/>
  <c r="O19" i="73"/>
  <c r="O18" i="73"/>
  <c r="O17" i="73"/>
  <c r="O16" i="73"/>
  <c r="O15" i="73"/>
  <c r="O14" i="73"/>
  <c r="O13" i="73"/>
  <c r="O12" i="73"/>
  <c r="O27" i="74"/>
  <c r="O26" i="74"/>
  <c r="O25" i="74"/>
  <c r="O24" i="74"/>
  <c r="O23" i="74"/>
  <c r="O22" i="74"/>
  <c r="O21" i="74"/>
  <c r="O20" i="74"/>
  <c r="O19" i="74"/>
  <c r="O18" i="74"/>
  <c r="O17" i="74"/>
  <c r="O16" i="74"/>
  <c r="O15" i="74"/>
  <c r="O14" i="74"/>
  <c r="O13" i="74"/>
  <c r="O12" i="74"/>
  <c r="O27" i="75"/>
  <c r="O26" i="75"/>
  <c r="O25" i="75"/>
  <c r="O24" i="75"/>
  <c r="O23" i="75"/>
  <c r="O22" i="75"/>
  <c r="O21" i="75"/>
  <c r="O20" i="75"/>
  <c r="O19" i="75"/>
  <c r="O18" i="75"/>
  <c r="O17" i="75"/>
  <c r="O16" i="75"/>
  <c r="O15" i="75"/>
  <c r="O14" i="75"/>
  <c r="O13" i="75"/>
  <c r="O12" i="75"/>
  <c r="O27" i="76"/>
  <c r="O26" i="76"/>
  <c r="O25" i="76"/>
  <c r="O24" i="76"/>
  <c r="O23" i="76"/>
  <c r="O22" i="76"/>
  <c r="O21" i="76"/>
  <c r="O20" i="76"/>
  <c r="O19" i="76"/>
  <c r="O18" i="76"/>
  <c r="O17" i="76"/>
  <c r="O16" i="76"/>
  <c r="O15" i="76"/>
  <c r="O14" i="76"/>
  <c r="O13" i="76"/>
  <c r="O12" i="76"/>
  <c r="O27" i="77"/>
  <c r="O26" i="77"/>
  <c r="O25" i="77"/>
  <c r="O24" i="77"/>
  <c r="O23" i="77"/>
  <c r="O22" i="77"/>
  <c r="O21" i="77"/>
  <c r="O20" i="77"/>
  <c r="O19" i="77"/>
  <c r="O18" i="77"/>
  <c r="O17" i="77"/>
  <c r="O16" i="77"/>
  <c r="O15" i="77"/>
  <c r="O14" i="77"/>
  <c r="O13" i="77"/>
  <c r="O12" i="77"/>
  <c r="O27" i="78"/>
  <c r="O26" i="78"/>
  <c r="O25" i="78"/>
  <c r="O24" i="78"/>
  <c r="O23" i="78"/>
  <c r="O22" i="78"/>
  <c r="O21" i="78"/>
  <c r="O20" i="78"/>
  <c r="O19" i="78"/>
  <c r="O18" i="78"/>
  <c r="O17" i="78"/>
  <c r="O16" i="78"/>
  <c r="O15" i="78"/>
  <c r="O14" i="78"/>
  <c r="O13" i="78"/>
  <c r="O12" i="78"/>
  <c r="O27" i="79"/>
  <c r="O26" i="79"/>
  <c r="O25" i="79"/>
  <c r="O24" i="79"/>
  <c r="O23" i="79"/>
  <c r="O22" i="79"/>
  <c r="O21" i="79"/>
  <c r="O20" i="79"/>
  <c r="O19" i="79"/>
  <c r="O18" i="79"/>
  <c r="O17" i="79"/>
  <c r="O16" i="79"/>
  <c r="O15" i="79"/>
  <c r="O14" i="79"/>
  <c r="O13" i="79"/>
  <c r="O12" i="79"/>
  <c r="O27" i="80"/>
  <c r="O26" i="80"/>
  <c r="O25" i="80"/>
  <c r="O24" i="80"/>
  <c r="O23" i="80"/>
  <c r="O22" i="80"/>
  <c r="O21" i="80"/>
  <c r="O20" i="80"/>
  <c r="O19" i="80"/>
  <c r="O18" i="80"/>
  <c r="O17" i="80"/>
  <c r="O16" i="80"/>
  <c r="O15" i="80"/>
  <c r="O14" i="80"/>
  <c r="O13" i="80"/>
  <c r="O12" i="80"/>
  <c r="O27" i="81"/>
  <c r="O26" i="81"/>
  <c r="O25" i="81"/>
  <c r="O24" i="81"/>
  <c r="O23" i="81"/>
  <c r="O22" i="81"/>
  <c r="O21" i="81"/>
  <c r="O20" i="81"/>
  <c r="O19" i="81"/>
  <c r="O18" i="81"/>
  <c r="O17" i="81"/>
  <c r="O16" i="81"/>
  <c r="O15" i="81"/>
  <c r="O14" i="81"/>
  <c r="O13" i="81"/>
  <c r="O12" i="81"/>
  <c r="O27" i="82"/>
  <c r="O26" i="82"/>
  <c r="O25" i="82"/>
  <c r="O24" i="82"/>
  <c r="O23" i="82"/>
  <c r="O22" i="82"/>
  <c r="O21" i="82"/>
  <c r="O20" i="82"/>
  <c r="O19" i="82"/>
  <c r="O18" i="82"/>
  <c r="O17" i="82"/>
  <c r="O16" i="82"/>
  <c r="O15" i="82"/>
  <c r="O14" i="82"/>
  <c r="O13" i="82"/>
  <c r="O12" i="82"/>
  <c r="O27" i="83"/>
  <c r="O26" i="83"/>
  <c r="O25" i="83"/>
  <c r="O24" i="83"/>
  <c r="O23" i="83"/>
  <c r="O22" i="83"/>
  <c r="O21" i="83"/>
  <c r="O20" i="83"/>
  <c r="O19" i="83"/>
  <c r="O18" i="83"/>
  <c r="O17" i="83"/>
  <c r="O16" i="83"/>
  <c r="O15" i="83"/>
  <c r="O14" i="83"/>
  <c r="O13" i="83"/>
  <c r="O12" i="83"/>
  <c r="O27" i="84"/>
  <c r="O26" i="84"/>
  <c r="O25" i="84"/>
  <c r="O24" i="84"/>
  <c r="O23" i="84"/>
  <c r="O22" i="84"/>
  <c r="O21" i="84"/>
  <c r="O20" i="84"/>
  <c r="O19" i="84"/>
  <c r="O18" i="84"/>
  <c r="O17" i="84"/>
  <c r="O16" i="84"/>
  <c r="O15" i="84"/>
  <c r="O14" i="84"/>
  <c r="O13" i="84"/>
  <c r="O12" i="84"/>
  <c r="O27" i="85"/>
  <c r="O26" i="85"/>
  <c r="O25" i="85"/>
  <c r="O24" i="85"/>
  <c r="O23" i="85"/>
  <c r="O22" i="85"/>
  <c r="O21" i="85"/>
  <c r="O20" i="85"/>
  <c r="O19" i="85"/>
  <c r="O18" i="85"/>
  <c r="O17" i="85"/>
  <c r="O16" i="85"/>
  <c r="O15" i="85"/>
  <c r="O14" i="85"/>
  <c r="O13" i="85"/>
  <c r="O12" i="85"/>
  <c r="O27" i="86"/>
  <c r="O26" i="86"/>
  <c r="O25" i="86"/>
  <c r="O24" i="86"/>
  <c r="O23" i="86"/>
  <c r="O22" i="86"/>
  <c r="O21" i="86"/>
  <c r="O20" i="86"/>
  <c r="O19" i="86"/>
  <c r="O18" i="86"/>
  <c r="O17" i="86"/>
  <c r="O16" i="86"/>
  <c r="O15" i="86"/>
  <c r="O14" i="86"/>
  <c r="O13" i="86"/>
  <c r="O12" i="86"/>
  <c r="O27" i="87"/>
  <c r="O26" i="87"/>
  <c r="O25" i="87"/>
  <c r="O24" i="87"/>
  <c r="O23" i="87"/>
  <c r="O22" i="87"/>
  <c r="O21" i="87"/>
  <c r="O20" i="87"/>
  <c r="O19" i="87"/>
  <c r="O18" i="87"/>
  <c r="O17" i="87"/>
  <c r="O16" i="87"/>
  <c r="O15" i="87"/>
  <c r="O14" i="87"/>
  <c r="O13" i="87"/>
  <c r="O12" i="87"/>
  <c r="O27" i="88"/>
  <c r="O26" i="88"/>
  <c r="O25" i="88"/>
  <c r="O24" i="88"/>
  <c r="O23" i="88"/>
  <c r="O22" i="88"/>
  <c r="O21" i="88"/>
  <c r="O20" i="88"/>
  <c r="O19" i="88"/>
  <c r="O18" i="88"/>
  <c r="O17" i="88"/>
  <c r="O16" i="88"/>
  <c r="O15" i="88"/>
  <c r="O14" i="88"/>
  <c r="O13" i="88"/>
  <c r="O12" i="88"/>
  <c r="O27" i="89"/>
  <c r="O26" i="89"/>
  <c r="O25" i="89"/>
  <c r="O24" i="89"/>
  <c r="O23" i="89"/>
  <c r="O22" i="89"/>
  <c r="O21" i="89"/>
  <c r="O20" i="89"/>
  <c r="O19" i="89"/>
  <c r="O18" i="89"/>
  <c r="O17" i="89"/>
  <c r="O16" i="89"/>
  <c r="O15" i="89"/>
  <c r="O14" i="89"/>
  <c r="O13" i="89"/>
  <c r="O12" i="89"/>
  <c r="O27" i="90"/>
  <c r="O26" i="90"/>
  <c r="O25" i="90"/>
  <c r="O24" i="90"/>
  <c r="O23" i="90"/>
  <c r="O22" i="90"/>
  <c r="O21" i="90"/>
  <c r="O20" i="90"/>
  <c r="O19" i="90"/>
  <c r="O18" i="90"/>
  <c r="O17" i="90"/>
  <c r="O16" i="90"/>
  <c r="O15" i="90"/>
  <c r="O14" i="90"/>
  <c r="O13" i="90"/>
  <c r="O12" i="90"/>
  <c r="O27" i="91"/>
  <c r="O26" i="91"/>
  <c r="O25" i="91"/>
  <c r="O24" i="91"/>
  <c r="O23" i="91"/>
  <c r="O22" i="91"/>
  <c r="O21" i="91"/>
  <c r="O20" i="91"/>
  <c r="O19" i="91"/>
  <c r="O18" i="91"/>
  <c r="O17" i="91"/>
  <c r="O16" i="91"/>
  <c r="O15" i="91"/>
  <c r="O14" i="91"/>
  <c r="O13" i="91"/>
  <c r="O12" i="91"/>
  <c r="O27" i="92"/>
  <c r="O26" i="92"/>
  <c r="O25" i="92"/>
  <c r="O24" i="92"/>
  <c r="O23" i="92"/>
  <c r="O22" i="92"/>
  <c r="O21" i="92"/>
  <c r="O20" i="92"/>
  <c r="O19" i="92"/>
  <c r="O18" i="92"/>
  <c r="O17" i="92"/>
  <c r="O16" i="92"/>
  <c r="O15" i="92"/>
  <c r="O14" i="92"/>
  <c r="O13" i="92"/>
  <c r="O12" i="92"/>
  <c r="O27" i="93"/>
  <c r="O26" i="93"/>
  <c r="O25" i="93"/>
  <c r="O24" i="93"/>
  <c r="O23" i="93"/>
  <c r="O22" i="93"/>
  <c r="O21" i="93"/>
  <c r="O20" i="93"/>
  <c r="O19" i="93"/>
  <c r="O18" i="93"/>
  <c r="O17" i="93"/>
  <c r="O16" i="93"/>
  <c r="O15" i="93"/>
  <c r="O14" i="93"/>
  <c r="O13" i="93"/>
  <c r="O12" i="93"/>
  <c r="O27" i="94"/>
  <c r="O26" i="94"/>
  <c r="O25" i="94"/>
  <c r="O24" i="94"/>
  <c r="O23" i="94"/>
  <c r="O22" i="94"/>
  <c r="O21" i="94"/>
  <c r="O20" i="94"/>
  <c r="O19" i="94"/>
  <c r="O18" i="94"/>
  <c r="O17" i="94"/>
  <c r="O16" i="94"/>
  <c r="O15" i="94"/>
  <c r="O14" i="94"/>
  <c r="O13" i="94"/>
  <c r="O12" i="94"/>
  <c r="O27" i="95"/>
  <c r="O26" i="95"/>
  <c r="O25" i="95"/>
  <c r="O24" i="95"/>
  <c r="O23" i="95"/>
  <c r="O22" i="95"/>
  <c r="O21" i="95"/>
  <c r="O20" i="95"/>
  <c r="O19" i="95"/>
  <c r="O18" i="95"/>
  <c r="O17" i="95"/>
  <c r="O16" i="95"/>
  <c r="O15" i="95"/>
  <c r="O14" i="95"/>
  <c r="O13" i="95"/>
  <c r="O12" i="95"/>
  <c r="O27" i="96"/>
  <c r="O26" i="96"/>
  <c r="O25" i="96"/>
  <c r="O24" i="96"/>
  <c r="O23" i="96"/>
  <c r="O22" i="96"/>
  <c r="O21" i="96"/>
  <c r="O20" i="96"/>
  <c r="O19" i="96"/>
  <c r="O18" i="96"/>
  <c r="O17" i="96"/>
  <c r="O16" i="96"/>
  <c r="O15" i="96"/>
  <c r="O14" i="96"/>
  <c r="O13" i="96"/>
  <c r="O12" i="96"/>
  <c r="O27" i="97"/>
  <c r="O26" i="97"/>
  <c r="O25" i="97"/>
  <c r="O24" i="97"/>
  <c r="O23" i="97"/>
  <c r="O22" i="97"/>
  <c r="O21" i="97"/>
  <c r="O20" i="97"/>
  <c r="O19" i="97"/>
  <c r="O18" i="97"/>
  <c r="O17" i="97"/>
  <c r="O16" i="97"/>
  <c r="O15" i="97"/>
  <c r="O14" i="97"/>
  <c r="O13" i="97"/>
  <c r="O12" i="97"/>
  <c r="O27" i="98"/>
  <c r="O26" i="98"/>
  <c r="O25" i="98"/>
  <c r="O24" i="98"/>
  <c r="O23" i="98"/>
  <c r="O22" i="98"/>
  <c r="O21" i="98"/>
  <c r="O20" i="98"/>
  <c r="O19" i="98"/>
  <c r="O18" i="98"/>
  <c r="O17" i="98"/>
  <c r="O16" i="98"/>
  <c r="O15" i="98"/>
  <c r="O14" i="98"/>
  <c r="O13" i="98"/>
  <c r="O12" i="98"/>
  <c r="O27" i="99"/>
  <c r="O26" i="99"/>
  <c r="O25" i="99"/>
  <c r="O24" i="99"/>
  <c r="O23" i="99"/>
  <c r="O22" i="99"/>
  <c r="O21" i="99"/>
  <c r="O20" i="99"/>
  <c r="O19" i="99"/>
  <c r="O18" i="99"/>
  <c r="O17" i="99"/>
  <c r="O16" i="99"/>
  <c r="O15" i="99"/>
  <c r="O14" i="99"/>
  <c r="O13" i="99"/>
  <c r="O12" i="99"/>
  <c r="O27" i="100"/>
  <c r="O26" i="100"/>
  <c r="O25" i="100"/>
  <c r="O24" i="100"/>
  <c r="O23" i="100"/>
  <c r="O22" i="100"/>
  <c r="O21" i="100"/>
  <c r="O20" i="100"/>
  <c r="O19" i="100"/>
  <c r="O18" i="100"/>
  <c r="O17" i="100"/>
  <c r="O16" i="100"/>
  <c r="O15" i="100"/>
  <c r="O14" i="100"/>
  <c r="O13" i="100"/>
  <c r="O12" i="100"/>
  <c r="O27" i="101"/>
  <c r="O26" i="101"/>
  <c r="O25" i="101"/>
  <c r="O24" i="101"/>
  <c r="O23" i="101"/>
  <c r="O22" i="101"/>
  <c r="O21" i="101"/>
  <c r="O20" i="101"/>
  <c r="O19" i="101"/>
  <c r="O18" i="101"/>
  <c r="O17" i="101"/>
  <c r="O16" i="101"/>
  <c r="O15" i="101"/>
  <c r="O14" i="101"/>
  <c r="O13" i="101"/>
  <c r="O12" i="101"/>
  <c r="O27" i="102"/>
  <c r="O26" i="102"/>
  <c r="O25" i="102"/>
  <c r="O24" i="102"/>
  <c r="O23" i="102"/>
  <c r="O22" i="102"/>
  <c r="O21" i="102"/>
  <c r="O20" i="102"/>
  <c r="O19" i="102"/>
  <c r="O18" i="102"/>
  <c r="O17" i="102"/>
  <c r="O16" i="102"/>
  <c r="O15" i="102"/>
  <c r="O14" i="102"/>
  <c r="O13" i="102"/>
  <c r="O12" i="102"/>
  <c r="O27" i="103"/>
  <c r="O26" i="103"/>
  <c r="O25" i="103"/>
  <c r="O24" i="103"/>
  <c r="O23" i="103"/>
  <c r="O22" i="103"/>
  <c r="O21" i="103"/>
  <c r="O20" i="103"/>
  <c r="O19" i="103"/>
  <c r="O18" i="103"/>
  <c r="O17" i="103"/>
  <c r="O16" i="103"/>
  <c r="O15" i="103"/>
  <c r="O14" i="103"/>
  <c r="O13" i="103"/>
  <c r="O12" i="103"/>
  <c r="O27" i="104"/>
  <c r="O26" i="104"/>
  <c r="O25" i="104"/>
  <c r="O24" i="104"/>
  <c r="O23" i="104"/>
  <c r="O22" i="104"/>
  <c r="O21" i="104"/>
  <c r="O20" i="104"/>
  <c r="O19" i="104"/>
  <c r="O18" i="104"/>
  <c r="O17" i="104"/>
  <c r="O16" i="104"/>
  <c r="O15" i="104"/>
  <c r="O14" i="104"/>
  <c r="O13" i="104"/>
  <c r="O12" i="104"/>
  <c r="O27" i="105"/>
  <c r="O26" i="105"/>
  <c r="O25" i="105"/>
  <c r="O24" i="105"/>
  <c r="O23" i="105"/>
  <c r="O22" i="105"/>
  <c r="O21" i="105"/>
  <c r="O20" i="105"/>
  <c r="O19" i="105"/>
  <c r="O18" i="105"/>
  <c r="O17" i="105"/>
  <c r="O16" i="105"/>
  <c r="O15" i="105"/>
  <c r="O14" i="105"/>
  <c r="O13" i="105"/>
  <c r="O12" i="105"/>
  <c r="O27" i="111"/>
  <c r="O26" i="111"/>
  <c r="O25" i="111"/>
  <c r="O24" i="111"/>
  <c r="O23" i="111"/>
  <c r="O22" i="111"/>
  <c r="O21" i="111"/>
  <c r="O20" i="111"/>
  <c r="O19" i="111"/>
  <c r="O18" i="111"/>
  <c r="O17" i="111"/>
  <c r="O16" i="111"/>
  <c r="O15" i="111"/>
  <c r="O14" i="111"/>
  <c r="O13" i="111"/>
  <c r="O12" i="111"/>
  <c r="O27" i="58"/>
  <c r="O26" i="58"/>
  <c r="O25" i="58"/>
  <c r="O24" i="58"/>
  <c r="O23" i="58"/>
  <c r="O22" i="58"/>
  <c r="O21" i="58"/>
  <c r="O20" i="58"/>
  <c r="O19" i="58"/>
  <c r="O18" i="58"/>
  <c r="O17" i="58"/>
  <c r="O16" i="58"/>
  <c r="O15" i="58"/>
  <c r="O14" i="58"/>
  <c r="O13" i="58"/>
  <c r="O12" i="58"/>
  <c r="D49" i="107"/>
  <c r="C49" i="107"/>
  <c r="D48" i="107"/>
  <c r="C48" i="107"/>
  <c r="D47" i="107"/>
  <c r="C47" i="107"/>
  <c r="D46" i="107"/>
  <c r="C46" i="107"/>
  <c r="D45" i="107"/>
  <c r="C45" i="107"/>
  <c r="D44" i="107"/>
  <c r="C44" i="107"/>
  <c r="D43" i="107"/>
  <c r="C43" i="107"/>
  <c r="D42" i="107"/>
  <c r="C42" i="107"/>
  <c r="D41" i="107"/>
  <c r="C41" i="107"/>
  <c r="I41" i="107"/>
  <c r="I42" i="107"/>
  <c r="D27" i="107"/>
  <c r="C27" i="107"/>
  <c r="D26" i="107"/>
  <c r="C26" i="107"/>
  <c r="D25" i="107"/>
  <c r="C25" i="107"/>
  <c r="D24" i="107"/>
  <c r="C24" i="107"/>
  <c r="D23" i="107"/>
  <c r="C23" i="107"/>
  <c r="D22" i="107"/>
  <c r="C22" i="107"/>
  <c r="D21" i="107"/>
  <c r="C21" i="107"/>
  <c r="D20" i="107"/>
  <c r="C20" i="107"/>
  <c r="D19" i="107"/>
  <c r="C19" i="107"/>
  <c r="D18" i="107"/>
  <c r="C18" i="107"/>
  <c r="D17" i="107"/>
  <c r="C17" i="107"/>
  <c r="D16" i="107"/>
  <c r="C16" i="107"/>
  <c r="D15" i="107"/>
  <c r="C15" i="107"/>
  <c r="D14" i="107"/>
  <c r="C14" i="107"/>
  <c r="D13" i="107"/>
  <c r="C13" i="107"/>
  <c r="D12" i="107"/>
  <c r="C12" i="107"/>
  <c r="D49" i="2"/>
  <c r="D48" i="2"/>
  <c r="D47" i="2"/>
  <c r="D46" i="2"/>
  <c r="D45" i="2"/>
  <c r="D44" i="2"/>
  <c r="D43" i="2"/>
  <c r="D42" i="2"/>
  <c r="D41" i="2"/>
  <c r="D27" i="2"/>
  <c r="D26" i="2"/>
  <c r="D25" i="2"/>
  <c r="D24" i="2"/>
  <c r="D23" i="2"/>
  <c r="D22" i="2"/>
  <c r="D21" i="2"/>
  <c r="D20" i="2"/>
  <c r="D19" i="2"/>
  <c r="D18" i="2"/>
  <c r="D17" i="2"/>
  <c r="D16" i="2"/>
  <c r="D15" i="2"/>
  <c r="D14" i="2"/>
  <c r="D13" i="2"/>
  <c r="D12" i="2"/>
  <c r="O18" i="107"/>
  <c r="O19" i="107"/>
  <c r="O20" i="107"/>
  <c r="O21" i="107"/>
  <c r="O22" i="107"/>
  <c r="O23" i="107"/>
  <c r="O24" i="107"/>
  <c r="O25" i="107"/>
  <c r="O26" i="107"/>
  <c r="O27" i="107"/>
  <c r="C49" i="2"/>
  <c r="C48" i="2"/>
  <c r="C47" i="2"/>
  <c r="C46" i="2"/>
  <c r="C45" i="2"/>
  <c r="C44" i="2"/>
  <c r="C43" i="2"/>
  <c r="C42" i="2"/>
  <c r="C41" i="2"/>
  <c r="C27" i="2"/>
  <c r="C26" i="2"/>
  <c r="C25" i="2"/>
  <c r="C24" i="2"/>
  <c r="C23" i="2"/>
  <c r="C22" i="2"/>
  <c r="C21" i="2"/>
  <c r="C20" i="2"/>
  <c r="C19" i="2"/>
  <c r="C18" i="2"/>
  <c r="C17" i="2"/>
  <c r="C16" i="2"/>
  <c r="C15" i="2"/>
  <c r="C14" i="2"/>
  <c r="C13" i="2"/>
  <c r="C12" i="2"/>
  <c r="O18" i="2"/>
  <c r="O19" i="2"/>
  <c r="O20" i="2"/>
  <c r="O21" i="2"/>
  <c r="O22" i="2"/>
  <c r="O23" i="2"/>
  <c r="O24" i="2"/>
  <c r="O25" i="2"/>
  <c r="O26" i="2"/>
  <c r="O27" i="2"/>
  <c r="M218" i="109"/>
  <c r="M220" i="109" s="1"/>
  <c r="L218" i="109"/>
  <c r="K218" i="109"/>
  <c r="J218" i="109"/>
  <c r="D218" i="109"/>
  <c r="D220" i="109" s="1"/>
  <c r="E218" i="109"/>
  <c r="E220" i="109" s="1"/>
  <c r="F218" i="109"/>
  <c r="F220" i="109" s="1"/>
  <c r="C218" i="109"/>
  <c r="C220" i="109" s="1"/>
  <c r="K220" i="109" l="1"/>
  <c r="J220" i="109"/>
  <c r="C221" i="109" s="1"/>
  <c r="L220" i="109"/>
  <c r="R57" i="54"/>
  <c r="S57" i="54"/>
  <c r="W57" i="54" s="1"/>
  <c r="Q57" i="54"/>
  <c r="D50" i="105"/>
  <c r="D50" i="93"/>
  <c r="D50" i="81"/>
  <c r="D50" i="69"/>
  <c r="D50" i="111"/>
  <c r="D50" i="94"/>
  <c r="D50" i="82"/>
  <c r="D50" i="70"/>
  <c r="D50" i="59"/>
  <c r="D50" i="58"/>
  <c r="D50" i="95"/>
  <c r="D50" i="83"/>
  <c r="D50" i="71"/>
  <c r="D50" i="60"/>
  <c r="D50" i="96"/>
  <c r="D50" i="72"/>
  <c r="D50" i="85"/>
  <c r="D50" i="62"/>
  <c r="D50" i="98"/>
  <c r="D50" i="74"/>
  <c r="D50" i="63"/>
  <c r="D50" i="99"/>
  <c r="D50" i="87"/>
  <c r="D50" i="64"/>
  <c r="D50" i="101"/>
  <c r="D50" i="89"/>
  <c r="D50" i="77"/>
  <c r="D50" i="66"/>
  <c r="D50" i="102"/>
  <c r="D50" i="88"/>
  <c r="D50" i="78"/>
  <c r="D50" i="67"/>
  <c r="D50" i="65"/>
  <c r="D50" i="61"/>
  <c r="D50" i="103"/>
  <c r="D50" i="91"/>
  <c r="D50" i="79"/>
  <c r="D50" i="68"/>
  <c r="D50" i="84"/>
  <c r="D50" i="97"/>
  <c r="D50" i="73"/>
  <c r="D50" i="86"/>
  <c r="D50" i="75"/>
  <c r="D50" i="100"/>
  <c r="D50" i="90"/>
  <c r="D50" i="76"/>
  <c r="D50" i="104"/>
  <c r="D50" i="92"/>
  <c r="D50" i="80"/>
  <c r="D50" i="108"/>
  <c r="C50" i="105"/>
  <c r="C50" i="97"/>
  <c r="C50" i="93"/>
  <c r="C50" i="85"/>
  <c r="C50" i="81"/>
  <c r="C50" i="73"/>
  <c r="C50" i="69"/>
  <c r="C50" i="62"/>
  <c r="C50" i="95"/>
  <c r="C50" i="71"/>
  <c r="C50" i="60"/>
  <c r="C50" i="58"/>
  <c r="C50" i="83"/>
  <c r="C50" i="111"/>
  <c r="C50" i="96"/>
  <c r="C50" i="94"/>
  <c r="C50" i="84"/>
  <c r="C50" i="82"/>
  <c r="C50" i="72"/>
  <c r="C50" i="70"/>
  <c r="C50" i="61"/>
  <c r="C50" i="59"/>
  <c r="C50" i="98"/>
  <c r="C50" i="86"/>
  <c r="C50" i="74"/>
  <c r="C50" i="63"/>
  <c r="C50" i="103"/>
  <c r="C50" i="99"/>
  <c r="C50" i="91"/>
  <c r="C50" i="87"/>
  <c r="C50" i="79"/>
  <c r="C50" i="75"/>
  <c r="C50" i="68"/>
  <c r="C50" i="64"/>
  <c r="C50" i="101"/>
  <c r="C50" i="89"/>
  <c r="C50" i="77"/>
  <c r="C50" i="66"/>
  <c r="C50" i="102"/>
  <c r="C50" i="100"/>
  <c r="C50" i="90"/>
  <c r="C50" i="88"/>
  <c r="C50" i="78"/>
  <c r="C50" i="76"/>
  <c r="C50" i="67"/>
  <c r="C50" i="65"/>
  <c r="C50" i="104"/>
  <c r="C50" i="92"/>
  <c r="C50" i="80"/>
  <c r="C50" i="108"/>
  <c r="E97" i="107" l="1"/>
  <c r="E97" i="58"/>
  <c r="E97" i="59"/>
  <c r="E97" i="60"/>
  <c r="E97" i="61"/>
  <c r="E97" i="62"/>
  <c r="E97" i="63"/>
  <c r="E97" i="64"/>
  <c r="E97" i="65"/>
  <c r="E97" i="66"/>
  <c r="E97" i="67"/>
  <c r="E97" i="68"/>
  <c r="E97" i="108"/>
  <c r="E97" i="69"/>
  <c r="E97" i="70"/>
  <c r="E97" i="71"/>
  <c r="E97" i="72"/>
  <c r="E97" i="73"/>
  <c r="E97" i="74"/>
  <c r="E97" i="75"/>
  <c r="E97" i="76"/>
  <c r="E97" i="77"/>
  <c r="E97" i="78"/>
  <c r="E97" i="79"/>
  <c r="E97" i="80"/>
  <c r="E97" i="81"/>
  <c r="E97" i="82"/>
  <c r="E97" i="83"/>
  <c r="E97" i="84"/>
  <c r="E97" i="85"/>
  <c r="E97" i="86"/>
  <c r="E97" i="87"/>
  <c r="E97" i="88"/>
  <c r="E97" i="89"/>
  <c r="E97" i="90"/>
  <c r="E97" i="91"/>
  <c r="E97" i="92"/>
  <c r="E97" i="93"/>
  <c r="E97" i="94"/>
  <c r="E97" i="95"/>
  <c r="E97" i="96"/>
  <c r="E97" i="97"/>
  <c r="E97" i="98"/>
  <c r="E97" i="99"/>
  <c r="E97" i="100"/>
  <c r="E97" i="101"/>
  <c r="E97" i="102"/>
  <c r="E97" i="103"/>
  <c r="E97" i="104"/>
  <c r="E97" i="105"/>
  <c r="E97" i="111"/>
  <c r="E97" i="2"/>
  <c r="D128" i="56"/>
  <c r="C128" i="56"/>
  <c r="D127" i="56"/>
  <c r="C127" i="56"/>
  <c r="J102" i="56"/>
  <c r="J101" i="56"/>
  <c r="J100" i="56"/>
  <c r="J99" i="56"/>
  <c r="J98" i="56"/>
  <c r="J97" i="56"/>
  <c r="D67" i="56"/>
  <c r="C67" i="56"/>
  <c r="D66" i="56"/>
  <c r="C66" i="56"/>
  <c r="D65" i="56"/>
  <c r="C65" i="56"/>
  <c r="D64" i="56"/>
  <c r="C64" i="56"/>
  <c r="D63" i="56"/>
  <c r="C63" i="56"/>
  <c r="D62" i="56"/>
  <c r="C62" i="56"/>
  <c r="D61" i="56"/>
  <c r="C61" i="56"/>
  <c r="D60" i="56"/>
  <c r="C60" i="56"/>
  <c r="D59" i="56"/>
  <c r="C59" i="56"/>
  <c r="F54" i="56"/>
  <c r="F53" i="56"/>
  <c r="I32" i="56"/>
  <c r="D31" i="56"/>
  <c r="C31" i="56"/>
  <c r="J122" i="111"/>
  <c r="Y104" i="111"/>
  <c r="J104" i="111"/>
  <c r="V103" i="111"/>
  <c r="Y103" i="111" s="1"/>
  <c r="Y105" i="111" s="1"/>
  <c r="G103" i="111"/>
  <c r="J103" i="111" s="1"/>
  <c r="Y102" i="111"/>
  <c r="J102" i="111"/>
  <c r="J105" i="111" s="1"/>
  <c r="J98" i="111"/>
  <c r="I98" i="111"/>
  <c r="E98" i="111"/>
  <c r="X97" i="111"/>
  <c r="Y97" i="111" s="1"/>
  <c r="T97" i="111"/>
  <c r="I97" i="111"/>
  <c r="J97" i="111" s="1"/>
  <c r="X96" i="111"/>
  <c r="T96" i="111"/>
  <c r="T92" i="111"/>
  <c r="G92" i="111"/>
  <c r="V92" i="111" s="1"/>
  <c r="D92" i="111"/>
  <c r="T91" i="111"/>
  <c r="G91" i="111"/>
  <c r="V91" i="111" s="1"/>
  <c r="T90" i="111"/>
  <c r="G90" i="111"/>
  <c r="V90" i="111" s="1"/>
  <c r="D90" i="111"/>
  <c r="V87" i="111"/>
  <c r="V86" i="111"/>
  <c r="G85" i="111"/>
  <c r="V85" i="111" s="1"/>
  <c r="G84" i="111"/>
  <c r="V83" i="111"/>
  <c r="J82" i="111"/>
  <c r="J81" i="111"/>
  <c r="Y80" i="111"/>
  <c r="G72" i="111"/>
  <c r="V71" i="111"/>
  <c r="G71" i="111"/>
  <c r="V70" i="111"/>
  <c r="G70" i="111"/>
  <c r="V69" i="111"/>
  <c r="G68" i="111"/>
  <c r="I65" i="111"/>
  <c r="X64" i="111"/>
  <c r="I62" i="111"/>
  <c r="X61" i="111"/>
  <c r="I59" i="111"/>
  <c r="X58" i="111"/>
  <c r="I56" i="111"/>
  <c r="X55" i="111" s="1"/>
  <c r="I53" i="111"/>
  <c r="X52" i="111"/>
  <c r="T50" i="111"/>
  <c r="E46" i="111"/>
  <c r="J46" i="111" s="1"/>
  <c r="X49" i="111"/>
  <c r="Y49" i="111" s="1"/>
  <c r="I49" i="111"/>
  <c r="E49" i="111"/>
  <c r="J49" i="111" s="1"/>
  <c r="X48" i="111"/>
  <c r="Y48" i="111" s="1"/>
  <c r="I48" i="111"/>
  <c r="X47" i="111"/>
  <c r="Y47" i="111" s="1"/>
  <c r="I47" i="111"/>
  <c r="E47" i="111"/>
  <c r="J47" i="111" s="1"/>
  <c r="X46" i="111"/>
  <c r="Y46" i="111" s="1"/>
  <c r="I46" i="111"/>
  <c r="X45" i="111"/>
  <c r="Y45" i="111" s="1"/>
  <c r="I45" i="111"/>
  <c r="E45" i="111"/>
  <c r="J45" i="111" s="1"/>
  <c r="X44" i="111"/>
  <c r="Y44" i="111" s="1"/>
  <c r="I44" i="111"/>
  <c r="E44" i="111"/>
  <c r="J44" i="111" s="1"/>
  <c r="X43" i="111"/>
  <c r="Y43" i="111" s="1"/>
  <c r="I43" i="111"/>
  <c r="E43" i="111"/>
  <c r="J43" i="111" s="1"/>
  <c r="X42" i="111"/>
  <c r="Y42" i="111" s="1"/>
  <c r="I42" i="111"/>
  <c r="E42" i="111"/>
  <c r="J42" i="111" s="1"/>
  <c r="X41" i="111"/>
  <c r="Y41" i="111" s="1"/>
  <c r="I41" i="111"/>
  <c r="Y37" i="111"/>
  <c r="J37" i="111"/>
  <c r="Y36" i="111"/>
  <c r="Y38" i="111" s="1"/>
  <c r="J36" i="111"/>
  <c r="V32" i="111"/>
  <c r="G32" i="111"/>
  <c r="T27" i="111"/>
  <c r="X27" i="111" s="1"/>
  <c r="Y27" i="111" s="1"/>
  <c r="H27" i="111"/>
  <c r="G27" i="111"/>
  <c r="T26" i="111"/>
  <c r="X26" i="111" s="1"/>
  <c r="Y26" i="111" s="1"/>
  <c r="H26" i="111"/>
  <c r="G26" i="111"/>
  <c r="T25" i="111"/>
  <c r="X25" i="111" s="1"/>
  <c r="Y25" i="111" s="1"/>
  <c r="H25" i="111"/>
  <c r="G25" i="111"/>
  <c r="T24" i="111"/>
  <c r="X24" i="111" s="1"/>
  <c r="Y24" i="111" s="1"/>
  <c r="H24" i="111"/>
  <c r="G24" i="111"/>
  <c r="T23" i="111"/>
  <c r="X23" i="111" s="1"/>
  <c r="Y23" i="111" s="1"/>
  <c r="H23" i="111"/>
  <c r="G23" i="111"/>
  <c r="T22" i="111"/>
  <c r="X22" i="111" s="1"/>
  <c r="Y22" i="111" s="1"/>
  <c r="H22" i="111"/>
  <c r="G22" i="111"/>
  <c r="T21" i="111"/>
  <c r="X21" i="111" s="1"/>
  <c r="Y21" i="111" s="1"/>
  <c r="H21" i="111"/>
  <c r="G21" i="111"/>
  <c r="T20" i="111"/>
  <c r="X20" i="111" s="1"/>
  <c r="Y20" i="111" s="1"/>
  <c r="H20" i="111"/>
  <c r="G20" i="111"/>
  <c r="T19" i="111"/>
  <c r="X19" i="111" s="1"/>
  <c r="Y19" i="111" s="1"/>
  <c r="H19" i="111"/>
  <c r="G19" i="111"/>
  <c r="T18" i="111"/>
  <c r="X18" i="111" s="1"/>
  <c r="Y18" i="111" s="1"/>
  <c r="H18" i="111"/>
  <c r="G18" i="111"/>
  <c r="T17" i="111"/>
  <c r="X17" i="111" s="1"/>
  <c r="Y17" i="111" s="1"/>
  <c r="H17" i="111"/>
  <c r="G17" i="111"/>
  <c r="T16" i="111"/>
  <c r="X16" i="111" s="1"/>
  <c r="H16" i="111"/>
  <c r="G16" i="111"/>
  <c r="T15" i="111"/>
  <c r="X15" i="111" s="1"/>
  <c r="Y15" i="111" s="1"/>
  <c r="H15" i="111"/>
  <c r="G15" i="111"/>
  <c r="T14" i="111"/>
  <c r="X14" i="111" s="1"/>
  <c r="H14" i="111"/>
  <c r="G14" i="111"/>
  <c r="T13" i="111"/>
  <c r="X13" i="111" s="1"/>
  <c r="H13" i="111"/>
  <c r="G13" i="111"/>
  <c r="T12" i="111"/>
  <c r="X12" i="111" s="1"/>
  <c r="Y12" i="111" s="1"/>
  <c r="H12" i="111"/>
  <c r="G12" i="111"/>
  <c r="D9" i="111"/>
  <c r="C9" i="111"/>
  <c r="I7" i="111"/>
  <c r="I6" i="111"/>
  <c r="D91" i="111" s="1"/>
  <c r="E6" i="111"/>
  <c r="T6" i="111" s="1"/>
  <c r="H4" i="111"/>
  <c r="R2" i="111"/>
  <c r="I2" i="111"/>
  <c r="F127" i="57"/>
  <c r="G127" i="57"/>
  <c r="H127" i="57"/>
  <c r="I127" i="57"/>
  <c r="J127" i="57"/>
  <c r="K127" i="57"/>
  <c r="L127" i="57"/>
  <c r="M127" i="57"/>
  <c r="N127" i="57"/>
  <c r="O127" i="57"/>
  <c r="P127" i="57"/>
  <c r="G36" i="91"/>
  <c r="G37" i="91" s="1"/>
  <c r="Q59" i="57"/>
  <c r="E127" i="56" l="1"/>
  <c r="J38" i="111"/>
  <c r="Y96" i="111"/>
  <c r="Y13" i="111"/>
  <c r="S90" i="111"/>
  <c r="X28" i="111"/>
  <c r="T55" i="111" s="1"/>
  <c r="X56" i="111" s="1"/>
  <c r="Y14" i="111"/>
  <c r="S91" i="111"/>
  <c r="X91" i="111" s="1"/>
  <c r="V67" i="111"/>
  <c r="I84" i="111"/>
  <c r="J84" i="111" s="1"/>
  <c r="Y81" i="111"/>
  <c r="X83" i="111" s="1"/>
  <c r="Y83" i="111"/>
  <c r="Y16" i="111"/>
  <c r="S92" i="111"/>
  <c r="X92" i="111" s="1"/>
  <c r="Y50" i="111"/>
  <c r="T28" i="111"/>
  <c r="J31" i="111"/>
  <c r="E48" i="111"/>
  <c r="J48" i="111" s="1"/>
  <c r="E41" i="111"/>
  <c r="D47" i="57"/>
  <c r="D34" i="57"/>
  <c r="D21" i="57"/>
  <c r="V33" i="111" l="1"/>
  <c r="Y28" i="111"/>
  <c r="E50" i="111"/>
  <c r="J41" i="111"/>
  <c r="J50" i="111" s="1"/>
  <c r="J32" i="111"/>
  <c r="Y31" i="111"/>
  <c r="Y32" i="111" s="1"/>
  <c r="T61" i="111"/>
  <c r="X62" i="111" s="1"/>
  <c r="X67" i="111" s="1"/>
  <c r="Y67" i="111" s="1"/>
  <c r="T58" i="111"/>
  <c r="X59" i="111" s="1"/>
  <c r="X71" i="111" s="1"/>
  <c r="Y71" i="111" s="1"/>
  <c r="T52" i="111"/>
  <c r="X53" i="111" s="1"/>
  <c r="T64" i="111"/>
  <c r="X65" i="111" s="1"/>
  <c r="X70" i="111" s="1"/>
  <c r="Y70" i="111" s="1"/>
  <c r="X85" i="111"/>
  <c r="Y85" i="111" s="1"/>
  <c r="X86" i="111"/>
  <c r="Y86" i="111" s="1"/>
  <c r="X90" i="111"/>
  <c r="Y93" i="111" s="1"/>
  <c r="S93" i="111"/>
  <c r="H4" i="58"/>
  <c r="H4" i="107"/>
  <c r="H4" i="59"/>
  <c r="H4" i="60"/>
  <c r="H4" i="61"/>
  <c r="H4" i="62"/>
  <c r="H4" i="63"/>
  <c r="H4" i="64"/>
  <c r="H4" i="65"/>
  <c r="H4" i="66"/>
  <c r="H4" i="67"/>
  <c r="H4" i="68"/>
  <c r="H4" i="108"/>
  <c r="H4" i="69"/>
  <c r="H4" i="70"/>
  <c r="H4" i="71"/>
  <c r="H4" i="72"/>
  <c r="H4" i="73"/>
  <c r="H4" i="74"/>
  <c r="H4" i="75"/>
  <c r="H4" i="76"/>
  <c r="H4" i="77"/>
  <c r="H4" i="78"/>
  <c r="H4" i="79"/>
  <c r="H4" i="80"/>
  <c r="H4" i="81"/>
  <c r="H4" i="82"/>
  <c r="H4" i="83"/>
  <c r="H4" i="84"/>
  <c r="H4" i="85"/>
  <c r="H4" i="86"/>
  <c r="H4" i="87"/>
  <c r="H4" i="88"/>
  <c r="H4" i="89"/>
  <c r="H4" i="90"/>
  <c r="H4" i="91"/>
  <c r="H4" i="92"/>
  <c r="H4" i="93"/>
  <c r="H4" i="94"/>
  <c r="H4" i="95"/>
  <c r="H4" i="96"/>
  <c r="H4" i="97"/>
  <c r="H4" i="98"/>
  <c r="H4" i="99"/>
  <c r="H4" i="100"/>
  <c r="H4" i="101"/>
  <c r="H4" i="102"/>
  <c r="H4" i="103"/>
  <c r="H4" i="104"/>
  <c r="H4" i="105"/>
  <c r="H4" i="2"/>
  <c r="Y33" i="111" l="1"/>
  <c r="X69" i="111"/>
  <c r="Y69" i="111" s="1"/>
  <c r="X87" i="111"/>
  <c r="Y87" i="111" s="1"/>
  <c r="X1219" i="109"/>
  <c r="V1215" i="109"/>
  <c r="V1214" i="109"/>
  <c r="V1213" i="109"/>
  <c r="V1212" i="109"/>
  <c r="V1211" i="109"/>
  <c r="V1210" i="109"/>
  <c r="V1209" i="109"/>
  <c r="V1208" i="109"/>
  <c r="V1207" i="109"/>
  <c r="V1206" i="109"/>
  <c r="V1205" i="109"/>
  <c r="V1204" i="109"/>
  <c r="V1203" i="109"/>
  <c r="V1202" i="109"/>
  <c r="V1201" i="109"/>
  <c r="V1200" i="109"/>
  <c r="V1199" i="109"/>
  <c r="V1198" i="109"/>
  <c r="V1197" i="109"/>
  <c r="V1196" i="109"/>
  <c r="V1195" i="109"/>
  <c r="V1194" i="109"/>
  <c r="V1193" i="109"/>
  <c r="V1192" i="109"/>
  <c r="V1191" i="109"/>
  <c r="V1190" i="109"/>
  <c r="V1189" i="109"/>
  <c r="V1188" i="109"/>
  <c r="V1187" i="109"/>
  <c r="V1186" i="109"/>
  <c r="V1185" i="109"/>
  <c r="V1184" i="109"/>
  <c r="V1183" i="109"/>
  <c r="V1182" i="109"/>
  <c r="V1181" i="109"/>
  <c r="V1180" i="109"/>
  <c r="V1179" i="109"/>
  <c r="V1178" i="109"/>
  <c r="V1177" i="109"/>
  <c r="V1176" i="109"/>
  <c r="V1175" i="109"/>
  <c r="V1174" i="109"/>
  <c r="V1173" i="109"/>
  <c r="V1172" i="109"/>
  <c r="V1171" i="109"/>
  <c r="V1170" i="109"/>
  <c r="V1169" i="109"/>
  <c r="V1168" i="109"/>
  <c r="V1167" i="109"/>
  <c r="V1166" i="109"/>
  <c r="V1165" i="109"/>
  <c r="V1164" i="109"/>
  <c r="V1163" i="109"/>
  <c r="V1162" i="109"/>
  <c r="V1161" i="109"/>
  <c r="V1160" i="109"/>
  <c r="V1159" i="109"/>
  <c r="V1158" i="109"/>
  <c r="V1157" i="109"/>
  <c r="V1156" i="109"/>
  <c r="V1155" i="109"/>
  <c r="V1154" i="109"/>
  <c r="V1153" i="109"/>
  <c r="V1152" i="109"/>
  <c r="V1151" i="109"/>
  <c r="V1150" i="109"/>
  <c r="V1149" i="109"/>
  <c r="V1148" i="109"/>
  <c r="V1147" i="109"/>
  <c r="V1146" i="109"/>
  <c r="V1145" i="109"/>
  <c r="V1144" i="109"/>
  <c r="V1143" i="109"/>
  <c r="V1142" i="109"/>
  <c r="V1141" i="109"/>
  <c r="V1140" i="109"/>
  <c r="V1139" i="109"/>
  <c r="V1138" i="109"/>
  <c r="V1137" i="109"/>
  <c r="V1136" i="109"/>
  <c r="V1135" i="109"/>
  <c r="V1134" i="109"/>
  <c r="V1133" i="109"/>
  <c r="V1132" i="109"/>
  <c r="V1131" i="109"/>
  <c r="V1130" i="109"/>
  <c r="V1129" i="109"/>
  <c r="V1128" i="109"/>
  <c r="V1127" i="109"/>
  <c r="V1126" i="109"/>
  <c r="V1125" i="109"/>
  <c r="V1124" i="109"/>
  <c r="V1123" i="109"/>
  <c r="V1122" i="109"/>
  <c r="V1121" i="109"/>
  <c r="V1120" i="109"/>
  <c r="V1119" i="109"/>
  <c r="V1118" i="109"/>
  <c r="V1117" i="109"/>
  <c r="V1116" i="109"/>
  <c r="V1115" i="109"/>
  <c r="V1114" i="109"/>
  <c r="V1113" i="109"/>
  <c r="V1112" i="109"/>
  <c r="V1111" i="109"/>
  <c r="V1110" i="109"/>
  <c r="V1109" i="109"/>
  <c r="V1108" i="109"/>
  <c r="V1107" i="109"/>
  <c r="V1106" i="109"/>
  <c r="V1105" i="109"/>
  <c r="V1104" i="109"/>
  <c r="V1103" i="109"/>
  <c r="V1102" i="109"/>
  <c r="V1101" i="109"/>
  <c r="V1100" i="109"/>
  <c r="V1099" i="109"/>
  <c r="V1098" i="109"/>
  <c r="V1097" i="109"/>
  <c r="V1096" i="109"/>
  <c r="V1095" i="109"/>
  <c r="V1094" i="109"/>
  <c r="V1093" i="109"/>
  <c r="V1092" i="109"/>
  <c r="V1091" i="109"/>
  <c r="V1090" i="109"/>
  <c r="V1089" i="109"/>
  <c r="V1088" i="109"/>
  <c r="V1087" i="109"/>
  <c r="V1086" i="109"/>
  <c r="V1085" i="109"/>
  <c r="V1084" i="109"/>
  <c r="V1083" i="109"/>
  <c r="V1082" i="109"/>
  <c r="V1081" i="109"/>
  <c r="V1080" i="109"/>
  <c r="V1079" i="109"/>
  <c r="V1078" i="109"/>
  <c r="V1077" i="109"/>
  <c r="V1076" i="109"/>
  <c r="V1075" i="109"/>
  <c r="V1074" i="109"/>
  <c r="V1073" i="109"/>
  <c r="V1072" i="109"/>
  <c r="V1071" i="109"/>
  <c r="V1070" i="109"/>
  <c r="V1069" i="109"/>
  <c r="V1068" i="109"/>
  <c r="V1067" i="109"/>
  <c r="V1066" i="109"/>
  <c r="V1065" i="109"/>
  <c r="V1064" i="109"/>
  <c r="V1063" i="109"/>
  <c r="V1062" i="109"/>
  <c r="V1061" i="109"/>
  <c r="V1060" i="109"/>
  <c r="V1059" i="109"/>
  <c r="V1058" i="109"/>
  <c r="V1057" i="109"/>
  <c r="V1056" i="109"/>
  <c r="V1055" i="109"/>
  <c r="V1054" i="109"/>
  <c r="V1053" i="109"/>
  <c r="V1052" i="109"/>
  <c r="V1051" i="109"/>
  <c r="V1050" i="109"/>
  <c r="V1049" i="109"/>
  <c r="V1048" i="109"/>
  <c r="V1047" i="109"/>
  <c r="V1046" i="109"/>
  <c r="V1045" i="109"/>
  <c r="V1044" i="109"/>
  <c r="V1043" i="109"/>
  <c r="V1042" i="109"/>
  <c r="V1041" i="109"/>
  <c r="V1040" i="109"/>
  <c r="V1039" i="109"/>
  <c r="V1038" i="109"/>
  <c r="V1037" i="109"/>
  <c r="V1036" i="109"/>
  <c r="V1035" i="109"/>
  <c r="V1034" i="109"/>
  <c r="V1033" i="109"/>
  <c r="V1032" i="109"/>
  <c r="V1031" i="109"/>
  <c r="V1030" i="109"/>
  <c r="V1029" i="109"/>
  <c r="V1028" i="109"/>
  <c r="V1027" i="109"/>
  <c r="V1026" i="109"/>
  <c r="V1025" i="109"/>
  <c r="V1024" i="109"/>
  <c r="V1023" i="109"/>
  <c r="V1022" i="109"/>
  <c r="V1021" i="109"/>
  <c r="V1020" i="109"/>
  <c r="V1019" i="109"/>
  <c r="V1018" i="109"/>
  <c r="V1017" i="109"/>
  <c r="V1016" i="109"/>
  <c r="V1015" i="109"/>
  <c r="V1014" i="109"/>
  <c r="V1013" i="109"/>
  <c r="V1012" i="109"/>
  <c r="V1011" i="109"/>
  <c r="V1010" i="109"/>
  <c r="V1009" i="109"/>
  <c r="V1008" i="109"/>
  <c r="V1007" i="109"/>
  <c r="V1006" i="109"/>
  <c r="V1005" i="109"/>
  <c r="V1004" i="109"/>
  <c r="V1003" i="109"/>
  <c r="V1002" i="109"/>
  <c r="V1001" i="109"/>
  <c r="V1000" i="109"/>
  <c r="V999" i="109"/>
  <c r="V998" i="109"/>
  <c r="V997" i="109"/>
  <c r="V996" i="109"/>
  <c r="V995" i="109"/>
  <c r="V994" i="109"/>
  <c r="V993" i="109"/>
  <c r="V992" i="109"/>
  <c r="V991" i="109"/>
  <c r="V990" i="109"/>
  <c r="V989" i="109"/>
  <c r="V988" i="109"/>
  <c r="V987" i="109"/>
  <c r="V986" i="109"/>
  <c r="V985" i="109"/>
  <c r="V984" i="109"/>
  <c r="V983" i="109"/>
  <c r="V982" i="109"/>
  <c r="V981" i="109"/>
  <c r="V980" i="109"/>
  <c r="V979" i="109"/>
  <c r="V978" i="109"/>
  <c r="V977" i="109"/>
  <c r="V976" i="109"/>
  <c r="V975" i="109"/>
  <c r="V974" i="109"/>
  <c r="V973" i="109"/>
  <c r="V972" i="109"/>
  <c r="V971" i="109"/>
  <c r="V970" i="109"/>
  <c r="V969" i="109"/>
  <c r="V968" i="109"/>
  <c r="V967" i="109"/>
  <c r="V966" i="109"/>
  <c r="V965" i="109"/>
  <c r="V964" i="109"/>
  <c r="V963" i="109"/>
  <c r="V962" i="109"/>
  <c r="V961" i="109"/>
  <c r="V960" i="109"/>
  <c r="V959" i="109"/>
  <c r="V958" i="109"/>
  <c r="V957" i="109"/>
  <c r="V956" i="109"/>
  <c r="V955" i="109"/>
  <c r="V954" i="109"/>
  <c r="V953" i="109"/>
  <c r="V952" i="109"/>
  <c r="V951" i="109"/>
  <c r="V950" i="109"/>
  <c r="V949" i="109"/>
  <c r="V948" i="109"/>
  <c r="V947" i="109"/>
  <c r="V946" i="109"/>
  <c r="V945" i="109"/>
  <c r="V944" i="109"/>
  <c r="V943" i="109"/>
  <c r="V942" i="109"/>
  <c r="V941" i="109"/>
  <c r="V940" i="109"/>
  <c r="V939" i="109"/>
  <c r="V938" i="109"/>
  <c r="V937" i="109"/>
  <c r="V936" i="109"/>
  <c r="V935" i="109"/>
  <c r="V934" i="109"/>
  <c r="V933" i="109"/>
  <c r="V932" i="109"/>
  <c r="V931" i="109"/>
  <c r="V930" i="109"/>
  <c r="V929" i="109"/>
  <c r="V928" i="109"/>
  <c r="V927" i="109"/>
  <c r="V926" i="109"/>
  <c r="V925" i="109"/>
  <c r="V924" i="109"/>
  <c r="V923" i="109"/>
  <c r="V922" i="109"/>
  <c r="V921" i="109"/>
  <c r="V920" i="109"/>
  <c r="V919" i="109"/>
  <c r="V918" i="109"/>
  <c r="V917" i="109"/>
  <c r="V916" i="109"/>
  <c r="V915" i="109"/>
  <c r="V914" i="109"/>
  <c r="V913" i="109"/>
  <c r="V912" i="109"/>
  <c r="V911" i="109"/>
  <c r="V910" i="109"/>
  <c r="V909" i="109"/>
  <c r="V908" i="109"/>
  <c r="V907" i="109"/>
  <c r="V906" i="109"/>
  <c r="V905" i="109"/>
  <c r="V904" i="109"/>
  <c r="V903" i="109"/>
  <c r="V902" i="109"/>
  <c r="V901" i="109"/>
  <c r="V900" i="109"/>
  <c r="V899" i="109"/>
  <c r="V898" i="109"/>
  <c r="V897" i="109"/>
  <c r="V896" i="109"/>
  <c r="V895" i="109"/>
  <c r="V894" i="109"/>
  <c r="V893" i="109"/>
  <c r="V892" i="109"/>
  <c r="V891" i="109"/>
  <c r="V890" i="109"/>
  <c r="V889" i="109"/>
  <c r="V888" i="109"/>
  <c r="V887" i="109"/>
  <c r="V886" i="109"/>
  <c r="V885" i="109"/>
  <c r="V884" i="109"/>
  <c r="V883" i="109"/>
  <c r="V882" i="109"/>
  <c r="V881" i="109"/>
  <c r="V880" i="109"/>
  <c r="V879" i="109"/>
  <c r="V878" i="109"/>
  <c r="V877" i="109"/>
  <c r="V876" i="109"/>
  <c r="V875" i="109"/>
  <c r="V874" i="109"/>
  <c r="V873" i="109"/>
  <c r="V872" i="109"/>
  <c r="V871" i="109"/>
  <c r="V870" i="109"/>
  <c r="V869" i="109"/>
  <c r="V868" i="109"/>
  <c r="V867" i="109"/>
  <c r="V866" i="109"/>
  <c r="V865" i="109"/>
  <c r="V864" i="109"/>
  <c r="V863" i="109"/>
  <c r="V862" i="109"/>
  <c r="V861" i="109"/>
  <c r="V860" i="109"/>
  <c r="V859" i="109"/>
  <c r="V858" i="109"/>
  <c r="V857" i="109"/>
  <c r="V856" i="109"/>
  <c r="V855" i="109"/>
  <c r="V854" i="109"/>
  <c r="V853" i="109"/>
  <c r="V852" i="109"/>
  <c r="V851" i="109"/>
  <c r="V850" i="109"/>
  <c r="V849" i="109"/>
  <c r="V848" i="109"/>
  <c r="V847" i="109"/>
  <c r="V846" i="109"/>
  <c r="V845" i="109"/>
  <c r="V844" i="109"/>
  <c r="V843" i="109"/>
  <c r="V842" i="109"/>
  <c r="V841" i="109"/>
  <c r="V840" i="109"/>
  <c r="V839" i="109"/>
  <c r="V838" i="109"/>
  <c r="V837" i="109"/>
  <c r="V836" i="109"/>
  <c r="V835" i="109"/>
  <c r="V834" i="109"/>
  <c r="V833" i="109"/>
  <c r="V832" i="109"/>
  <c r="V831" i="109"/>
  <c r="V830" i="109"/>
  <c r="V829" i="109"/>
  <c r="V828" i="109"/>
  <c r="V827" i="109"/>
  <c r="V826" i="109"/>
  <c r="V825" i="109"/>
  <c r="V824" i="109"/>
  <c r="V823" i="109"/>
  <c r="V822" i="109"/>
  <c r="V821" i="109"/>
  <c r="V820" i="109"/>
  <c r="V819" i="109"/>
  <c r="V818" i="109"/>
  <c r="V817" i="109"/>
  <c r="V816" i="109"/>
  <c r="V815" i="109"/>
  <c r="V814" i="109"/>
  <c r="V813" i="109"/>
  <c r="V812" i="109"/>
  <c r="V811" i="109"/>
  <c r="V810" i="109"/>
  <c r="V809" i="109"/>
  <c r="V808" i="109"/>
  <c r="V807" i="109"/>
  <c r="V806" i="109"/>
  <c r="V805" i="109"/>
  <c r="V804" i="109"/>
  <c r="V803" i="109"/>
  <c r="V802" i="109"/>
  <c r="V801" i="109"/>
  <c r="V800" i="109"/>
  <c r="V799" i="109"/>
  <c r="V798" i="109"/>
  <c r="V797" i="109"/>
  <c r="V796" i="109"/>
  <c r="V795" i="109"/>
  <c r="V794" i="109"/>
  <c r="V793" i="109"/>
  <c r="V792" i="109"/>
  <c r="V791" i="109"/>
  <c r="V790" i="109"/>
  <c r="V789" i="109"/>
  <c r="V788" i="109"/>
  <c r="V787" i="109"/>
  <c r="V786" i="109"/>
  <c r="V785" i="109"/>
  <c r="V784" i="109"/>
  <c r="V783" i="109"/>
  <c r="V782" i="109"/>
  <c r="V781" i="109"/>
  <c r="V780" i="109"/>
  <c r="V779" i="109"/>
  <c r="V778" i="109"/>
  <c r="V777" i="109"/>
  <c r="V776" i="109"/>
  <c r="V775" i="109"/>
  <c r="V774" i="109"/>
  <c r="V773" i="109"/>
  <c r="V772" i="109"/>
  <c r="V771" i="109"/>
  <c r="V770" i="109"/>
  <c r="V769" i="109"/>
  <c r="V768" i="109"/>
  <c r="V767" i="109"/>
  <c r="V766" i="109"/>
  <c r="V765" i="109"/>
  <c r="V764" i="109"/>
  <c r="V763" i="109"/>
  <c r="V762" i="109"/>
  <c r="V761" i="109"/>
  <c r="V760" i="109"/>
  <c r="V759" i="109"/>
  <c r="V758" i="109"/>
  <c r="V757" i="109"/>
  <c r="V756" i="109"/>
  <c r="V755" i="109"/>
  <c r="V754" i="109"/>
  <c r="V753" i="109"/>
  <c r="V752" i="109"/>
  <c r="V751" i="109"/>
  <c r="V750" i="109"/>
  <c r="V749" i="109"/>
  <c r="V748" i="109"/>
  <c r="V747" i="109"/>
  <c r="V746" i="109"/>
  <c r="V745" i="109"/>
  <c r="V744" i="109"/>
  <c r="V743" i="109"/>
  <c r="V742" i="109"/>
  <c r="V741" i="109"/>
  <c r="V740" i="109"/>
  <c r="V739" i="109"/>
  <c r="V738" i="109"/>
  <c r="V737" i="109"/>
  <c r="V736" i="109"/>
  <c r="V735" i="109"/>
  <c r="V734" i="109"/>
  <c r="V733" i="109"/>
  <c r="V732" i="109"/>
  <c r="V731" i="109"/>
  <c r="V730" i="109"/>
  <c r="V729" i="109"/>
  <c r="V728" i="109"/>
  <c r="V727" i="109"/>
  <c r="V726" i="109"/>
  <c r="V725" i="109"/>
  <c r="V724" i="109"/>
  <c r="V723" i="109"/>
  <c r="V722" i="109"/>
  <c r="V721" i="109"/>
  <c r="V720" i="109"/>
  <c r="V719" i="109"/>
  <c r="V718" i="109"/>
  <c r="V717" i="109"/>
  <c r="V716" i="109"/>
  <c r="V715" i="109"/>
  <c r="V714" i="109"/>
  <c r="V713" i="109"/>
  <c r="V712" i="109"/>
  <c r="V711" i="109"/>
  <c r="V710" i="109"/>
  <c r="V709" i="109"/>
  <c r="V708" i="109"/>
  <c r="V707" i="109"/>
  <c r="V706" i="109"/>
  <c r="V705" i="109"/>
  <c r="V704" i="109"/>
  <c r="V703" i="109"/>
  <c r="V702" i="109"/>
  <c r="V701" i="109"/>
  <c r="V700" i="109"/>
  <c r="V699" i="109"/>
  <c r="V698" i="109"/>
  <c r="V697" i="109"/>
  <c r="V696" i="109"/>
  <c r="V695" i="109"/>
  <c r="V694" i="109"/>
  <c r="V693" i="109"/>
  <c r="V692" i="109"/>
  <c r="V691" i="109"/>
  <c r="V690" i="109"/>
  <c r="V689" i="109"/>
  <c r="V688" i="109"/>
  <c r="V687" i="109"/>
  <c r="V686" i="109"/>
  <c r="V685" i="109"/>
  <c r="V684" i="109"/>
  <c r="V683" i="109"/>
  <c r="V682" i="109"/>
  <c r="V681" i="109"/>
  <c r="V680" i="109"/>
  <c r="V679" i="109"/>
  <c r="V678" i="109"/>
  <c r="V677" i="109"/>
  <c r="V676" i="109"/>
  <c r="V675" i="109"/>
  <c r="V674" i="109"/>
  <c r="V673" i="109"/>
  <c r="V672" i="109"/>
  <c r="V671" i="109"/>
  <c r="V670" i="109"/>
  <c r="V669" i="109"/>
  <c r="V668" i="109"/>
  <c r="V667" i="109"/>
  <c r="V666" i="109"/>
  <c r="V665" i="109"/>
  <c r="V664" i="109"/>
  <c r="V663" i="109"/>
  <c r="V662" i="109"/>
  <c r="V661" i="109"/>
  <c r="V660" i="109"/>
  <c r="V659" i="109"/>
  <c r="V658" i="109"/>
  <c r="V657" i="109"/>
  <c r="V656" i="109"/>
  <c r="V655" i="109"/>
  <c r="V654" i="109"/>
  <c r="V653" i="109"/>
  <c r="V652" i="109"/>
  <c r="V651" i="109"/>
  <c r="V650" i="109"/>
  <c r="V649" i="109"/>
  <c r="V648" i="109"/>
  <c r="V647" i="109"/>
  <c r="V646" i="109"/>
  <c r="V645" i="109"/>
  <c r="V644" i="109"/>
  <c r="V643" i="109"/>
  <c r="V642" i="109"/>
  <c r="V641" i="109"/>
  <c r="V640" i="109"/>
  <c r="V639" i="109"/>
  <c r="V638" i="109"/>
  <c r="V637" i="109"/>
  <c r="V636" i="109"/>
  <c r="V635" i="109"/>
  <c r="V634" i="109"/>
  <c r="V633" i="109"/>
  <c r="V632" i="109"/>
  <c r="V631" i="109"/>
  <c r="V630" i="109"/>
  <c r="V629" i="109"/>
  <c r="V628" i="109"/>
  <c r="V627" i="109"/>
  <c r="V626" i="109"/>
  <c r="V625" i="109"/>
  <c r="V624" i="109"/>
  <c r="V623" i="109"/>
  <c r="V622" i="109"/>
  <c r="V621" i="109"/>
  <c r="V620" i="109"/>
  <c r="V619" i="109"/>
  <c r="V618" i="109"/>
  <c r="V617" i="109"/>
  <c r="V616" i="109"/>
  <c r="V615" i="109"/>
  <c r="V614" i="109"/>
  <c r="V613" i="109"/>
  <c r="V612" i="109"/>
  <c r="V611" i="109"/>
  <c r="V610" i="109"/>
  <c r="V609" i="109"/>
  <c r="V608" i="109"/>
  <c r="V607" i="109"/>
  <c r="V606" i="109"/>
  <c r="V605" i="109"/>
  <c r="V604" i="109"/>
  <c r="V603" i="109"/>
  <c r="V602" i="109"/>
  <c r="V601" i="109"/>
  <c r="V600" i="109"/>
  <c r="V599" i="109"/>
  <c r="V598" i="109"/>
  <c r="V597" i="109"/>
  <c r="V596" i="109"/>
  <c r="V595" i="109"/>
  <c r="V594" i="109"/>
  <c r="V593" i="109"/>
  <c r="V592" i="109"/>
  <c r="V591" i="109"/>
  <c r="V590" i="109"/>
  <c r="V589" i="109"/>
  <c r="V588" i="109"/>
  <c r="V587" i="109"/>
  <c r="V586" i="109"/>
  <c r="V585" i="109"/>
  <c r="V584" i="109"/>
  <c r="V583" i="109"/>
  <c r="V582" i="109"/>
  <c r="V581" i="109"/>
  <c r="V580" i="109"/>
  <c r="V579" i="109"/>
  <c r="V578" i="109"/>
  <c r="V577" i="109"/>
  <c r="V576" i="109"/>
  <c r="V575" i="109"/>
  <c r="V574" i="109"/>
  <c r="V573" i="109"/>
  <c r="V572" i="109"/>
  <c r="V571" i="109"/>
  <c r="V570" i="109"/>
  <c r="V569" i="109"/>
  <c r="V568" i="109"/>
  <c r="V567" i="109"/>
  <c r="V566" i="109"/>
  <c r="V565" i="109"/>
  <c r="V564" i="109"/>
  <c r="V563" i="109"/>
  <c r="V562" i="109"/>
  <c r="V561" i="109"/>
  <c r="V560" i="109"/>
  <c r="V559" i="109"/>
  <c r="V558" i="109"/>
  <c r="V557" i="109"/>
  <c r="V556" i="109"/>
  <c r="V555" i="109"/>
  <c r="V554" i="109"/>
  <c r="V553" i="109"/>
  <c r="V552" i="109"/>
  <c r="V551" i="109"/>
  <c r="V550" i="109"/>
  <c r="V549" i="109"/>
  <c r="V548" i="109"/>
  <c r="V547" i="109"/>
  <c r="V546" i="109"/>
  <c r="V545" i="109"/>
  <c r="V544" i="109"/>
  <c r="V543" i="109"/>
  <c r="V542" i="109"/>
  <c r="V541" i="109"/>
  <c r="V540" i="109"/>
  <c r="V539" i="109"/>
  <c r="V538" i="109"/>
  <c r="V537" i="109"/>
  <c r="V536" i="109"/>
  <c r="V535" i="109"/>
  <c r="V534" i="109"/>
  <c r="V533" i="109"/>
  <c r="V532" i="109"/>
  <c r="V531" i="109"/>
  <c r="V530" i="109"/>
  <c r="V529" i="109"/>
  <c r="V528" i="109"/>
  <c r="V527" i="109"/>
  <c r="V526" i="109"/>
  <c r="V525" i="109"/>
  <c r="V524" i="109"/>
  <c r="V523" i="109"/>
  <c r="V522" i="109"/>
  <c r="V521" i="109"/>
  <c r="V520" i="109"/>
  <c r="V519" i="109"/>
  <c r="V518" i="109"/>
  <c r="V517" i="109"/>
  <c r="V516" i="109"/>
  <c r="V515" i="109"/>
  <c r="V514" i="109"/>
  <c r="V513" i="109"/>
  <c r="V512" i="109"/>
  <c r="V511" i="109"/>
  <c r="V510" i="109"/>
  <c r="V509" i="109"/>
  <c r="V508" i="109"/>
  <c r="V507" i="109"/>
  <c r="V506" i="109"/>
  <c r="V505" i="109"/>
  <c r="V504" i="109"/>
  <c r="V503" i="109"/>
  <c r="V502" i="109"/>
  <c r="V501" i="109"/>
  <c r="V500" i="109"/>
  <c r="V499" i="109"/>
  <c r="V498" i="109"/>
  <c r="V497" i="109"/>
  <c r="V496" i="109"/>
  <c r="V495" i="109"/>
  <c r="V494" i="109"/>
  <c r="V493" i="109"/>
  <c r="V492" i="109"/>
  <c r="V491" i="109"/>
  <c r="V490" i="109"/>
  <c r="V489" i="109"/>
  <c r="V488" i="109"/>
  <c r="V487" i="109"/>
  <c r="V486" i="109"/>
  <c r="V485" i="109"/>
  <c r="V484" i="109"/>
  <c r="V483" i="109"/>
  <c r="V482" i="109"/>
  <c r="V481" i="109"/>
  <c r="V480" i="109"/>
  <c r="V479" i="109"/>
  <c r="V478" i="109"/>
  <c r="V477" i="109"/>
  <c r="V476" i="109"/>
  <c r="V475" i="109"/>
  <c r="V474" i="109"/>
  <c r="V473" i="109"/>
  <c r="V472" i="109"/>
  <c r="V471" i="109"/>
  <c r="V470" i="109"/>
  <c r="V469" i="109"/>
  <c r="V468" i="109"/>
  <c r="V467" i="109"/>
  <c r="V466" i="109"/>
  <c r="V465" i="109"/>
  <c r="V464" i="109"/>
  <c r="V463" i="109"/>
  <c r="V462" i="109"/>
  <c r="V461" i="109"/>
  <c r="V460" i="109"/>
  <c r="V459" i="109"/>
  <c r="V458" i="109"/>
  <c r="V457" i="109"/>
  <c r="V456" i="109"/>
  <c r="V455" i="109"/>
  <c r="V454" i="109"/>
  <c r="V453" i="109"/>
  <c r="V452" i="109"/>
  <c r="V451" i="109"/>
  <c r="V450" i="109"/>
  <c r="V449" i="109"/>
  <c r="V448" i="109"/>
  <c r="V447" i="109"/>
  <c r="V446" i="109"/>
  <c r="V445" i="109"/>
  <c r="V444" i="109"/>
  <c r="V443" i="109"/>
  <c r="V442" i="109"/>
  <c r="V441" i="109"/>
  <c r="V440" i="109"/>
  <c r="V439" i="109"/>
  <c r="V438" i="109"/>
  <c r="V437" i="109"/>
  <c r="V436" i="109"/>
  <c r="V435" i="109"/>
  <c r="V434" i="109"/>
  <c r="V433" i="109"/>
  <c r="V432" i="109"/>
  <c r="V431" i="109"/>
  <c r="V430" i="109"/>
  <c r="V429" i="109"/>
  <c r="V428" i="109"/>
  <c r="V427" i="109"/>
  <c r="V426" i="109"/>
  <c r="V425" i="109"/>
  <c r="V424" i="109"/>
  <c r="V423" i="109"/>
  <c r="V422" i="109"/>
  <c r="V421" i="109"/>
  <c r="V420" i="109"/>
  <c r="V419" i="109"/>
  <c r="V418" i="109"/>
  <c r="V417" i="109"/>
  <c r="V416" i="109"/>
  <c r="V415" i="109"/>
  <c r="V414" i="109"/>
  <c r="V413" i="109"/>
  <c r="V412" i="109"/>
  <c r="V411" i="109"/>
  <c r="V410" i="109"/>
  <c r="V409" i="109"/>
  <c r="V408" i="109"/>
  <c r="V407" i="109"/>
  <c r="V406" i="109"/>
  <c r="V405" i="109"/>
  <c r="V404" i="109"/>
  <c r="V403" i="109"/>
  <c r="V402" i="109"/>
  <c r="V401" i="109"/>
  <c r="V400" i="109"/>
  <c r="V399" i="109"/>
  <c r="V398" i="109"/>
  <c r="V397" i="109"/>
  <c r="V396" i="109"/>
  <c r="V395" i="109"/>
  <c r="V394" i="109"/>
  <c r="V393" i="109"/>
  <c r="V392" i="109"/>
  <c r="V391" i="109"/>
  <c r="V390" i="109"/>
  <c r="V389" i="109"/>
  <c r="V388" i="109"/>
  <c r="V387" i="109"/>
  <c r="V386" i="109"/>
  <c r="V385" i="109"/>
  <c r="V384" i="109"/>
  <c r="V383" i="109"/>
  <c r="V382" i="109"/>
  <c r="V381" i="109"/>
  <c r="V380" i="109"/>
  <c r="V379" i="109"/>
  <c r="V378" i="109"/>
  <c r="V377" i="109"/>
  <c r="V376" i="109"/>
  <c r="V375" i="109"/>
  <c r="V374" i="109"/>
  <c r="V373" i="109"/>
  <c r="V372" i="109"/>
  <c r="V371" i="109"/>
  <c r="V370" i="109"/>
  <c r="V369" i="109"/>
  <c r="V368" i="109"/>
  <c r="V367" i="109"/>
  <c r="V366" i="109"/>
  <c r="V365" i="109"/>
  <c r="V364" i="109"/>
  <c r="V363" i="109"/>
  <c r="V362" i="109"/>
  <c r="V361" i="109"/>
  <c r="V360" i="109"/>
  <c r="V359" i="109"/>
  <c r="V358" i="109"/>
  <c r="V357" i="109"/>
  <c r="V356" i="109"/>
  <c r="V355" i="109"/>
  <c r="V354" i="109"/>
  <c r="V353" i="109"/>
  <c r="V352" i="109"/>
  <c r="V351" i="109"/>
  <c r="V350" i="109"/>
  <c r="V349" i="109"/>
  <c r="V348" i="109"/>
  <c r="V347" i="109"/>
  <c r="V346" i="109"/>
  <c r="V345" i="109"/>
  <c r="V344" i="109"/>
  <c r="V343" i="109"/>
  <c r="V342" i="109"/>
  <c r="V341" i="109"/>
  <c r="V340" i="109"/>
  <c r="V339" i="109"/>
  <c r="V338" i="109"/>
  <c r="V337" i="109"/>
  <c r="V336" i="109"/>
  <c r="V335" i="109"/>
  <c r="V334" i="109"/>
  <c r="V333" i="109"/>
  <c r="V332" i="109"/>
  <c r="V331" i="109"/>
  <c r="V330" i="109"/>
  <c r="V329" i="109"/>
  <c r="V328" i="109"/>
  <c r="V327" i="109"/>
  <c r="V326" i="109"/>
  <c r="V325" i="109"/>
  <c r="V324" i="109"/>
  <c r="V323" i="109"/>
  <c r="V322" i="109"/>
  <c r="V321" i="109"/>
  <c r="V320" i="109"/>
  <c r="V319" i="109"/>
  <c r="V318" i="109"/>
  <c r="V317" i="109"/>
  <c r="V316" i="109"/>
  <c r="V315" i="109"/>
  <c r="V314" i="109"/>
  <c r="V313" i="109"/>
  <c r="V312" i="109"/>
  <c r="V311" i="109"/>
  <c r="V310" i="109"/>
  <c r="V309" i="109"/>
  <c r="V308" i="109"/>
  <c r="V307" i="109"/>
  <c r="V306" i="109"/>
  <c r="V305" i="109"/>
  <c r="V304" i="109"/>
  <c r="V303" i="109"/>
  <c r="V302" i="109"/>
  <c r="V301" i="109"/>
  <c r="V300" i="109"/>
  <c r="V299" i="109"/>
  <c r="V298" i="109"/>
  <c r="V297" i="109"/>
  <c r="V296" i="109"/>
  <c r="V295" i="109"/>
  <c r="V294" i="109"/>
  <c r="V293" i="109"/>
  <c r="V292" i="109"/>
  <c r="V291" i="109"/>
  <c r="V290" i="109"/>
  <c r="V289" i="109"/>
  <c r="V288" i="109"/>
  <c r="V287" i="109"/>
  <c r="V286" i="109"/>
  <c r="V285" i="109"/>
  <c r="V284" i="109"/>
  <c r="V283" i="109"/>
  <c r="V282" i="109"/>
  <c r="V281" i="109"/>
  <c r="V280" i="109"/>
  <c r="V279" i="109"/>
  <c r="V278" i="109"/>
  <c r="V277" i="109"/>
  <c r="V276" i="109"/>
  <c r="V275" i="109"/>
  <c r="V274" i="109"/>
  <c r="V273" i="109"/>
  <c r="V272" i="109"/>
  <c r="V271" i="109"/>
  <c r="V270" i="109"/>
  <c r="V269" i="109"/>
  <c r="V268" i="109"/>
  <c r="V267" i="109"/>
  <c r="V266" i="109"/>
  <c r="V265" i="109"/>
  <c r="V264" i="109"/>
  <c r="V263" i="109"/>
  <c r="V262" i="109"/>
  <c r="V261" i="109"/>
  <c r="V260" i="109"/>
  <c r="V259" i="109"/>
  <c r="V258" i="109"/>
  <c r="V257" i="109"/>
  <c r="V256" i="109"/>
  <c r="V255" i="109"/>
  <c r="V254" i="109"/>
  <c r="V253" i="109"/>
  <c r="V252" i="109"/>
  <c r="V251" i="109"/>
  <c r="V250" i="109"/>
  <c r="V249" i="109"/>
  <c r="V248" i="109"/>
  <c r="V247" i="109"/>
  <c r="V246" i="109"/>
  <c r="V245" i="109"/>
  <c r="V244" i="109"/>
  <c r="V243" i="109"/>
  <c r="V242" i="109"/>
  <c r="V241" i="109"/>
  <c r="V240" i="109"/>
  <c r="V239" i="109"/>
  <c r="V238" i="109"/>
  <c r="V237" i="109"/>
  <c r="V236" i="109"/>
  <c r="V235" i="109"/>
  <c r="V234" i="109"/>
  <c r="V233" i="109"/>
  <c r="V232" i="109"/>
  <c r="V231" i="109"/>
  <c r="V230" i="109"/>
  <c r="V229" i="109"/>
  <c r="V228" i="109"/>
  <c r="V227" i="109"/>
  <c r="V226" i="109"/>
  <c r="V225" i="109"/>
  <c r="V224" i="109"/>
  <c r="V223" i="109"/>
  <c r="V222" i="109"/>
  <c r="V221" i="109"/>
  <c r="V220" i="109"/>
  <c r="V219" i="109"/>
  <c r="V218" i="109"/>
  <c r="V217" i="109"/>
  <c r="V216" i="109"/>
  <c r="V215" i="109"/>
  <c r="V214" i="109"/>
  <c r="V213" i="109"/>
  <c r="V212" i="109"/>
  <c r="V211" i="109"/>
  <c r="V210" i="109"/>
  <c r="V209" i="109"/>
  <c r="V208" i="109"/>
  <c r="V207" i="109"/>
  <c r="V206" i="109"/>
  <c r="V205" i="109"/>
  <c r="V204" i="109"/>
  <c r="V203" i="109"/>
  <c r="V202" i="109"/>
  <c r="V201" i="109"/>
  <c r="V200" i="109"/>
  <c r="V199" i="109"/>
  <c r="V198" i="109"/>
  <c r="V197" i="109"/>
  <c r="V196" i="109"/>
  <c r="V195" i="109"/>
  <c r="V194" i="109"/>
  <c r="V193" i="109"/>
  <c r="V192" i="109"/>
  <c r="V191" i="109"/>
  <c r="V190" i="109"/>
  <c r="V189" i="109"/>
  <c r="V188" i="109"/>
  <c r="V187" i="109"/>
  <c r="V186" i="109"/>
  <c r="V185" i="109"/>
  <c r="V184" i="109"/>
  <c r="V183" i="109"/>
  <c r="V182" i="109"/>
  <c r="V181" i="109"/>
  <c r="V180" i="109"/>
  <c r="V179" i="109"/>
  <c r="V178" i="109"/>
  <c r="V177" i="109"/>
  <c r="V176" i="109"/>
  <c r="V175" i="109"/>
  <c r="V174" i="109"/>
  <c r="V173" i="109"/>
  <c r="V172" i="109"/>
  <c r="V171" i="109"/>
  <c r="V170" i="109"/>
  <c r="V169" i="109"/>
  <c r="V168" i="109"/>
  <c r="V167" i="109"/>
  <c r="V166" i="109"/>
  <c r="V165" i="109"/>
  <c r="V164" i="109"/>
  <c r="V163" i="109"/>
  <c r="V162" i="109"/>
  <c r="V161" i="109"/>
  <c r="V160" i="109"/>
  <c r="V159" i="109"/>
  <c r="V158" i="109"/>
  <c r="V157" i="109"/>
  <c r="V156" i="109"/>
  <c r="V155" i="109"/>
  <c r="V154" i="109"/>
  <c r="V153" i="109"/>
  <c r="V152" i="109"/>
  <c r="V151" i="109"/>
  <c r="V150" i="109"/>
  <c r="V149" i="109"/>
  <c r="V148" i="109"/>
  <c r="V147" i="109"/>
  <c r="V146" i="109"/>
  <c r="V145" i="109"/>
  <c r="V144" i="109"/>
  <c r="V143" i="109"/>
  <c r="V142" i="109"/>
  <c r="V141" i="109"/>
  <c r="V140" i="109"/>
  <c r="V139" i="109"/>
  <c r="V138" i="109"/>
  <c r="V137" i="109"/>
  <c r="V136" i="109"/>
  <c r="V135" i="109"/>
  <c r="V134" i="109"/>
  <c r="V133" i="109"/>
  <c r="V132" i="109"/>
  <c r="V131" i="109"/>
  <c r="V130" i="109"/>
  <c r="V129" i="109"/>
  <c r="V128" i="109"/>
  <c r="V127" i="109"/>
  <c r="V126" i="109"/>
  <c r="V125" i="109"/>
  <c r="V124" i="109"/>
  <c r="V123" i="109"/>
  <c r="V122" i="109"/>
  <c r="V121" i="109"/>
  <c r="V120" i="109"/>
  <c r="V119" i="109"/>
  <c r="V118" i="109"/>
  <c r="V117" i="109"/>
  <c r="V116" i="109"/>
  <c r="V115" i="109"/>
  <c r="V114" i="109"/>
  <c r="V113" i="109"/>
  <c r="V112" i="109"/>
  <c r="V111" i="109"/>
  <c r="V110" i="109"/>
  <c r="V109" i="109"/>
  <c r="V108" i="109"/>
  <c r="V107" i="109"/>
  <c r="V106" i="109"/>
  <c r="V105" i="109"/>
  <c r="V104" i="109"/>
  <c r="V103" i="109"/>
  <c r="V102" i="109"/>
  <c r="V101" i="109"/>
  <c r="V100" i="109"/>
  <c r="V99" i="109"/>
  <c r="V98" i="109"/>
  <c r="V97" i="109"/>
  <c r="V96" i="109"/>
  <c r="V95" i="109"/>
  <c r="V94" i="109"/>
  <c r="V93" i="109"/>
  <c r="V92" i="109"/>
  <c r="V91" i="109"/>
  <c r="V90" i="109"/>
  <c r="V89" i="109"/>
  <c r="V88" i="109"/>
  <c r="V87" i="109"/>
  <c r="V86" i="109"/>
  <c r="V85" i="109"/>
  <c r="V84" i="109"/>
  <c r="V83" i="109"/>
  <c r="V82" i="109"/>
  <c r="V81" i="109"/>
  <c r="V80" i="109"/>
  <c r="V79" i="109"/>
  <c r="V78" i="109"/>
  <c r="V77" i="109"/>
  <c r="V76" i="109"/>
  <c r="V75" i="109"/>
  <c r="V74" i="109"/>
  <c r="V73" i="109"/>
  <c r="V72" i="109"/>
  <c r="V71" i="109"/>
  <c r="V70" i="109"/>
  <c r="V69" i="109"/>
  <c r="V68" i="109"/>
  <c r="V67" i="109"/>
  <c r="V66" i="109"/>
  <c r="V65" i="109"/>
  <c r="V64" i="109"/>
  <c r="V63" i="109"/>
  <c r="V62" i="109"/>
  <c r="V61" i="109"/>
  <c r="V60" i="109"/>
  <c r="V59" i="109"/>
  <c r="V58" i="109"/>
  <c r="V57" i="109"/>
  <c r="V56" i="109"/>
  <c r="V55" i="109"/>
  <c r="V54" i="109"/>
  <c r="V53" i="109"/>
  <c r="V52" i="109"/>
  <c r="V51" i="109"/>
  <c r="V50" i="109"/>
  <c r="V49" i="109"/>
  <c r="V48" i="109"/>
  <c r="V47" i="109"/>
  <c r="V46" i="109"/>
  <c r="V45" i="109"/>
  <c r="V44" i="109"/>
  <c r="V43" i="109"/>
  <c r="V42" i="109"/>
  <c r="V41" i="109"/>
  <c r="V40" i="109"/>
  <c r="V39" i="109"/>
  <c r="V38" i="109"/>
  <c r="V37" i="109"/>
  <c r="V36" i="109"/>
  <c r="V35" i="109"/>
  <c r="V34" i="109"/>
  <c r="V33" i="109"/>
  <c r="V32" i="109"/>
  <c r="V31" i="109"/>
  <c r="V30" i="109"/>
  <c r="V29" i="109"/>
  <c r="V28" i="109"/>
  <c r="V27" i="109"/>
  <c r="V26" i="109"/>
  <c r="V25" i="109"/>
  <c r="V24" i="109"/>
  <c r="V23" i="109"/>
  <c r="V22" i="109"/>
  <c r="V21" i="109"/>
  <c r="V20" i="109"/>
  <c r="V19" i="109"/>
  <c r="V18" i="109"/>
  <c r="V17" i="109"/>
  <c r="V16" i="109"/>
  <c r="V15" i="109"/>
  <c r="V14" i="109"/>
  <c r="V13" i="109"/>
  <c r="V12" i="109"/>
  <c r="V11" i="109"/>
  <c r="V10" i="109"/>
  <c r="V9" i="109"/>
  <c r="V8" i="109"/>
  <c r="V7" i="109"/>
  <c r="V6" i="109"/>
  <c r="V5" i="109"/>
  <c r="V4" i="109"/>
  <c r="V3" i="109"/>
  <c r="Q1208" i="109"/>
  <c r="Q1207" i="109"/>
  <c r="Q1206" i="109"/>
  <c r="Q1205" i="109"/>
  <c r="Q1204" i="109"/>
  <c r="Q1203" i="109"/>
  <c r="Q1202" i="109"/>
  <c r="Q1201" i="109"/>
  <c r="Q1200" i="109"/>
  <c r="Q1199" i="109"/>
  <c r="Q1198" i="109"/>
  <c r="Q1197" i="109"/>
  <c r="Q1196" i="109"/>
  <c r="Q1195" i="109"/>
  <c r="Q1194" i="109"/>
  <c r="Q1193" i="109"/>
  <c r="Q1192" i="109"/>
  <c r="Q1191" i="109"/>
  <c r="Q1190" i="109"/>
  <c r="Q1189" i="109"/>
  <c r="Q1188" i="109"/>
  <c r="Q1187" i="109"/>
  <c r="Q1186" i="109"/>
  <c r="Q1185" i="109"/>
  <c r="Q1184" i="109"/>
  <c r="Q1183" i="109"/>
  <c r="Q1182" i="109"/>
  <c r="Q1181" i="109"/>
  <c r="Q1180" i="109"/>
  <c r="Q1179" i="109"/>
  <c r="Q1178" i="109"/>
  <c r="Q1177" i="109"/>
  <c r="Q1176" i="109"/>
  <c r="Q1175" i="109"/>
  <c r="Q1174" i="109"/>
  <c r="Q1173" i="109"/>
  <c r="Q1172" i="109"/>
  <c r="Q1171" i="109"/>
  <c r="Q1170" i="109"/>
  <c r="Q1169" i="109"/>
  <c r="Q1168" i="109"/>
  <c r="Q1167" i="109"/>
  <c r="Q1166" i="109"/>
  <c r="Q1165" i="109"/>
  <c r="Q1164" i="109"/>
  <c r="Q1163" i="109"/>
  <c r="Q1162" i="109"/>
  <c r="Q1161" i="109"/>
  <c r="Q1160" i="109"/>
  <c r="Q1159" i="109"/>
  <c r="Q1158" i="109"/>
  <c r="Q1157" i="109"/>
  <c r="Q1156" i="109"/>
  <c r="Q1155" i="109"/>
  <c r="Q1154" i="109"/>
  <c r="Q1153" i="109"/>
  <c r="Q1152" i="109"/>
  <c r="Q1151" i="109"/>
  <c r="Q1150" i="109"/>
  <c r="Q1149" i="109"/>
  <c r="Q1148" i="109"/>
  <c r="Q1147" i="109"/>
  <c r="Q1146" i="109"/>
  <c r="Q1145" i="109"/>
  <c r="Q1144" i="109"/>
  <c r="Q1143" i="109"/>
  <c r="Q1142" i="109"/>
  <c r="Q1141" i="109"/>
  <c r="Q1140" i="109"/>
  <c r="Q1139" i="109"/>
  <c r="Q1138" i="109"/>
  <c r="Q1137" i="109"/>
  <c r="Q1136" i="109"/>
  <c r="Q1135" i="109"/>
  <c r="Q1134" i="109"/>
  <c r="Q1133" i="109"/>
  <c r="Q1132" i="109"/>
  <c r="Q1131" i="109"/>
  <c r="Q1130" i="109"/>
  <c r="Q1129" i="109"/>
  <c r="Q1128" i="109"/>
  <c r="Q1127" i="109"/>
  <c r="Q1126" i="109"/>
  <c r="Q1125" i="109"/>
  <c r="Q1124" i="109"/>
  <c r="Q1123" i="109"/>
  <c r="Q1122" i="109"/>
  <c r="Q1121" i="109"/>
  <c r="Q1120" i="109"/>
  <c r="Q1119" i="109"/>
  <c r="Q1118" i="109"/>
  <c r="Q1117" i="109"/>
  <c r="Q1116" i="109"/>
  <c r="Q1115" i="109"/>
  <c r="Q1114" i="109"/>
  <c r="Q1113" i="109"/>
  <c r="Q1112" i="109"/>
  <c r="Q1111" i="109"/>
  <c r="Q1110" i="109"/>
  <c r="Q1109" i="109"/>
  <c r="Q1108" i="109"/>
  <c r="Q1107" i="109"/>
  <c r="Q1106" i="109"/>
  <c r="Q1105" i="109"/>
  <c r="Q1104" i="109"/>
  <c r="Q1103" i="109"/>
  <c r="Q1102" i="109"/>
  <c r="Q1101" i="109"/>
  <c r="Q1100" i="109"/>
  <c r="Q1099" i="109"/>
  <c r="Q1098" i="109"/>
  <c r="Q1097" i="109"/>
  <c r="Q1096" i="109"/>
  <c r="Q1095" i="109"/>
  <c r="Q1094" i="109"/>
  <c r="Q1093" i="109"/>
  <c r="Q1092" i="109"/>
  <c r="Q1091" i="109"/>
  <c r="Q1090" i="109"/>
  <c r="Q1089" i="109"/>
  <c r="Q1088" i="109"/>
  <c r="Q1087" i="109"/>
  <c r="Q1086" i="109"/>
  <c r="Q1085" i="109"/>
  <c r="Q1084" i="109"/>
  <c r="Q1083" i="109"/>
  <c r="Q1082" i="109"/>
  <c r="Q1081" i="109"/>
  <c r="Q1080" i="109"/>
  <c r="Q1079" i="109"/>
  <c r="Q1078" i="109"/>
  <c r="Q1077" i="109"/>
  <c r="Q1076" i="109"/>
  <c r="Q1075" i="109"/>
  <c r="Q1074" i="109"/>
  <c r="Q1073" i="109"/>
  <c r="Q1072" i="109"/>
  <c r="Q1071" i="109"/>
  <c r="Q1070" i="109"/>
  <c r="Q1069" i="109"/>
  <c r="Q1068" i="109"/>
  <c r="Q1067" i="109"/>
  <c r="Q1066" i="109"/>
  <c r="Q1065" i="109"/>
  <c r="Q1064" i="109"/>
  <c r="Q1063" i="109"/>
  <c r="Q1062" i="109"/>
  <c r="Q1061" i="109"/>
  <c r="Q1060" i="109"/>
  <c r="Q1059" i="109"/>
  <c r="Q1058" i="109"/>
  <c r="Q1057" i="109"/>
  <c r="Q1056" i="109"/>
  <c r="Q1055" i="109"/>
  <c r="Q1054" i="109"/>
  <c r="Q1053" i="109"/>
  <c r="Q1052" i="109"/>
  <c r="Q1051" i="109"/>
  <c r="Q1050" i="109"/>
  <c r="Q1049" i="109"/>
  <c r="Q1048" i="109"/>
  <c r="Q1047" i="109"/>
  <c r="Q1046" i="109"/>
  <c r="Q1045" i="109"/>
  <c r="Q1044" i="109"/>
  <c r="Q1043" i="109"/>
  <c r="Q1042" i="109"/>
  <c r="Q1041" i="109"/>
  <c r="Q1040" i="109"/>
  <c r="Q1039" i="109"/>
  <c r="Q1038" i="109"/>
  <c r="Q1037" i="109"/>
  <c r="Q1036" i="109"/>
  <c r="Q1035" i="109"/>
  <c r="Q1034" i="109"/>
  <c r="Q1033" i="109"/>
  <c r="Q1032" i="109"/>
  <c r="Q1031" i="109"/>
  <c r="Q1030" i="109"/>
  <c r="Q1029" i="109"/>
  <c r="Q1028" i="109"/>
  <c r="Q1027" i="109"/>
  <c r="Q1026" i="109"/>
  <c r="Q1025" i="109"/>
  <c r="Q1024" i="109"/>
  <c r="Q1023" i="109"/>
  <c r="Q1022" i="109"/>
  <c r="Q1021" i="109"/>
  <c r="Q1020" i="109"/>
  <c r="Q1019" i="109"/>
  <c r="Q1018" i="109"/>
  <c r="Q1017" i="109"/>
  <c r="Q1016" i="109"/>
  <c r="Q1015" i="109"/>
  <c r="Q1014" i="109"/>
  <c r="Q1013" i="109"/>
  <c r="Q1012" i="109"/>
  <c r="Q1011" i="109"/>
  <c r="Q1010" i="109"/>
  <c r="Q1009" i="109"/>
  <c r="Q1008" i="109"/>
  <c r="Q1007" i="109"/>
  <c r="Q1006" i="109"/>
  <c r="Q1005" i="109"/>
  <c r="Q1004" i="109"/>
  <c r="Q1003" i="109"/>
  <c r="Q1002" i="109"/>
  <c r="Q1001" i="109"/>
  <c r="Q1000" i="109"/>
  <c r="Q999" i="109"/>
  <c r="Q998" i="109"/>
  <c r="Q997" i="109"/>
  <c r="Q996" i="109"/>
  <c r="Q995" i="109"/>
  <c r="Q994" i="109"/>
  <c r="Q993" i="109"/>
  <c r="Q992" i="109"/>
  <c r="Q991" i="109"/>
  <c r="Q990" i="109"/>
  <c r="Q989" i="109"/>
  <c r="Q988" i="109"/>
  <c r="Q987" i="109"/>
  <c r="Q986" i="109"/>
  <c r="Q985" i="109"/>
  <c r="Q984" i="109"/>
  <c r="Q983" i="109"/>
  <c r="Q982" i="109"/>
  <c r="Q981" i="109"/>
  <c r="Q980" i="109"/>
  <c r="Q979" i="109"/>
  <c r="Q978" i="109"/>
  <c r="Q977" i="109"/>
  <c r="Q976" i="109"/>
  <c r="Q975" i="109"/>
  <c r="Q974" i="109"/>
  <c r="Q973" i="109"/>
  <c r="Q972" i="109"/>
  <c r="Q971" i="109"/>
  <c r="Q970" i="109"/>
  <c r="Q969" i="109"/>
  <c r="Q968" i="109"/>
  <c r="Q967" i="109"/>
  <c r="Q966" i="109"/>
  <c r="Q965" i="109"/>
  <c r="Q964" i="109"/>
  <c r="Q963" i="109"/>
  <c r="Q962" i="109"/>
  <c r="Q961" i="109"/>
  <c r="Q960" i="109"/>
  <c r="Q959" i="109"/>
  <c r="Q958" i="109"/>
  <c r="Q957" i="109"/>
  <c r="Q956" i="109"/>
  <c r="Q955" i="109"/>
  <c r="Q954" i="109"/>
  <c r="Q953" i="109"/>
  <c r="Q952" i="109"/>
  <c r="Q951" i="109"/>
  <c r="Q950" i="109"/>
  <c r="Q949" i="109"/>
  <c r="Q948" i="109"/>
  <c r="Q947" i="109"/>
  <c r="Q946" i="109"/>
  <c r="Q945" i="109"/>
  <c r="Q944" i="109"/>
  <c r="Q943" i="109"/>
  <c r="Q942" i="109"/>
  <c r="Q941" i="109"/>
  <c r="Q940" i="109"/>
  <c r="Q939" i="109"/>
  <c r="Q938" i="109"/>
  <c r="Q937" i="109"/>
  <c r="Q936" i="109"/>
  <c r="Q935" i="109"/>
  <c r="Q934" i="109"/>
  <c r="Q933" i="109"/>
  <c r="Q932" i="109"/>
  <c r="Q931" i="109"/>
  <c r="Q930" i="109"/>
  <c r="Q929" i="109"/>
  <c r="Q928" i="109"/>
  <c r="Q927" i="109"/>
  <c r="Q926" i="109"/>
  <c r="Q925" i="109"/>
  <c r="Q924" i="109"/>
  <c r="Q923" i="109"/>
  <c r="Q922" i="109"/>
  <c r="Q921" i="109"/>
  <c r="Q920" i="109"/>
  <c r="Q919" i="109"/>
  <c r="Q918" i="109"/>
  <c r="Q917" i="109"/>
  <c r="Q916" i="109"/>
  <c r="Q915" i="109"/>
  <c r="Q914" i="109"/>
  <c r="Q913" i="109"/>
  <c r="Q912" i="109"/>
  <c r="Q911" i="109"/>
  <c r="Q910" i="109"/>
  <c r="Q909" i="109"/>
  <c r="Q908" i="109"/>
  <c r="Q907" i="109"/>
  <c r="Q906" i="109"/>
  <c r="Q905" i="109"/>
  <c r="Q904" i="109"/>
  <c r="Q903" i="109"/>
  <c r="Q902" i="109"/>
  <c r="Q901" i="109"/>
  <c r="Q900" i="109"/>
  <c r="Q899" i="109"/>
  <c r="Q898" i="109"/>
  <c r="Q897" i="109"/>
  <c r="Q896" i="109"/>
  <c r="Q895" i="109"/>
  <c r="Q894" i="109"/>
  <c r="Q893" i="109"/>
  <c r="Q892" i="109"/>
  <c r="Q891" i="109"/>
  <c r="Q890" i="109"/>
  <c r="Q889" i="109"/>
  <c r="Q888" i="109"/>
  <c r="Q887" i="109"/>
  <c r="Q886" i="109"/>
  <c r="Q885" i="109"/>
  <c r="Q884" i="109"/>
  <c r="Q883" i="109"/>
  <c r="Q882" i="109"/>
  <c r="Q881" i="109"/>
  <c r="Q880" i="109"/>
  <c r="Q879" i="109"/>
  <c r="Q878" i="109"/>
  <c r="Q877" i="109"/>
  <c r="Q876" i="109"/>
  <c r="Q875" i="109"/>
  <c r="Q874" i="109"/>
  <c r="Q873" i="109"/>
  <c r="Q872" i="109"/>
  <c r="Q871" i="109"/>
  <c r="Q870" i="109"/>
  <c r="Q869" i="109"/>
  <c r="Q868" i="109"/>
  <c r="Q867" i="109"/>
  <c r="Q866" i="109"/>
  <c r="Q865" i="109"/>
  <c r="Q864" i="109"/>
  <c r="Q863" i="109"/>
  <c r="Q862" i="109"/>
  <c r="Q861" i="109"/>
  <c r="Q860" i="109"/>
  <c r="Q859" i="109"/>
  <c r="Q858" i="109"/>
  <c r="Q857" i="109"/>
  <c r="Q856" i="109"/>
  <c r="Q855" i="109"/>
  <c r="Q854" i="109"/>
  <c r="Q853" i="109"/>
  <c r="Q852" i="109"/>
  <c r="Q851" i="109"/>
  <c r="Q850" i="109"/>
  <c r="Q849" i="109"/>
  <c r="Q848" i="109"/>
  <c r="Q847" i="109"/>
  <c r="Q846" i="109"/>
  <c r="Q845" i="109"/>
  <c r="Q844" i="109"/>
  <c r="Q843" i="109"/>
  <c r="Q842" i="109"/>
  <c r="Q841" i="109"/>
  <c r="Q840" i="109"/>
  <c r="Q839" i="109"/>
  <c r="Q838" i="109"/>
  <c r="Q837" i="109"/>
  <c r="Q836" i="109"/>
  <c r="Q835" i="109"/>
  <c r="Q834" i="109"/>
  <c r="Q833" i="109"/>
  <c r="Q832" i="109"/>
  <c r="Q831" i="109"/>
  <c r="Q830" i="109"/>
  <c r="Q829" i="109"/>
  <c r="Q828" i="109"/>
  <c r="Q827" i="109"/>
  <c r="Q826" i="109"/>
  <c r="Q825" i="109"/>
  <c r="Q824" i="109"/>
  <c r="Q823" i="109"/>
  <c r="Q822" i="109"/>
  <c r="Q821" i="109"/>
  <c r="Q820" i="109"/>
  <c r="Q819" i="109"/>
  <c r="Q818" i="109"/>
  <c r="Q817" i="109"/>
  <c r="Q816" i="109"/>
  <c r="Q815" i="109"/>
  <c r="Q814" i="109"/>
  <c r="Q813" i="109"/>
  <c r="Q812" i="109"/>
  <c r="Q811" i="109"/>
  <c r="Q810" i="109"/>
  <c r="Q809" i="109"/>
  <c r="Q808" i="109"/>
  <c r="Q807" i="109"/>
  <c r="Q806" i="109"/>
  <c r="Q805" i="109"/>
  <c r="Q804" i="109"/>
  <c r="Q803" i="109"/>
  <c r="Q802" i="109"/>
  <c r="Q801" i="109"/>
  <c r="Q800" i="109"/>
  <c r="Q799" i="109"/>
  <c r="Q798" i="109"/>
  <c r="Q797" i="109"/>
  <c r="Q796" i="109"/>
  <c r="Q795" i="109"/>
  <c r="Q794" i="109"/>
  <c r="Q793" i="109"/>
  <c r="Q792" i="109"/>
  <c r="Q791" i="109"/>
  <c r="Q790" i="109"/>
  <c r="Q789" i="109"/>
  <c r="Q788" i="109"/>
  <c r="Q787" i="109"/>
  <c r="Q786" i="109"/>
  <c r="Q785" i="109"/>
  <c r="Q784" i="109"/>
  <c r="Q783" i="109"/>
  <c r="Q782" i="109"/>
  <c r="Q781" i="109"/>
  <c r="Q780" i="109"/>
  <c r="Q779" i="109"/>
  <c r="Q778" i="109"/>
  <c r="Q777" i="109"/>
  <c r="Q776" i="109"/>
  <c r="Q775" i="109"/>
  <c r="Q774" i="109"/>
  <c r="Q773" i="109"/>
  <c r="Q772" i="109"/>
  <c r="Q771" i="109"/>
  <c r="Q770" i="109"/>
  <c r="Q769" i="109"/>
  <c r="Q768" i="109"/>
  <c r="Q767" i="109"/>
  <c r="Q766" i="109"/>
  <c r="Q765" i="109"/>
  <c r="Q764" i="109"/>
  <c r="Q763" i="109"/>
  <c r="Q762" i="109"/>
  <c r="Q761" i="109"/>
  <c r="Q760" i="109"/>
  <c r="Q759" i="109"/>
  <c r="Q758" i="109"/>
  <c r="Q757" i="109"/>
  <c r="Q756" i="109"/>
  <c r="Q755" i="109"/>
  <c r="Q754" i="109"/>
  <c r="Q753" i="109"/>
  <c r="Q752" i="109"/>
  <c r="Q751" i="109"/>
  <c r="Q750" i="109"/>
  <c r="Q749" i="109"/>
  <c r="Q748" i="109"/>
  <c r="Q747" i="109"/>
  <c r="Q746" i="109"/>
  <c r="Q745" i="109"/>
  <c r="Q744" i="109"/>
  <c r="Q743" i="109"/>
  <c r="Q742" i="109"/>
  <c r="Q741" i="109"/>
  <c r="Q740" i="109"/>
  <c r="Q739" i="109"/>
  <c r="Q738" i="109"/>
  <c r="Q737" i="109"/>
  <c r="Q736" i="109"/>
  <c r="Q735" i="109"/>
  <c r="Q734" i="109"/>
  <c r="Q733" i="109"/>
  <c r="Q732" i="109"/>
  <c r="Q731" i="109"/>
  <c r="Q730" i="109"/>
  <c r="Q729" i="109"/>
  <c r="Q728" i="109"/>
  <c r="Q727" i="109"/>
  <c r="Q726" i="109"/>
  <c r="Q725" i="109"/>
  <c r="Q724" i="109"/>
  <c r="Q723" i="109"/>
  <c r="Q722" i="109"/>
  <c r="Q721" i="109"/>
  <c r="Q720" i="109"/>
  <c r="Q719" i="109"/>
  <c r="Q718" i="109"/>
  <c r="Q717" i="109"/>
  <c r="Q716" i="109"/>
  <c r="Q715" i="109"/>
  <c r="Q714" i="109"/>
  <c r="Q713" i="109"/>
  <c r="Q712" i="109"/>
  <c r="Q711" i="109"/>
  <c r="Q710" i="109"/>
  <c r="Q709" i="109"/>
  <c r="Q708" i="109"/>
  <c r="Q707" i="109"/>
  <c r="Q706" i="109"/>
  <c r="Q705" i="109"/>
  <c r="Q704" i="109"/>
  <c r="Q703" i="109"/>
  <c r="Q702" i="109"/>
  <c r="Q701" i="109"/>
  <c r="Q700" i="109"/>
  <c r="Q699" i="109"/>
  <c r="Q698" i="109"/>
  <c r="Q697" i="109"/>
  <c r="Q696" i="109"/>
  <c r="Q695" i="109"/>
  <c r="Q694" i="109"/>
  <c r="Q693" i="109"/>
  <c r="Q692" i="109"/>
  <c r="Q691" i="109"/>
  <c r="Q690" i="109"/>
  <c r="Q689" i="109"/>
  <c r="Q688" i="109"/>
  <c r="Q687" i="109"/>
  <c r="Q686" i="109"/>
  <c r="Q685" i="109"/>
  <c r="Q684" i="109"/>
  <c r="Q683" i="109"/>
  <c r="Q682" i="109"/>
  <c r="Q681" i="109"/>
  <c r="Q680" i="109"/>
  <c r="Q679" i="109"/>
  <c r="Q678" i="109"/>
  <c r="Q677" i="109"/>
  <c r="Q676" i="109"/>
  <c r="Q675" i="109"/>
  <c r="Q674" i="109"/>
  <c r="Q673" i="109"/>
  <c r="Q672" i="109"/>
  <c r="Q671" i="109"/>
  <c r="Q670" i="109"/>
  <c r="Q669" i="109"/>
  <c r="Q668" i="109"/>
  <c r="Q667" i="109"/>
  <c r="Q666" i="109"/>
  <c r="Q665" i="109"/>
  <c r="Q664" i="109"/>
  <c r="Q663" i="109"/>
  <c r="Q662" i="109"/>
  <c r="Q661" i="109"/>
  <c r="Q660" i="109"/>
  <c r="Q659" i="109"/>
  <c r="Q658" i="109"/>
  <c r="Q657" i="109"/>
  <c r="Q656" i="109"/>
  <c r="Q655" i="109"/>
  <c r="Q654" i="109"/>
  <c r="Q653" i="109"/>
  <c r="Q652" i="109"/>
  <c r="Q651" i="109"/>
  <c r="Q650" i="109"/>
  <c r="Q649" i="109"/>
  <c r="Q648" i="109"/>
  <c r="Q647" i="109"/>
  <c r="Q646" i="109"/>
  <c r="Q645" i="109"/>
  <c r="Q644" i="109"/>
  <c r="Q643" i="109"/>
  <c r="Q642" i="109"/>
  <c r="Q641" i="109"/>
  <c r="Q640" i="109"/>
  <c r="Q639" i="109"/>
  <c r="Q638" i="109"/>
  <c r="Q637" i="109"/>
  <c r="Q636" i="109"/>
  <c r="Q635" i="109"/>
  <c r="Q634" i="109"/>
  <c r="Q633" i="109"/>
  <c r="Q632" i="109"/>
  <c r="Q631" i="109"/>
  <c r="Q630" i="109"/>
  <c r="Q629" i="109"/>
  <c r="Q628" i="109"/>
  <c r="Q627" i="109"/>
  <c r="Q626" i="109"/>
  <c r="Q625" i="109"/>
  <c r="Q624" i="109"/>
  <c r="Q623" i="109"/>
  <c r="Q622" i="109"/>
  <c r="Q621" i="109"/>
  <c r="Q620" i="109"/>
  <c r="Q619" i="109"/>
  <c r="Q618" i="109"/>
  <c r="Q617" i="109"/>
  <c r="Q616" i="109"/>
  <c r="Q615" i="109"/>
  <c r="Q614" i="109"/>
  <c r="Q613" i="109"/>
  <c r="Q612" i="109"/>
  <c r="Q611" i="109"/>
  <c r="Q610" i="109"/>
  <c r="Q609" i="109"/>
  <c r="Q608" i="109"/>
  <c r="Q607" i="109"/>
  <c r="Q606" i="109"/>
  <c r="Q605" i="109"/>
  <c r="Q604" i="109"/>
  <c r="Q603" i="109"/>
  <c r="Q602" i="109"/>
  <c r="Q601" i="109"/>
  <c r="Q600" i="109"/>
  <c r="Q599" i="109"/>
  <c r="Q598" i="109"/>
  <c r="Q597" i="109"/>
  <c r="Q596" i="109"/>
  <c r="Q595" i="109"/>
  <c r="Q594" i="109"/>
  <c r="Q593" i="109"/>
  <c r="Q592" i="109"/>
  <c r="Q591" i="109"/>
  <c r="Q590" i="109"/>
  <c r="Q589" i="109"/>
  <c r="Q588" i="109"/>
  <c r="Q587" i="109"/>
  <c r="Q586" i="109"/>
  <c r="Q585" i="109"/>
  <c r="Q584" i="109"/>
  <c r="Q583" i="109"/>
  <c r="Q582" i="109"/>
  <c r="Q581" i="109"/>
  <c r="Q580" i="109"/>
  <c r="Q579" i="109"/>
  <c r="Q578" i="109"/>
  <c r="Q577" i="109"/>
  <c r="Q576" i="109"/>
  <c r="Q575" i="109"/>
  <c r="Q574" i="109"/>
  <c r="Q573" i="109"/>
  <c r="Q572" i="109"/>
  <c r="Q571" i="109"/>
  <c r="Q570" i="109"/>
  <c r="Q569" i="109"/>
  <c r="Q568" i="109"/>
  <c r="Q567" i="109"/>
  <c r="Q566" i="109"/>
  <c r="Q565" i="109"/>
  <c r="Q564" i="109"/>
  <c r="Q563" i="109"/>
  <c r="Q562" i="109"/>
  <c r="Q561" i="109"/>
  <c r="Q560" i="109"/>
  <c r="Q559" i="109"/>
  <c r="Q558" i="109"/>
  <c r="Q557" i="109"/>
  <c r="Q556" i="109"/>
  <c r="Q555" i="109"/>
  <c r="Q554" i="109"/>
  <c r="Q553" i="109"/>
  <c r="Q552" i="109"/>
  <c r="Q551" i="109"/>
  <c r="Q550" i="109"/>
  <c r="Q549" i="109"/>
  <c r="Q548" i="109"/>
  <c r="Q547" i="109"/>
  <c r="Q546" i="109"/>
  <c r="Q545" i="109"/>
  <c r="Q544" i="109"/>
  <c r="Q543" i="109"/>
  <c r="Q542" i="109"/>
  <c r="Q541" i="109"/>
  <c r="Q540" i="109"/>
  <c r="Q539" i="109"/>
  <c r="Q538" i="109"/>
  <c r="Q537" i="109"/>
  <c r="Q536" i="109"/>
  <c r="Q535" i="109"/>
  <c r="Q534" i="109"/>
  <c r="Q533" i="109"/>
  <c r="Q532" i="109"/>
  <c r="Q531" i="109"/>
  <c r="Q530" i="109"/>
  <c r="Q529" i="109"/>
  <c r="Q528" i="109"/>
  <c r="Q527" i="109"/>
  <c r="Q526" i="109"/>
  <c r="Q525" i="109"/>
  <c r="Q524" i="109"/>
  <c r="Q523" i="109"/>
  <c r="Q522" i="109"/>
  <c r="Q521" i="109"/>
  <c r="Q520" i="109"/>
  <c r="Q519" i="109"/>
  <c r="Q518" i="109"/>
  <c r="Q517" i="109"/>
  <c r="Q516" i="109"/>
  <c r="Q515" i="109"/>
  <c r="Q514" i="109"/>
  <c r="Q513" i="109"/>
  <c r="Q512" i="109"/>
  <c r="Q511" i="109"/>
  <c r="Q510" i="109"/>
  <c r="Q509" i="109"/>
  <c r="Q508" i="109"/>
  <c r="Q507" i="109"/>
  <c r="Q506" i="109"/>
  <c r="Q505" i="109"/>
  <c r="Q504" i="109"/>
  <c r="Q503" i="109"/>
  <c r="Q502" i="109"/>
  <c r="Q501" i="109"/>
  <c r="Q500" i="109"/>
  <c r="Q499" i="109"/>
  <c r="Q498" i="109"/>
  <c r="Q497" i="109"/>
  <c r="Q496" i="109"/>
  <c r="Q495" i="109"/>
  <c r="Q494" i="109"/>
  <c r="Q493" i="109"/>
  <c r="Q492" i="109"/>
  <c r="Q491" i="109"/>
  <c r="Q490" i="109"/>
  <c r="Q489" i="109"/>
  <c r="Q488" i="109"/>
  <c r="Q487" i="109"/>
  <c r="Q486" i="109"/>
  <c r="Q485" i="109"/>
  <c r="Q484" i="109"/>
  <c r="Q483" i="109"/>
  <c r="Q482" i="109"/>
  <c r="Q481" i="109"/>
  <c r="Q480" i="109"/>
  <c r="Q479" i="109"/>
  <c r="Q478" i="109"/>
  <c r="Q477" i="109"/>
  <c r="Q476" i="109"/>
  <c r="Q475" i="109"/>
  <c r="Q474" i="109"/>
  <c r="Q473" i="109"/>
  <c r="Q472" i="109"/>
  <c r="Q471" i="109"/>
  <c r="Q470" i="109"/>
  <c r="Q469" i="109"/>
  <c r="Q468" i="109"/>
  <c r="Q467" i="109"/>
  <c r="Q466" i="109"/>
  <c r="Q465" i="109"/>
  <c r="Q464" i="109"/>
  <c r="Q463" i="109"/>
  <c r="Q462" i="109"/>
  <c r="Q461" i="109"/>
  <c r="Q460" i="109"/>
  <c r="Q459" i="109"/>
  <c r="Q458" i="109"/>
  <c r="Q457" i="109"/>
  <c r="Q456" i="109"/>
  <c r="Q455" i="109"/>
  <c r="Q454" i="109"/>
  <c r="Q453" i="109"/>
  <c r="Q452" i="109"/>
  <c r="Q451" i="109"/>
  <c r="Q450" i="109"/>
  <c r="Q449" i="109"/>
  <c r="Q448" i="109"/>
  <c r="Q447" i="109"/>
  <c r="Q446" i="109"/>
  <c r="Q445" i="109"/>
  <c r="Q444" i="109"/>
  <c r="Q443" i="109"/>
  <c r="Q442" i="109"/>
  <c r="Q441" i="109"/>
  <c r="Q440" i="109"/>
  <c r="Q439" i="109"/>
  <c r="Q438" i="109"/>
  <c r="Q437" i="109"/>
  <c r="Q436" i="109"/>
  <c r="Q435" i="109"/>
  <c r="Q434" i="109"/>
  <c r="Q433" i="109"/>
  <c r="Q432" i="109"/>
  <c r="Q431" i="109"/>
  <c r="Q430" i="109"/>
  <c r="Q429" i="109"/>
  <c r="Q428" i="109"/>
  <c r="Q427" i="109"/>
  <c r="Q426" i="109"/>
  <c r="Q425" i="109"/>
  <c r="Q424" i="109"/>
  <c r="Q423" i="109"/>
  <c r="Q422" i="109"/>
  <c r="Q421" i="109"/>
  <c r="Q420" i="109"/>
  <c r="Q419" i="109"/>
  <c r="Q418" i="109"/>
  <c r="Q417" i="109"/>
  <c r="Q416" i="109"/>
  <c r="Q415" i="109"/>
  <c r="Q414" i="109"/>
  <c r="Q413" i="109"/>
  <c r="Q412" i="109"/>
  <c r="Q411" i="109"/>
  <c r="Q410" i="109"/>
  <c r="Q409" i="109"/>
  <c r="Q408" i="109"/>
  <c r="Q407" i="109"/>
  <c r="Q406" i="109"/>
  <c r="Q405" i="109"/>
  <c r="Q404" i="109"/>
  <c r="Q403" i="109"/>
  <c r="Q402" i="109"/>
  <c r="Q401" i="109"/>
  <c r="Q400" i="109"/>
  <c r="Q399" i="109"/>
  <c r="Q398" i="109"/>
  <c r="Q397" i="109"/>
  <c r="Q396" i="109"/>
  <c r="Q395" i="109"/>
  <c r="Q394" i="109"/>
  <c r="Q393" i="109"/>
  <c r="Q392" i="109"/>
  <c r="Q391" i="109"/>
  <c r="Q390" i="109"/>
  <c r="Q389" i="109"/>
  <c r="Q388" i="109"/>
  <c r="Q387" i="109"/>
  <c r="Q386" i="109"/>
  <c r="Q385" i="109"/>
  <c r="Q384" i="109"/>
  <c r="Q383" i="109"/>
  <c r="Q382" i="109"/>
  <c r="Q381" i="109"/>
  <c r="Q380" i="109"/>
  <c r="Q379" i="109"/>
  <c r="Q378" i="109"/>
  <c r="Q377" i="109"/>
  <c r="Q376" i="109"/>
  <c r="Q375" i="109"/>
  <c r="Q374" i="109"/>
  <c r="Q373" i="109"/>
  <c r="Q372" i="109"/>
  <c r="Q371" i="109"/>
  <c r="Q370" i="109"/>
  <c r="Q369" i="109"/>
  <c r="Q368" i="109"/>
  <c r="Q367" i="109"/>
  <c r="Q366" i="109"/>
  <c r="Q365" i="109"/>
  <c r="Q364" i="109"/>
  <c r="Q363" i="109"/>
  <c r="Q362" i="109"/>
  <c r="Q361" i="109"/>
  <c r="Q360" i="109"/>
  <c r="Q359" i="109"/>
  <c r="Q358" i="109"/>
  <c r="Q357" i="109"/>
  <c r="Q356" i="109"/>
  <c r="Q355" i="109"/>
  <c r="Q354" i="109"/>
  <c r="Q353" i="109"/>
  <c r="Q352" i="109"/>
  <c r="Q351" i="109"/>
  <c r="Q350" i="109"/>
  <c r="Q349" i="109"/>
  <c r="Q348" i="109"/>
  <c r="Q347" i="109"/>
  <c r="Q346" i="109"/>
  <c r="Q345" i="109"/>
  <c r="Q344" i="109"/>
  <c r="Q343" i="109"/>
  <c r="Q342" i="109"/>
  <c r="Q341" i="109"/>
  <c r="Q340" i="109"/>
  <c r="Q339" i="109"/>
  <c r="Q338" i="109"/>
  <c r="Q337" i="109"/>
  <c r="Q336" i="109"/>
  <c r="Q335" i="109"/>
  <c r="Q334" i="109"/>
  <c r="Q333" i="109"/>
  <c r="Q332" i="109"/>
  <c r="Q331" i="109"/>
  <c r="Q330" i="109"/>
  <c r="Q329" i="109"/>
  <c r="Q328" i="109"/>
  <c r="Q327" i="109"/>
  <c r="Q326" i="109"/>
  <c r="Q325" i="109"/>
  <c r="Q324" i="109"/>
  <c r="Q323" i="109"/>
  <c r="Q322" i="109"/>
  <c r="Q321" i="109"/>
  <c r="Q320" i="109"/>
  <c r="Q319" i="109"/>
  <c r="Q318" i="109"/>
  <c r="Q317" i="109"/>
  <c r="Q316" i="109"/>
  <c r="Q315" i="109"/>
  <c r="Q314" i="109"/>
  <c r="Q313" i="109"/>
  <c r="Q312" i="109"/>
  <c r="Q311" i="109"/>
  <c r="Q310" i="109"/>
  <c r="Q309" i="109"/>
  <c r="Q308" i="109"/>
  <c r="Q307" i="109"/>
  <c r="Q306" i="109"/>
  <c r="Q305" i="109"/>
  <c r="Q304" i="109"/>
  <c r="Q303" i="109"/>
  <c r="Q302" i="109"/>
  <c r="Q301" i="109"/>
  <c r="Q300" i="109"/>
  <c r="Q299" i="109"/>
  <c r="Q298" i="109"/>
  <c r="Q297" i="109"/>
  <c r="Q296" i="109"/>
  <c r="Q295" i="109"/>
  <c r="Q294" i="109"/>
  <c r="Q293" i="109"/>
  <c r="Q292" i="109"/>
  <c r="Q291" i="109"/>
  <c r="Q290" i="109"/>
  <c r="Q289" i="109"/>
  <c r="Q288" i="109"/>
  <c r="Q287" i="109"/>
  <c r="Q286" i="109"/>
  <c r="Q285" i="109"/>
  <c r="Q284" i="109"/>
  <c r="Q283" i="109"/>
  <c r="Q282" i="109"/>
  <c r="Q281" i="109"/>
  <c r="Q280" i="109"/>
  <c r="Q279" i="109"/>
  <c r="Q278" i="109"/>
  <c r="Q277" i="109"/>
  <c r="Q276" i="109"/>
  <c r="Q275" i="109"/>
  <c r="Q274" i="109"/>
  <c r="Q273" i="109"/>
  <c r="Q272" i="109"/>
  <c r="Q271" i="109"/>
  <c r="Q270" i="109"/>
  <c r="Q269" i="109"/>
  <c r="Q268" i="109"/>
  <c r="Q267" i="109"/>
  <c r="Q266" i="109"/>
  <c r="Q265" i="109"/>
  <c r="Q264" i="109"/>
  <c r="Q263" i="109"/>
  <c r="Q262" i="109"/>
  <c r="Q261" i="109"/>
  <c r="Q260" i="109"/>
  <c r="Q259" i="109"/>
  <c r="Q258" i="109"/>
  <c r="Q257" i="109"/>
  <c r="Q256" i="109"/>
  <c r="Q255" i="109"/>
  <c r="Q254" i="109"/>
  <c r="Q253" i="109"/>
  <c r="Q252" i="109"/>
  <c r="Q251" i="109"/>
  <c r="Q250" i="109"/>
  <c r="Q249" i="109"/>
  <c r="Q248" i="109"/>
  <c r="Q247" i="109"/>
  <c r="Q246" i="109"/>
  <c r="Q245" i="109"/>
  <c r="Q244" i="109"/>
  <c r="Q243" i="109"/>
  <c r="Q242" i="109"/>
  <c r="Q241" i="109"/>
  <c r="Q240" i="109"/>
  <c r="Q239" i="109"/>
  <c r="Q238" i="109"/>
  <c r="Q237" i="109"/>
  <c r="Q236" i="109"/>
  <c r="Q235" i="109"/>
  <c r="Q234" i="109"/>
  <c r="Q233" i="109"/>
  <c r="Q232" i="109"/>
  <c r="Q231" i="109"/>
  <c r="Q230" i="109"/>
  <c r="Q229" i="109"/>
  <c r="Q228" i="109"/>
  <c r="Q227" i="109"/>
  <c r="Q226" i="109"/>
  <c r="Q225" i="109"/>
  <c r="Q224" i="109"/>
  <c r="Q223" i="109"/>
  <c r="Q222" i="109"/>
  <c r="Q221" i="109"/>
  <c r="Q220" i="109"/>
  <c r="Q219" i="109"/>
  <c r="Q218" i="109"/>
  <c r="Q217" i="109"/>
  <c r="Q216" i="109"/>
  <c r="Q215" i="109"/>
  <c r="Q214" i="109"/>
  <c r="Q213" i="109"/>
  <c r="Q212" i="109"/>
  <c r="Q211" i="109"/>
  <c r="Q210" i="109"/>
  <c r="Q209" i="109"/>
  <c r="Q208" i="109"/>
  <c r="Q207" i="109"/>
  <c r="Q206" i="109"/>
  <c r="Q205" i="109"/>
  <c r="Q204" i="109"/>
  <c r="Q203" i="109"/>
  <c r="Q202" i="109"/>
  <c r="Q201" i="109"/>
  <c r="Q200" i="109"/>
  <c r="Q199" i="109"/>
  <c r="Q198" i="109"/>
  <c r="Q197" i="109"/>
  <c r="Q196" i="109"/>
  <c r="Q195" i="109"/>
  <c r="Q194" i="109"/>
  <c r="Q193" i="109"/>
  <c r="Q192" i="109"/>
  <c r="Q191" i="109"/>
  <c r="Q190" i="109"/>
  <c r="Q189" i="109"/>
  <c r="Q188" i="109"/>
  <c r="Q187" i="109"/>
  <c r="Q186" i="109"/>
  <c r="Q185" i="109"/>
  <c r="Q184" i="109"/>
  <c r="Q183" i="109"/>
  <c r="Q182" i="109"/>
  <c r="Q181" i="109"/>
  <c r="Q180" i="109"/>
  <c r="Q179" i="109"/>
  <c r="Q178" i="109"/>
  <c r="Q177" i="109"/>
  <c r="Q176" i="109"/>
  <c r="Q175" i="109"/>
  <c r="Q174" i="109"/>
  <c r="Q173" i="109"/>
  <c r="Q172" i="109"/>
  <c r="Q171" i="109"/>
  <c r="Q170" i="109"/>
  <c r="Q169" i="109"/>
  <c r="Q168" i="109"/>
  <c r="Q167" i="109"/>
  <c r="Q166" i="109"/>
  <c r="Q165" i="109"/>
  <c r="Q164" i="109"/>
  <c r="Q163" i="109"/>
  <c r="Q162" i="109"/>
  <c r="Q161" i="109"/>
  <c r="Q160" i="109"/>
  <c r="Q159" i="109"/>
  <c r="Q158" i="109"/>
  <c r="Q157" i="109"/>
  <c r="Q156" i="109"/>
  <c r="Q155" i="109"/>
  <c r="Q154" i="109"/>
  <c r="Q153" i="109"/>
  <c r="Q152" i="109"/>
  <c r="Q151" i="109"/>
  <c r="Q150" i="109"/>
  <c r="Q149" i="109"/>
  <c r="Q148" i="109"/>
  <c r="Q147" i="109"/>
  <c r="Q146" i="109"/>
  <c r="Q145" i="109"/>
  <c r="Q144" i="109"/>
  <c r="Q143" i="109"/>
  <c r="Q142" i="109"/>
  <c r="Q141" i="109"/>
  <c r="Q140" i="109"/>
  <c r="Q139" i="109"/>
  <c r="Q138" i="109"/>
  <c r="Q137" i="109"/>
  <c r="Q136" i="109"/>
  <c r="Q135" i="109"/>
  <c r="Q134" i="109"/>
  <c r="Q133" i="109"/>
  <c r="Q132" i="109"/>
  <c r="Q131" i="109"/>
  <c r="Q130" i="109"/>
  <c r="Q129" i="109"/>
  <c r="Q128" i="109"/>
  <c r="Q127" i="109"/>
  <c r="Q126" i="109"/>
  <c r="Q125" i="109"/>
  <c r="Q124" i="109"/>
  <c r="Q123" i="109"/>
  <c r="Q122" i="109"/>
  <c r="Q121" i="109"/>
  <c r="Q120" i="109"/>
  <c r="Q119" i="109"/>
  <c r="Q118" i="109"/>
  <c r="Q117" i="109"/>
  <c r="Q116" i="109"/>
  <c r="Q115" i="109"/>
  <c r="Q114" i="109"/>
  <c r="Q113" i="109"/>
  <c r="Q112" i="109"/>
  <c r="Q111" i="109"/>
  <c r="Q110" i="109"/>
  <c r="Q109" i="109"/>
  <c r="Q108" i="109"/>
  <c r="Q107" i="109"/>
  <c r="Q106" i="109"/>
  <c r="Q105" i="109"/>
  <c r="Q104" i="109"/>
  <c r="Q103" i="109"/>
  <c r="Q102" i="109"/>
  <c r="Q101" i="109"/>
  <c r="Q100" i="109"/>
  <c r="Q99" i="109"/>
  <c r="Q98" i="109"/>
  <c r="Q97" i="109"/>
  <c r="Q96" i="109"/>
  <c r="Q95" i="109"/>
  <c r="Q94" i="109"/>
  <c r="Q93" i="109"/>
  <c r="Q92" i="109"/>
  <c r="Q91" i="109"/>
  <c r="Q90" i="109"/>
  <c r="Q89" i="109"/>
  <c r="Q88" i="109"/>
  <c r="Q87" i="109"/>
  <c r="Q86" i="109"/>
  <c r="Q85" i="109"/>
  <c r="Q84" i="109"/>
  <c r="Q83" i="109"/>
  <c r="Q82" i="109"/>
  <c r="Q81" i="109"/>
  <c r="Q80" i="109"/>
  <c r="Q79" i="109"/>
  <c r="Q78" i="109"/>
  <c r="Q77" i="109"/>
  <c r="Q76" i="109"/>
  <c r="Q75" i="109"/>
  <c r="Q74" i="109"/>
  <c r="Q73" i="109"/>
  <c r="Q72" i="109"/>
  <c r="Q71" i="109"/>
  <c r="Q70" i="109"/>
  <c r="Q69" i="109"/>
  <c r="Q68" i="109"/>
  <c r="Q67" i="109"/>
  <c r="Q66" i="109"/>
  <c r="Q65" i="109"/>
  <c r="Q64" i="109"/>
  <c r="Q63" i="109"/>
  <c r="Q62" i="109"/>
  <c r="Q61" i="109"/>
  <c r="Q60" i="109"/>
  <c r="Q59" i="109"/>
  <c r="Q58" i="109"/>
  <c r="Q57" i="109"/>
  <c r="Q56" i="109"/>
  <c r="Q55" i="109"/>
  <c r="Q54" i="109"/>
  <c r="Q53" i="109"/>
  <c r="Q52" i="109"/>
  <c r="Q51" i="109"/>
  <c r="Q50" i="109"/>
  <c r="Q49" i="109"/>
  <c r="Q48" i="109"/>
  <c r="Q47" i="109"/>
  <c r="Q46" i="109"/>
  <c r="Q45" i="109"/>
  <c r="Q44" i="109"/>
  <c r="Q43" i="109"/>
  <c r="Q42" i="109"/>
  <c r="Q41" i="109"/>
  <c r="Q40" i="109"/>
  <c r="Q39" i="109"/>
  <c r="Q38" i="109"/>
  <c r="Q37" i="109"/>
  <c r="Q36" i="109"/>
  <c r="Q35" i="109"/>
  <c r="Q34" i="109"/>
  <c r="Q33" i="109"/>
  <c r="Q32" i="109"/>
  <c r="Q31" i="109"/>
  <c r="Q30" i="109"/>
  <c r="Q29" i="109"/>
  <c r="Q28" i="109"/>
  <c r="Q27" i="109"/>
  <c r="Q26" i="109"/>
  <c r="Q25" i="109"/>
  <c r="Q24" i="109"/>
  <c r="Q23" i="109"/>
  <c r="Q22" i="109"/>
  <c r="Q21" i="109"/>
  <c r="Q20" i="109"/>
  <c r="Q19" i="109"/>
  <c r="Q18" i="109"/>
  <c r="Q17" i="109"/>
  <c r="Q16" i="109"/>
  <c r="Q15" i="109"/>
  <c r="Q14" i="109"/>
  <c r="Q13" i="109"/>
  <c r="Q12" i="109"/>
  <c r="Q11" i="109"/>
  <c r="Q10" i="109"/>
  <c r="Q9" i="109"/>
  <c r="Q8" i="109"/>
  <c r="Q7" i="109"/>
  <c r="Q6" i="109"/>
  <c r="Q5" i="109"/>
  <c r="Q4" i="109"/>
  <c r="Q3" i="109"/>
  <c r="O17" i="107"/>
  <c r="O17" i="2"/>
  <c r="O16" i="107"/>
  <c r="O16" i="2"/>
  <c r="O15" i="107"/>
  <c r="O15" i="2"/>
  <c r="O14" i="107"/>
  <c r="O14" i="2"/>
  <c r="O13" i="107"/>
  <c r="O13" i="2"/>
  <c r="O12" i="107"/>
  <c r="O12" i="2"/>
  <c r="Y107" i="111" l="1"/>
  <c r="Y109" i="111" s="1"/>
  <c r="J111" i="111" s="1"/>
  <c r="AA26" i="109"/>
  <c r="AA50" i="109"/>
  <c r="AA27" i="109"/>
  <c r="AA51" i="109"/>
  <c r="AA4" i="109"/>
  <c r="AA28" i="109"/>
  <c r="AA52" i="109"/>
  <c r="AA5" i="109"/>
  <c r="AA29" i="109"/>
  <c r="AA53" i="109"/>
  <c r="AA6" i="109"/>
  <c r="AA30" i="109"/>
  <c r="AA3" i="109"/>
  <c r="AA7" i="109"/>
  <c r="AA31" i="109"/>
  <c r="AA8" i="109"/>
  <c r="AA32" i="109"/>
  <c r="AA9" i="109"/>
  <c r="AA33" i="109"/>
  <c r="AA10" i="109"/>
  <c r="AA34" i="109"/>
  <c r="AA11" i="109"/>
  <c r="AA35" i="109"/>
  <c r="AA12" i="109"/>
  <c r="AA36" i="109"/>
  <c r="AA13" i="109"/>
  <c r="AA37" i="109"/>
  <c r="AA14" i="109"/>
  <c r="AA38" i="109"/>
  <c r="AA15" i="109"/>
  <c r="AA39" i="109"/>
  <c r="AA16" i="109"/>
  <c r="AA40" i="109"/>
  <c r="AA17" i="109"/>
  <c r="AA41" i="109"/>
  <c r="AA18" i="109"/>
  <c r="AA42" i="109"/>
  <c r="AA19" i="109"/>
  <c r="AA43" i="109"/>
  <c r="AA20" i="109"/>
  <c r="AA44" i="109"/>
  <c r="AA21" i="109"/>
  <c r="AA45" i="109"/>
  <c r="AA22" i="109"/>
  <c r="AA46" i="109"/>
  <c r="AA23" i="109"/>
  <c r="AA47" i="109"/>
  <c r="AA24" i="109"/>
  <c r="AA48" i="109"/>
  <c r="AA25" i="109"/>
  <c r="AA49" i="109"/>
  <c r="O7" i="111" l="1"/>
  <c r="O9" i="111"/>
  <c r="O8" i="111"/>
  <c r="C17" i="56"/>
  <c r="C19" i="56"/>
  <c r="C16" i="56"/>
  <c r="C14" i="56"/>
  <c r="O8" i="66"/>
  <c r="C18" i="56"/>
  <c r="C15" i="56"/>
  <c r="D15" i="56"/>
  <c r="D16" i="56"/>
  <c r="D19" i="56"/>
  <c r="D18" i="56"/>
  <c r="D17" i="56"/>
  <c r="D14" i="56"/>
  <c r="O8" i="73"/>
  <c r="O9" i="64"/>
  <c r="O8" i="92"/>
  <c r="O9" i="100"/>
  <c r="O8" i="63"/>
  <c r="O7" i="85"/>
  <c r="O8" i="75"/>
  <c r="O8" i="103"/>
  <c r="O8" i="71"/>
  <c r="O8" i="83"/>
  <c r="O7" i="65"/>
  <c r="O7" i="87"/>
  <c r="O9" i="68"/>
  <c r="O9" i="90"/>
  <c r="O9" i="108"/>
  <c r="O7" i="82"/>
  <c r="O7" i="89"/>
  <c r="O9" i="99"/>
  <c r="O9" i="70"/>
  <c r="O8" i="101"/>
  <c r="O8" i="61"/>
  <c r="O7" i="95"/>
  <c r="O9" i="98"/>
  <c r="O7" i="93"/>
  <c r="O8" i="94"/>
  <c r="O7" i="67"/>
  <c r="O9" i="105"/>
  <c r="O7" i="74"/>
  <c r="O8" i="102"/>
  <c r="O7" i="80"/>
  <c r="O7" i="76"/>
  <c r="O9" i="81"/>
  <c r="O9" i="72"/>
  <c r="O7" i="88"/>
  <c r="O8" i="96"/>
  <c r="O8" i="107"/>
  <c r="O8" i="79"/>
  <c r="O7" i="78"/>
  <c r="O8" i="97"/>
  <c r="O9" i="84"/>
  <c r="O8" i="59"/>
  <c r="O7" i="60"/>
  <c r="O8" i="104"/>
  <c r="O9" i="69"/>
  <c r="O9" i="62"/>
  <c r="O9" i="58"/>
  <c r="O8" i="91"/>
  <c r="O7" i="86"/>
  <c r="O9" i="77"/>
  <c r="O9" i="102"/>
  <c r="O7" i="101"/>
  <c r="O7" i="81"/>
  <c r="O9" i="87"/>
  <c r="O8" i="93"/>
  <c r="O7" i="58"/>
  <c r="O9" i="97"/>
  <c r="O7" i="91"/>
  <c r="O9" i="78"/>
  <c r="O8" i="58"/>
  <c r="O9" i="83"/>
  <c r="O9" i="85"/>
  <c r="O8" i="98"/>
  <c r="O7" i="68"/>
  <c r="O8" i="69"/>
  <c r="O7" i="90"/>
  <c r="O9" i="82"/>
  <c r="O7" i="66"/>
  <c r="O9" i="95"/>
  <c r="O7" i="73"/>
  <c r="O7" i="75"/>
  <c r="O8" i="70"/>
  <c r="O7" i="99"/>
  <c r="O9" i="103"/>
  <c r="O7" i="94"/>
  <c r="O9" i="107"/>
  <c r="O8" i="65"/>
  <c r="O9" i="75"/>
  <c r="O8" i="89"/>
  <c r="O7" i="103"/>
  <c r="O8" i="64"/>
  <c r="O8" i="78"/>
  <c r="O8" i="74"/>
  <c r="AA54" i="109"/>
  <c r="O8" i="80"/>
  <c r="O8" i="84"/>
  <c r="O7" i="107"/>
  <c r="O7" i="98"/>
  <c r="O9" i="88"/>
  <c r="O9" i="61"/>
  <c r="O8" i="76"/>
  <c r="O7" i="92"/>
  <c r="O9" i="71"/>
  <c r="O9" i="101"/>
  <c r="O8" i="95"/>
  <c r="O7" i="96"/>
  <c r="O9" i="76"/>
  <c r="O8" i="99"/>
  <c r="O8" i="68"/>
  <c r="O8" i="62"/>
  <c r="O7" i="79"/>
  <c r="O7" i="77"/>
  <c r="O9" i="59"/>
  <c r="O9" i="67"/>
  <c r="O7" i="72"/>
  <c r="O8" i="67"/>
  <c r="O7" i="70"/>
  <c r="O7" i="97"/>
  <c r="O8" i="105"/>
  <c r="O8" i="82"/>
  <c r="O7" i="59"/>
  <c r="O7" i="62"/>
  <c r="O9" i="104"/>
  <c r="O9" i="91"/>
  <c r="O8" i="77"/>
  <c r="O9" i="86"/>
  <c r="O7" i="61"/>
  <c r="O7" i="69"/>
  <c r="O7" i="64"/>
  <c r="O9" i="74"/>
  <c r="O9" i="96"/>
  <c r="O9" i="65"/>
  <c r="O8" i="60"/>
  <c r="O8" i="90"/>
  <c r="O7" i="83"/>
  <c r="O9" i="79"/>
  <c r="O8" i="88"/>
  <c r="O7" i="105"/>
  <c r="O9" i="93"/>
  <c r="O9" i="89"/>
  <c r="O8" i="86"/>
  <c r="O8" i="87"/>
  <c r="O8" i="100"/>
  <c r="O8" i="108"/>
  <c r="O7" i="63"/>
  <c r="O7" i="104"/>
  <c r="O9" i="63"/>
  <c r="O9" i="94"/>
  <c r="O8" i="81"/>
  <c r="O7" i="84"/>
  <c r="O7" i="108"/>
  <c r="O9" i="60"/>
  <c r="O9" i="66"/>
  <c r="O8" i="72"/>
  <c r="O7" i="102"/>
  <c r="O9" i="80"/>
  <c r="O8" i="85"/>
  <c r="O7" i="71"/>
  <c r="O7" i="100"/>
  <c r="O9" i="92"/>
  <c r="O9" i="73"/>
  <c r="R74" i="57"/>
  <c r="R75" i="57"/>
  <c r="R76" i="57"/>
  <c r="R77" i="57"/>
  <c r="R78" i="57"/>
  <c r="R79" i="57"/>
  <c r="R80" i="57"/>
  <c r="R81" i="57"/>
  <c r="R82" i="57"/>
  <c r="R83" i="57"/>
  <c r="R84" i="57"/>
  <c r="R85" i="57"/>
  <c r="R86" i="57"/>
  <c r="R87" i="57"/>
  <c r="R88" i="57"/>
  <c r="R89" i="57"/>
  <c r="R90" i="57"/>
  <c r="R91" i="57"/>
  <c r="R92" i="57"/>
  <c r="R93" i="57"/>
  <c r="R94" i="57"/>
  <c r="R95" i="57"/>
  <c r="R96" i="57"/>
  <c r="R97" i="57"/>
  <c r="R98" i="57"/>
  <c r="R99" i="57"/>
  <c r="R100" i="57"/>
  <c r="R101" i="57"/>
  <c r="R102" i="57"/>
  <c r="R103" i="57"/>
  <c r="R104" i="57"/>
  <c r="R105" i="57"/>
  <c r="R106" i="57"/>
  <c r="R107" i="57"/>
  <c r="R108" i="57"/>
  <c r="R109" i="57"/>
  <c r="R110" i="57"/>
  <c r="R111" i="57"/>
  <c r="R112" i="57"/>
  <c r="R113" i="57"/>
  <c r="R114" i="57"/>
  <c r="R115" i="57"/>
  <c r="R116" i="57"/>
  <c r="R117" i="57"/>
  <c r="R118" i="57"/>
  <c r="R120" i="57"/>
  <c r="R121" i="57"/>
  <c r="R122" i="57"/>
  <c r="R123" i="57"/>
  <c r="J118" i="111" s="1"/>
  <c r="R73" i="57"/>
  <c r="I2" i="107"/>
  <c r="I2" i="58"/>
  <c r="I2" i="59"/>
  <c r="I2" i="60"/>
  <c r="I2" i="61"/>
  <c r="I2" i="62"/>
  <c r="I2" i="63"/>
  <c r="I2" i="64"/>
  <c r="I2" i="65"/>
  <c r="I2" i="66"/>
  <c r="I2" i="67"/>
  <c r="I2" i="68"/>
  <c r="I2" i="108"/>
  <c r="I2" i="69"/>
  <c r="I2" i="70"/>
  <c r="I2" i="71"/>
  <c r="I2" i="72"/>
  <c r="I2" i="73"/>
  <c r="I2" i="74"/>
  <c r="I2" i="75"/>
  <c r="I2" i="76"/>
  <c r="I2" i="77"/>
  <c r="I2" i="78"/>
  <c r="I2" i="79"/>
  <c r="I2" i="80"/>
  <c r="I2" i="81"/>
  <c r="I2" i="82"/>
  <c r="I2" i="83"/>
  <c r="I2" i="84"/>
  <c r="I2" i="85"/>
  <c r="I2" i="86"/>
  <c r="I2" i="87"/>
  <c r="I2" i="88"/>
  <c r="I2" i="89"/>
  <c r="I2" i="90"/>
  <c r="I2" i="91"/>
  <c r="I2" i="92"/>
  <c r="I2" i="93"/>
  <c r="I2" i="94"/>
  <c r="I2" i="95"/>
  <c r="I2" i="96"/>
  <c r="I2" i="97"/>
  <c r="I2" i="98"/>
  <c r="I2" i="99"/>
  <c r="I2" i="100"/>
  <c r="I2" i="101"/>
  <c r="I2" i="102"/>
  <c r="I2" i="103"/>
  <c r="I2" i="104"/>
  <c r="I2" i="105"/>
  <c r="I2" i="2"/>
  <c r="I49" i="58"/>
  <c r="I48" i="58"/>
  <c r="I47" i="58"/>
  <c r="I46" i="58"/>
  <c r="I45" i="58"/>
  <c r="I44" i="58"/>
  <c r="I43" i="58"/>
  <c r="I42" i="58"/>
  <c r="I41" i="58"/>
  <c r="I49" i="59"/>
  <c r="I48" i="59"/>
  <c r="I47" i="59"/>
  <c r="I46" i="59"/>
  <c r="I45" i="59"/>
  <c r="I44" i="59"/>
  <c r="I43" i="59"/>
  <c r="I42" i="59"/>
  <c r="I41" i="59"/>
  <c r="I49" i="60"/>
  <c r="I48" i="60"/>
  <c r="I47" i="60"/>
  <c r="I46" i="60"/>
  <c r="I45" i="60"/>
  <c r="I44" i="60"/>
  <c r="I43" i="60"/>
  <c r="I42" i="60"/>
  <c r="I41" i="60"/>
  <c r="I49" i="61"/>
  <c r="I48" i="61"/>
  <c r="I47" i="61"/>
  <c r="I46" i="61"/>
  <c r="I45" i="61"/>
  <c r="I44" i="61"/>
  <c r="I43" i="61"/>
  <c r="I42" i="61"/>
  <c r="I41" i="61"/>
  <c r="I49" i="62"/>
  <c r="I48" i="62"/>
  <c r="I47" i="62"/>
  <c r="I46" i="62"/>
  <c r="I45" i="62"/>
  <c r="I44" i="62"/>
  <c r="I43" i="62"/>
  <c r="I42" i="62"/>
  <c r="I41" i="62"/>
  <c r="I49" i="63"/>
  <c r="I48" i="63"/>
  <c r="I47" i="63"/>
  <c r="I46" i="63"/>
  <c r="I45" i="63"/>
  <c r="I44" i="63"/>
  <c r="I43" i="63"/>
  <c r="I42" i="63"/>
  <c r="I41" i="63"/>
  <c r="I49" i="64"/>
  <c r="I48" i="64"/>
  <c r="I47" i="64"/>
  <c r="I46" i="64"/>
  <c r="I45" i="64"/>
  <c r="I44" i="64"/>
  <c r="I43" i="64"/>
  <c r="I42" i="64"/>
  <c r="I41" i="64"/>
  <c r="I49" i="65"/>
  <c r="I48" i="65"/>
  <c r="I47" i="65"/>
  <c r="I46" i="65"/>
  <c r="I45" i="65"/>
  <c r="I44" i="65"/>
  <c r="I43" i="65"/>
  <c r="I42" i="65"/>
  <c r="I41" i="65"/>
  <c r="I49" i="66"/>
  <c r="I48" i="66"/>
  <c r="I47" i="66"/>
  <c r="I46" i="66"/>
  <c r="I45" i="66"/>
  <c r="I44" i="66"/>
  <c r="I43" i="66"/>
  <c r="I42" i="66"/>
  <c r="I41" i="66"/>
  <c r="I49" i="67"/>
  <c r="I48" i="67"/>
  <c r="I47" i="67"/>
  <c r="I46" i="67"/>
  <c r="I45" i="67"/>
  <c r="I44" i="67"/>
  <c r="I43" i="67"/>
  <c r="I42" i="67"/>
  <c r="I41" i="67"/>
  <c r="I49" i="68"/>
  <c r="I48" i="68"/>
  <c r="I47" i="68"/>
  <c r="I46" i="68"/>
  <c r="I45" i="68"/>
  <c r="I44" i="68"/>
  <c r="I43" i="68"/>
  <c r="I42" i="68"/>
  <c r="I41" i="68"/>
  <c r="I49" i="108"/>
  <c r="I48" i="108"/>
  <c r="I47" i="108"/>
  <c r="I46" i="108"/>
  <c r="I45" i="108"/>
  <c r="I44" i="108"/>
  <c r="I43" i="108"/>
  <c r="I42" i="108"/>
  <c r="I41" i="108"/>
  <c r="I49" i="69"/>
  <c r="I48" i="69"/>
  <c r="I47" i="69"/>
  <c r="I46" i="69"/>
  <c r="I45" i="69"/>
  <c r="I44" i="69"/>
  <c r="I43" i="69"/>
  <c r="I42" i="69"/>
  <c r="I41" i="69"/>
  <c r="I49" i="70"/>
  <c r="I48" i="70"/>
  <c r="I47" i="70"/>
  <c r="I46" i="70"/>
  <c r="I45" i="70"/>
  <c r="I44" i="70"/>
  <c r="I43" i="70"/>
  <c r="I42" i="70"/>
  <c r="I41" i="70"/>
  <c r="I49" i="71"/>
  <c r="I48" i="71"/>
  <c r="I47" i="71"/>
  <c r="I46" i="71"/>
  <c r="I45" i="71"/>
  <c r="I44" i="71"/>
  <c r="I43" i="71"/>
  <c r="I42" i="71"/>
  <c r="I41" i="71"/>
  <c r="I49" i="72"/>
  <c r="I48" i="72"/>
  <c r="I47" i="72"/>
  <c r="I46" i="72"/>
  <c r="I45" i="72"/>
  <c r="I44" i="72"/>
  <c r="I43" i="72"/>
  <c r="I42" i="72"/>
  <c r="I41" i="72"/>
  <c r="I49" i="73"/>
  <c r="I48" i="73"/>
  <c r="I47" i="73"/>
  <c r="I46" i="73"/>
  <c r="I45" i="73"/>
  <c r="I44" i="73"/>
  <c r="I43" i="73"/>
  <c r="I42" i="73"/>
  <c r="I41" i="73"/>
  <c r="I49" i="74"/>
  <c r="I48" i="74"/>
  <c r="I47" i="74"/>
  <c r="I46" i="74"/>
  <c r="I45" i="74"/>
  <c r="I44" i="74"/>
  <c r="I43" i="74"/>
  <c r="I42" i="74"/>
  <c r="I41" i="74"/>
  <c r="I49" i="75"/>
  <c r="I48" i="75"/>
  <c r="I47" i="75"/>
  <c r="I46" i="75"/>
  <c r="I45" i="75"/>
  <c r="I44" i="75"/>
  <c r="I43" i="75"/>
  <c r="I42" i="75"/>
  <c r="I41" i="75"/>
  <c r="I49" i="76"/>
  <c r="I48" i="76"/>
  <c r="I47" i="76"/>
  <c r="I46" i="76"/>
  <c r="I45" i="76"/>
  <c r="I44" i="76"/>
  <c r="I43" i="76"/>
  <c r="I42" i="76"/>
  <c r="I41" i="76"/>
  <c r="I49" i="77"/>
  <c r="I48" i="77"/>
  <c r="I47" i="77"/>
  <c r="I46" i="77"/>
  <c r="I45" i="77"/>
  <c r="I44" i="77"/>
  <c r="I43" i="77"/>
  <c r="I42" i="77"/>
  <c r="I41" i="77"/>
  <c r="I49" i="78"/>
  <c r="I48" i="78"/>
  <c r="I47" i="78"/>
  <c r="I46" i="78"/>
  <c r="I45" i="78"/>
  <c r="I44" i="78"/>
  <c r="I43" i="78"/>
  <c r="I42" i="78"/>
  <c r="I41" i="78"/>
  <c r="I49" i="79"/>
  <c r="I48" i="79"/>
  <c r="I47" i="79"/>
  <c r="I46" i="79"/>
  <c r="I45" i="79"/>
  <c r="I44" i="79"/>
  <c r="I43" i="79"/>
  <c r="I42" i="79"/>
  <c r="I41" i="79"/>
  <c r="I49" i="80"/>
  <c r="I48" i="80"/>
  <c r="I47" i="80"/>
  <c r="I46" i="80"/>
  <c r="I45" i="80"/>
  <c r="I44" i="80"/>
  <c r="I43" i="80"/>
  <c r="I42" i="80"/>
  <c r="I41" i="80"/>
  <c r="I49" i="81"/>
  <c r="I48" i="81"/>
  <c r="I47" i="81"/>
  <c r="I46" i="81"/>
  <c r="I45" i="81"/>
  <c r="I44" i="81"/>
  <c r="I43" i="81"/>
  <c r="I42" i="81"/>
  <c r="I41" i="81"/>
  <c r="I49" i="82"/>
  <c r="I48" i="82"/>
  <c r="I47" i="82"/>
  <c r="I46" i="82"/>
  <c r="I45" i="82"/>
  <c r="I44" i="82"/>
  <c r="I43" i="82"/>
  <c r="I42" i="82"/>
  <c r="I41" i="82"/>
  <c r="I49" i="83"/>
  <c r="I48" i="83"/>
  <c r="I47" i="83"/>
  <c r="I46" i="83"/>
  <c r="I45" i="83"/>
  <c r="I44" i="83"/>
  <c r="I43" i="83"/>
  <c r="I42" i="83"/>
  <c r="I41" i="83"/>
  <c r="I49" i="84"/>
  <c r="I48" i="84"/>
  <c r="I47" i="84"/>
  <c r="I46" i="84"/>
  <c r="I45" i="84"/>
  <c r="I44" i="84"/>
  <c r="I43" i="84"/>
  <c r="I42" i="84"/>
  <c r="I41" i="84"/>
  <c r="I49" i="85"/>
  <c r="I48" i="85"/>
  <c r="I47" i="85"/>
  <c r="I46" i="85"/>
  <c r="I45" i="85"/>
  <c r="I44" i="85"/>
  <c r="I43" i="85"/>
  <c r="I42" i="85"/>
  <c r="I41" i="85"/>
  <c r="I49" i="86"/>
  <c r="I48" i="86"/>
  <c r="I47" i="86"/>
  <c r="I46" i="86"/>
  <c r="I45" i="86"/>
  <c r="I44" i="86"/>
  <c r="I43" i="86"/>
  <c r="I42" i="86"/>
  <c r="I41" i="86"/>
  <c r="I49" i="87"/>
  <c r="I48" i="87"/>
  <c r="I47" i="87"/>
  <c r="I46" i="87"/>
  <c r="I45" i="87"/>
  <c r="I44" i="87"/>
  <c r="I43" i="87"/>
  <c r="I42" i="87"/>
  <c r="I41" i="87"/>
  <c r="I49" i="88"/>
  <c r="I48" i="88"/>
  <c r="I47" i="88"/>
  <c r="I46" i="88"/>
  <c r="I45" i="88"/>
  <c r="I44" i="88"/>
  <c r="I43" i="88"/>
  <c r="I42" i="88"/>
  <c r="I41" i="88"/>
  <c r="I49" i="89"/>
  <c r="I48" i="89"/>
  <c r="I47" i="89"/>
  <c r="I46" i="89"/>
  <c r="I45" i="89"/>
  <c r="I44" i="89"/>
  <c r="I43" i="89"/>
  <c r="I42" i="89"/>
  <c r="I41" i="89"/>
  <c r="I49" i="90"/>
  <c r="I48" i="90"/>
  <c r="I47" i="90"/>
  <c r="I46" i="90"/>
  <c r="I45" i="90"/>
  <c r="I44" i="90"/>
  <c r="I43" i="90"/>
  <c r="I42" i="90"/>
  <c r="I41" i="90"/>
  <c r="I49" i="91"/>
  <c r="I48" i="91"/>
  <c r="I47" i="91"/>
  <c r="I46" i="91"/>
  <c r="I45" i="91"/>
  <c r="I44" i="91"/>
  <c r="I43" i="91"/>
  <c r="I42" i="91"/>
  <c r="I41" i="91"/>
  <c r="I49" i="92"/>
  <c r="I48" i="92"/>
  <c r="I47" i="92"/>
  <c r="I46" i="92"/>
  <c r="I45" i="92"/>
  <c r="I44" i="92"/>
  <c r="I43" i="92"/>
  <c r="I42" i="92"/>
  <c r="I41" i="92"/>
  <c r="I49" i="93"/>
  <c r="I48" i="93"/>
  <c r="I47" i="93"/>
  <c r="I46" i="93"/>
  <c r="I45" i="93"/>
  <c r="I44" i="93"/>
  <c r="I43" i="93"/>
  <c r="I42" i="93"/>
  <c r="I41" i="93"/>
  <c r="I49" i="94"/>
  <c r="I48" i="94"/>
  <c r="I47" i="94"/>
  <c r="I46" i="94"/>
  <c r="I45" i="94"/>
  <c r="I44" i="94"/>
  <c r="I43" i="94"/>
  <c r="I42" i="94"/>
  <c r="I41" i="94"/>
  <c r="I49" i="95"/>
  <c r="I48" i="95"/>
  <c r="I47" i="95"/>
  <c r="I46" i="95"/>
  <c r="I45" i="95"/>
  <c r="I44" i="95"/>
  <c r="I43" i="95"/>
  <c r="I42" i="95"/>
  <c r="I41" i="95"/>
  <c r="I49" i="96"/>
  <c r="I48" i="96"/>
  <c r="I47" i="96"/>
  <c r="I46" i="96"/>
  <c r="I45" i="96"/>
  <c r="I44" i="96"/>
  <c r="I43" i="96"/>
  <c r="I42" i="96"/>
  <c r="I41" i="96"/>
  <c r="I49" i="97"/>
  <c r="I48" i="97"/>
  <c r="I47" i="97"/>
  <c r="I46" i="97"/>
  <c r="I45" i="97"/>
  <c r="I44" i="97"/>
  <c r="I43" i="97"/>
  <c r="I42" i="97"/>
  <c r="I41" i="97"/>
  <c r="I49" i="98"/>
  <c r="I48" i="98"/>
  <c r="I47" i="98"/>
  <c r="I46" i="98"/>
  <c r="I45" i="98"/>
  <c r="I44" i="98"/>
  <c r="I43" i="98"/>
  <c r="I42" i="98"/>
  <c r="I41" i="98"/>
  <c r="I49" i="99"/>
  <c r="I48" i="99"/>
  <c r="I47" i="99"/>
  <c r="I46" i="99"/>
  <c r="I45" i="99"/>
  <c r="I44" i="99"/>
  <c r="I43" i="99"/>
  <c r="I42" i="99"/>
  <c r="I41" i="99"/>
  <c r="I49" i="100"/>
  <c r="I48" i="100"/>
  <c r="I47" i="100"/>
  <c r="I46" i="100"/>
  <c r="I45" i="100"/>
  <c r="I44" i="100"/>
  <c r="I43" i="100"/>
  <c r="I42" i="100"/>
  <c r="I41" i="100"/>
  <c r="I49" i="101"/>
  <c r="I48" i="101"/>
  <c r="I47" i="101"/>
  <c r="I46" i="101"/>
  <c r="I45" i="101"/>
  <c r="I44" i="101"/>
  <c r="I43" i="101"/>
  <c r="I42" i="101"/>
  <c r="I41" i="101"/>
  <c r="I49" i="102"/>
  <c r="I48" i="102"/>
  <c r="I47" i="102"/>
  <c r="I46" i="102"/>
  <c r="I45" i="102"/>
  <c r="I44" i="102"/>
  <c r="I43" i="102"/>
  <c r="I42" i="102"/>
  <c r="I41" i="102"/>
  <c r="I49" i="103"/>
  <c r="I48" i="103"/>
  <c r="I47" i="103"/>
  <c r="I46" i="103"/>
  <c r="I45" i="103"/>
  <c r="I44" i="103"/>
  <c r="I43" i="103"/>
  <c r="I42" i="103"/>
  <c r="I41" i="103"/>
  <c r="I49" i="104"/>
  <c r="I48" i="104"/>
  <c r="I47" i="104"/>
  <c r="I46" i="104"/>
  <c r="I45" i="104"/>
  <c r="I44" i="104"/>
  <c r="I43" i="104"/>
  <c r="I42" i="104"/>
  <c r="I41" i="104"/>
  <c r="I49" i="105"/>
  <c r="I48" i="105"/>
  <c r="I47" i="105"/>
  <c r="I46" i="105"/>
  <c r="I45" i="105"/>
  <c r="I44" i="105"/>
  <c r="I43" i="105"/>
  <c r="I42" i="105"/>
  <c r="I41" i="105"/>
  <c r="I49" i="107"/>
  <c r="I48" i="107"/>
  <c r="I47" i="107"/>
  <c r="I46" i="107"/>
  <c r="I45" i="107"/>
  <c r="I44" i="107"/>
  <c r="I43" i="107"/>
  <c r="J82" i="107"/>
  <c r="J82" i="58"/>
  <c r="J82" i="59"/>
  <c r="J82" i="60"/>
  <c r="J82" i="61"/>
  <c r="J82" i="62"/>
  <c r="J82" i="63"/>
  <c r="J82" i="64"/>
  <c r="J82" i="65"/>
  <c r="J82" i="66"/>
  <c r="J82" i="67"/>
  <c r="J82" i="68"/>
  <c r="J82" i="108"/>
  <c r="J82" i="69"/>
  <c r="J82" i="70"/>
  <c r="J82" i="71"/>
  <c r="J82" i="72"/>
  <c r="J82" i="73"/>
  <c r="J82" i="74"/>
  <c r="J82" i="75"/>
  <c r="J82" i="76"/>
  <c r="J82" i="77"/>
  <c r="J82" i="78"/>
  <c r="J82" i="79"/>
  <c r="J82" i="80"/>
  <c r="J82" i="81"/>
  <c r="J82" i="82"/>
  <c r="J82" i="83"/>
  <c r="J82" i="84"/>
  <c r="J82" i="85"/>
  <c r="J82" i="86"/>
  <c r="J82" i="87"/>
  <c r="J82" i="88"/>
  <c r="J82" i="89"/>
  <c r="J82" i="90"/>
  <c r="J82" i="91"/>
  <c r="J82" i="92"/>
  <c r="J82" i="93"/>
  <c r="J82" i="94"/>
  <c r="J82" i="95"/>
  <c r="J82" i="96"/>
  <c r="J82" i="97"/>
  <c r="J82" i="98"/>
  <c r="J82" i="99"/>
  <c r="J82" i="100"/>
  <c r="J82" i="101"/>
  <c r="J82" i="102"/>
  <c r="J82" i="103"/>
  <c r="J82" i="104"/>
  <c r="J82" i="105"/>
  <c r="J82" i="2"/>
  <c r="I65" i="107"/>
  <c r="I65" i="58"/>
  <c r="I65" i="59"/>
  <c r="I65" i="60"/>
  <c r="I65" i="61"/>
  <c r="I65" i="62"/>
  <c r="I65" i="63"/>
  <c r="I65" i="64"/>
  <c r="I65" i="65"/>
  <c r="I65" i="66"/>
  <c r="I65" i="67"/>
  <c r="I65" i="68"/>
  <c r="I65" i="108"/>
  <c r="I65" i="69"/>
  <c r="I65" i="70"/>
  <c r="I65" i="71"/>
  <c r="I65" i="72"/>
  <c r="I65" i="73"/>
  <c r="I65" i="74"/>
  <c r="I65" i="75"/>
  <c r="I65" i="76"/>
  <c r="I65" i="77"/>
  <c r="I65" i="78"/>
  <c r="I65" i="79"/>
  <c r="I65" i="80"/>
  <c r="I65" i="81"/>
  <c r="I65" i="82"/>
  <c r="I65" i="83"/>
  <c r="I65" i="84"/>
  <c r="I65" i="85"/>
  <c r="I65" i="86"/>
  <c r="I65" i="87"/>
  <c r="I65" i="88"/>
  <c r="I65" i="89"/>
  <c r="I65" i="90"/>
  <c r="I65" i="91"/>
  <c r="I65" i="92"/>
  <c r="I65" i="93"/>
  <c r="I65" i="94"/>
  <c r="I65" i="95"/>
  <c r="I65" i="96"/>
  <c r="I65" i="97"/>
  <c r="I65" i="98"/>
  <c r="I65" i="99"/>
  <c r="I65" i="100"/>
  <c r="I65" i="101"/>
  <c r="I65" i="102"/>
  <c r="I65" i="103"/>
  <c r="I65" i="104"/>
  <c r="I65" i="105"/>
  <c r="I65" i="2"/>
  <c r="I62" i="107"/>
  <c r="I62" i="58"/>
  <c r="I62" i="59"/>
  <c r="I62" i="60"/>
  <c r="I62" i="61"/>
  <c r="I62" i="62"/>
  <c r="I62" i="63"/>
  <c r="I62" i="64"/>
  <c r="I62" i="65"/>
  <c r="I62" i="66"/>
  <c r="I62" i="67"/>
  <c r="I62" i="68"/>
  <c r="I62" i="108"/>
  <c r="I62" i="69"/>
  <c r="I62" i="70"/>
  <c r="I62" i="71"/>
  <c r="I62" i="72"/>
  <c r="I62" i="73"/>
  <c r="I62" i="74"/>
  <c r="I62" i="75"/>
  <c r="I62" i="76"/>
  <c r="I62" i="77"/>
  <c r="I62" i="78"/>
  <c r="I62" i="79"/>
  <c r="I62" i="80"/>
  <c r="I62" i="81"/>
  <c r="I62" i="82"/>
  <c r="I62" i="83"/>
  <c r="I62" i="84"/>
  <c r="I62" i="85"/>
  <c r="I62" i="86"/>
  <c r="I62" i="87"/>
  <c r="I62" i="88"/>
  <c r="I62" i="89"/>
  <c r="I62" i="90"/>
  <c r="I62" i="91"/>
  <c r="I62" i="92"/>
  <c r="I62" i="93"/>
  <c r="I62" i="94"/>
  <c r="I62" i="95"/>
  <c r="I62" i="96"/>
  <c r="I62" i="97"/>
  <c r="I62" i="98"/>
  <c r="I62" i="99"/>
  <c r="I62" i="100"/>
  <c r="I62" i="101"/>
  <c r="I62" i="102"/>
  <c r="I62" i="103"/>
  <c r="I62" i="104"/>
  <c r="I62" i="105"/>
  <c r="I62" i="2"/>
  <c r="I59" i="107"/>
  <c r="I59" i="58"/>
  <c r="I59" i="59"/>
  <c r="I59" i="60"/>
  <c r="I59" i="61"/>
  <c r="I59" i="62"/>
  <c r="I59" i="63"/>
  <c r="I59" i="64"/>
  <c r="I59" i="65"/>
  <c r="I59" i="66"/>
  <c r="I59" i="67"/>
  <c r="I59" i="68"/>
  <c r="I59" i="108"/>
  <c r="I59" i="69"/>
  <c r="I59" i="70"/>
  <c r="I59" i="71"/>
  <c r="I59" i="72"/>
  <c r="I59" i="73"/>
  <c r="I59" i="74"/>
  <c r="I59" i="75"/>
  <c r="I59" i="76"/>
  <c r="I59" i="77"/>
  <c r="I59" i="78"/>
  <c r="I59" i="79"/>
  <c r="I59" i="80"/>
  <c r="I59" i="81"/>
  <c r="I59" i="82"/>
  <c r="I59" i="83"/>
  <c r="I59" i="84"/>
  <c r="I59" i="85"/>
  <c r="I59" i="86"/>
  <c r="I59" i="87"/>
  <c r="I59" i="88"/>
  <c r="I59" i="89"/>
  <c r="I59" i="90"/>
  <c r="I59" i="91"/>
  <c r="I59" i="92"/>
  <c r="I59" i="93"/>
  <c r="I59" i="94"/>
  <c r="I59" i="95"/>
  <c r="I59" i="96"/>
  <c r="I59" i="97"/>
  <c r="I59" i="98"/>
  <c r="I59" i="99"/>
  <c r="I59" i="100"/>
  <c r="I59" i="101"/>
  <c r="I59" i="102"/>
  <c r="I59" i="103"/>
  <c r="I59" i="104"/>
  <c r="I59" i="105"/>
  <c r="I59" i="2"/>
  <c r="I56" i="107"/>
  <c r="I56" i="58"/>
  <c r="I56" i="59"/>
  <c r="I56" i="60"/>
  <c r="I56" i="61"/>
  <c r="I56" i="62"/>
  <c r="I56" i="63"/>
  <c r="I56" i="64"/>
  <c r="I56" i="65"/>
  <c r="I56" i="66"/>
  <c r="I56" i="67"/>
  <c r="I56" i="68"/>
  <c r="I56" i="108"/>
  <c r="I56" i="69"/>
  <c r="I56" i="70"/>
  <c r="I56" i="71"/>
  <c r="I56" i="72"/>
  <c r="I56" i="73"/>
  <c r="I56" i="74"/>
  <c r="I56" i="75"/>
  <c r="I56" i="76"/>
  <c r="I56" i="77"/>
  <c r="I56" i="78"/>
  <c r="I56" i="79"/>
  <c r="I56" i="80"/>
  <c r="I56" i="81"/>
  <c r="I56" i="82"/>
  <c r="I56" i="83"/>
  <c r="I56" i="84"/>
  <c r="I56" i="85"/>
  <c r="I56" i="86"/>
  <c r="I56" i="87"/>
  <c r="I56" i="88"/>
  <c r="I56" i="89"/>
  <c r="I56" i="90"/>
  <c r="I56" i="91"/>
  <c r="I56" i="92"/>
  <c r="I56" i="93"/>
  <c r="I56" i="94"/>
  <c r="I56" i="95"/>
  <c r="I56" i="96"/>
  <c r="I56" i="97"/>
  <c r="I56" i="98"/>
  <c r="I56" i="99"/>
  <c r="I56" i="100"/>
  <c r="I56" i="101"/>
  <c r="I56" i="102"/>
  <c r="I56" i="103"/>
  <c r="I56" i="104"/>
  <c r="I56" i="105"/>
  <c r="I56" i="2"/>
  <c r="I53" i="59"/>
  <c r="I53" i="60"/>
  <c r="I53" i="61"/>
  <c r="I53" i="62"/>
  <c r="I53" i="63"/>
  <c r="I53" i="64"/>
  <c r="I53" i="65"/>
  <c r="I53" i="66"/>
  <c r="I53" i="67"/>
  <c r="I53" i="68"/>
  <c r="I53" i="108"/>
  <c r="I53" i="69"/>
  <c r="I53" i="70"/>
  <c r="I53" i="71"/>
  <c r="I53" i="72"/>
  <c r="I53" i="73"/>
  <c r="I53" i="74"/>
  <c r="I53" i="75"/>
  <c r="I53" i="76"/>
  <c r="I53" i="77"/>
  <c r="I53" i="78"/>
  <c r="I53" i="79"/>
  <c r="I53" i="80"/>
  <c r="I53" i="81"/>
  <c r="I53" i="82"/>
  <c r="I53" i="83"/>
  <c r="I53" i="84"/>
  <c r="I53" i="85"/>
  <c r="I53" i="86"/>
  <c r="I53" i="87"/>
  <c r="I53" i="88"/>
  <c r="I53" i="89"/>
  <c r="I53" i="90"/>
  <c r="I53" i="91"/>
  <c r="I53" i="92"/>
  <c r="I53" i="93"/>
  <c r="I53" i="94"/>
  <c r="I53" i="95"/>
  <c r="I53" i="96"/>
  <c r="I53" i="97"/>
  <c r="I53" i="98"/>
  <c r="I53" i="99"/>
  <c r="I53" i="100"/>
  <c r="I53" i="101"/>
  <c r="I53" i="102"/>
  <c r="I53" i="103"/>
  <c r="I53" i="104"/>
  <c r="I53" i="105"/>
  <c r="I53" i="58"/>
  <c r="I53" i="107"/>
  <c r="I53" i="2"/>
  <c r="G72" i="58"/>
  <c r="G71" i="58"/>
  <c r="G70" i="58"/>
  <c r="G68" i="58"/>
  <c r="G72" i="59"/>
  <c r="G71" i="59"/>
  <c r="G70" i="59"/>
  <c r="G68" i="59"/>
  <c r="G72" i="60"/>
  <c r="G71" i="60"/>
  <c r="G70" i="60"/>
  <c r="G68" i="60"/>
  <c r="G72" i="61"/>
  <c r="G71" i="61"/>
  <c r="G70" i="61"/>
  <c r="G68" i="61"/>
  <c r="G72" i="62"/>
  <c r="G71" i="62"/>
  <c r="G70" i="62"/>
  <c r="G68" i="62"/>
  <c r="G72" i="63"/>
  <c r="G71" i="63"/>
  <c r="G70" i="63"/>
  <c r="G68" i="63"/>
  <c r="G72" i="64"/>
  <c r="G71" i="64"/>
  <c r="G70" i="64"/>
  <c r="G68" i="64"/>
  <c r="G72" i="65"/>
  <c r="G71" i="65"/>
  <c r="G70" i="65"/>
  <c r="G68" i="65"/>
  <c r="G72" i="66"/>
  <c r="G71" i="66"/>
  <c r="G70" i="66"/>
  <c r="G68" i="66"/>
  <c r="G72" i="67"/>
  <c r="G71" i="67"/>
  <c r="G70" i="67"/>
  <c r="G68" i="67"/>
  <c r="G72" i="68"/>
  <c r="G71" i="68"/>
  <c r="G70" i="68"/>
  <c r="G68" i="68"/>
  <c r="G72" i="108"/>
  <c r="G71" i="108"/>
  <c r="G70" i="108"/>
  <c r="G68" i="108"/>
  <c r="G72" i="69"/>
  <c r="G71" i="69"/>
  <c r="G70" i="69"/>
  <c r="G68" i="69"/>
  <c r="G72" i="70"/>
  <c r="G71" i="70"/>
  <c r="G70" i="70"/>
  <c r="G68" i="70"/>
  <c r="G72" i="71"/>
  <c r="G71" i="71"/>
  <c r="G70" i="71"/>
  <c r="G68" i="71"/>
  <c r="G72" i="72"/>
  <c r="G71" i="72"/>
  <c r="G70" i="72"/>
  <c r="G68" i="72"/>
  <c r="G72" i="73"/>
  <c r="G71" i="73"/>
  <c r="G70" i="73"/>
  <c r="G68" i="73"/>
  <c r="G72" i="74"/>
  <c r="G71" i="74"/>
  <c r="G70" i="74"/>
  <c r="G68" i="74"/>
  <c r="G72" i="75"/>
  <c r="G71" i="75"/>
  <c r="G70" i="75"/>
  <c r="G68" i="75"/>
  <c r="G72" i="76"/>
  <c r="G71" i="76"/>
  <c r="G70" i="76"/>
  <c r="G68" i="76"/>
  <c r="G72" i="77"/>
  <c r="G71" i="77"/>
  <c r="G70" i="77"/>
  <c r="G68" i="77"/>
  <c r="G72" i="78"/>
  <c r="G71" i="78"/>
  <c r="G70" i="78"/>
  <c r="G68" i="78"/>
  <c r="G72" i="79"/>
  <c r="G71" i="79"/>
  <c r="G70" i="79"/>
  <c r="G68" i="79"/>
  <c r="G72" i="80"/>
  <c r="G71" i="80"/>
  <c r="G70" i="80"/>
  <c r="G68" i="80"/>
  <c r="G72" i="81"/>
  <c r="G71" i="81"/>
  <c r="G70" i="81"/>
  <c r="G68" i="81"/>
  <c r="G72" i="82"/>
  <c r="G71" i="82"/>
  <c r="G70" i="82"/>
  <c r="G68" i="82"/>
  <c r="G72" i="83"/>
  <c r="G71" i="83"/>
  <c r="G70" i="83"/>
  <c r="G68" i="83"/>
  <c r="G72" i="84"/>
  <c r="G71" i="84"/>
  <c r="G70" i="84"/>
  <c r="G68" i="84"/>
  <c r="G72" i="85"/>
  <c r="G71" i="85"/>
  <c r="G70" i="85"/>
  <c r="G68" i="85"/>
  <c r="G72" i="86"/>
  <c r="G71" i="86"/>
  <c r="G70" i="86"/>
  <c r="G68" i="86"/>
  <c r="G72" i="87"/>
  <c r="G71" i="87"/>
  <c r="G70" i="87"/>
  <c r="G68" i="87"/>
  <c r="G72" i="88"/>
  <c r="G71" i="88"/>
  <c r="G70" i="88"/>
  <c r="G68" i="88"/>
  <c r="G72" i="89"/>
  <c r="G71" i="89"/>
  <c r="G70" i="89"/>
  <c r="G68" i="89"/>
  <c r="G72" i="90"/>
  <c r="G71" i="90"/>
  <c r="G70" i="90"/>
  <c r="G68" i="90"/>
  <c r="G72" i="91"/>
  <c r="G71" i="91"/>
  <c r="G70" i="91"/>
  <c r="G68" i="91"/>
  <c r="G72" i="92"/>
  <c r="G71" i="92"/>
  <c r="G70" i="92"/>
  <c r="G68" i="92"/>
  <c r="G72" i="93"/>
  <c r="G71" i="93"/>
  <c r="G70" i="93"/>
  <c r="G68" i="93"/>
  <c r="G72" i="94"/>
  <c r="G71" i="94"/>
  <c r="G70" i="94"/>
  <c r="G68" i="94"/>
  <c r="G72" i="95"/>
  <c r="G71" i="95"/>
  <c r="G70" i="95"/>
  <c r="G68" i="95"/>
  <c r="G72" i="96"/>
  <c r="G71" i="96"/>
  <c r="G70" i="96"/>
  <c r="G68" i="96"/>
  <c r="G72" i="97"/>
  <c r="G71" i="97"/>
  <c r="G70" i="97"/>
  <c r="G68" i="97"/>
  <c r="G72" i="98"/>
  <c r="G71" i="98"/>
  <c r="G70" i="98"/>
  <c r="G68" i="98"/>
  <c r="G72" i="99"/>
  <c r="G71" i="99"/>
  <c r="G70" i="99"/>
  <c r="G68" i="99"/>
  <c r="G72" i="100"/>
  <c r="G71" i="100"/>
  <c r="G70" i="100"/>
  <c r="G68" i="100"/>
  <c r="G72" i="101"/>
  <c r="G71" i="101"/>
  <c r="G70" i="101"/>
  <c r="G68" i="101"/>
  <c r="G72" i="102"/>
  <c r="G71" i="102"/>
  <c r="G70" i="102"/>
  <c r="G68" i="102"/>
  <c r="G72" i="103"/>
  <c r="G71" i="103"/>
  <c r="G70" i="103"/>
  <c r="G68" i="103"/>
  <c r="G72" i="104"/>
  <c r="G71" i="104"/>
  <c r="G70" i="104"/>
  <c r="G68" i="104"/>
  <c r="G72" i="105"/>
  <c r="G71" i="105"/>
  <c r="G70" i="105"/>
  <c r="G68" i="105"/>
  <c r="G72" i="107"/>
  <c r="G71" i="107"/>
  <c r="G70" i="107"/>
  <c r="G68" i="107"/>
  <c r="G71" i="2"/>
  <c r="G72" i="2"/>
  <c r="G68" i="2"/>
  <c r="G70" i="2"/>
  <c r="D9" i="58"/>
  <c r="C9" i="58"/>
  <c r="D9" i="59"/>
  <c r="C9" i="59"/>
  <c r="D9" i="60"/>
  <c r="C9" i="60"/>
  <c r="D9" i="61"/>
  <c r="C9" i="61"/>
  <c r="D9" i="62"/>
  <c r="C9" i="62"/>
  <c r="D9" i="63"/>
  <c r="C9" i="63"/>
  <c r="D9" i="64"/>
  <c r="C9" i="64"/>
  <c r="D9" i="65"/>
  <c r="C9" i="65"/>
  <c r="D9" i="66"/>
  <c r="C9" i="66"/>
  <c r="D9" i="67"/>
  <c r="C9" i="67"/>
  <c r="D9" i="68"/>
  <c r="C9" i="68"/>
  <c r="D9" i="108"/>
  <c r="C9" i="108"/>
  <c r="D9" i="69"/>
  <c r="C9" i="69"/>
  <c r="D9" i="70"/>
  <c r="C9" i="70"/>
  <c r="D9" i="71"/>
  <c r="C9" i="71"/>
  <c r="D9" i="72"/>
  <c r="C9" i="72"/>
  <c r="D9" i="73"/>
  <c r="C9" i="73"/>
  <c r="D9" i="74"/>
  <c r="C9" i="74"/>
  <c r="D9" i="75"/>
  <c r="C9" i="75"/>
  <c r="D9" i="76"/>
  <c r="C9" i="76"/>
  <c r="D9" i="77"/>
  <c r="C9" i="77"/>
  <c r="D9" i="78"/>
  <c r="C9" i="78"/>
  <c r="D9" i="79"/>
  <c r="C9" i="79"/>
  <c r="D9" i="80"/>
  <c r="C9" i="80"/>
  <c r="D9" i="81"/>
  <c r="C9" i="81"/>
  <c r="D9" i="82"/>
  <c r="C9" i="82"/>
  <c r="D9" i="83"/>
  <c r="C9" i="83"/>
  <c r="D9" i="84"/>
  <c r="C9" i="84"/>
  <c r="D9" i="85"/>
  <c r="C9" i="85"/>
  <c r="D9" i="86"/>
  <c r="C9" i="86"/>
  <c r="D9" i="87"/>
  <c r="C9" i="87"/>
  <c r="D9" i="88"/>
  <c r="C9" i="88"/>
  <c r="D9" i="89"/>
  <c r="C9" i="89"/>
  <c r="D9" i="90"/>
  <c r="C9" i="90"/>
  <c r="D9" i="91"/>
  <c r="C9" i="91"/>
  <c r="D9" i="92"/>
  <c r="C9" i="92"/>
  <c r="D9" i="93"/>
  <c r="C9" i="93"/>
  <c r="D9" i="94"/>
  <c r="C9" i="94"/>
  <c r="D9" i="95"/>
  <c r="C9" i="95"/>
  <c r="D9" i="96"/>
  <c r="C9" i="96"/>
  <c r="D9" i="97"/>
  <c r="C9" i="97"/>
  <c r="D9" i="98"/>
  <c r="C9" i="98"/>
  <c r="D9" i="99"/>
  <c r="C9" i="99"/>
  <c r="D9" i="100"/>
  <c r="C9" i="100"/>
  <c r="D9" i="101"/>
  <c r="C9" i="101"/>
  <c r="D9" i="102"/>
  <c r="C9" i="102"/>
  <c r="D9" i="103"/>
  <c r="C9" i="103"/>
  <c r="D9" i="104"/>
  <c r="C9" i="104"/>
  <c r="D9" i="105"/>
  <c r="C9" i="105"/>
  <c r="D9" i="107"/>
  <c r="C9" i="107"/>
  <c r="D9" i="2"/>
  <c r="C9" i="2"/>
  <c r="J122" i="58"/>
  <c r="J122" i="59"/>
  <c r="J122" i="60"/>
  <c r="J122" i="61"/>
  <c r="J122" i="62"/>
  <c r="J122" i="63"/>
  <c r="J122" i="64"/>
  <c r="J122" i="65"/>
  <c r="J122" i="66"/>
  <c r="J122" i="67"/>
  <c r="J122" i="68"/>
  <c r="J122" i="108"/>
  <c r="J122" i="69"/>
  <c r="J122" i="70"/>
  <c r="J122" i="71"/>
  <c r="J122" i="72"/>
  <c r="J122" i="73"/>
  <c r="J122" i="74"/>
  <c r="J122" i="75"/>
  <c r="J122" i="76"/>
  <c r="J122" i="77"/>
  <c r="J122" i="78"/>
  <c r="J122" i="79"/>
  <c r="J122" i="80"/>
  <c r="J122" i="81"/>
  <c r="J122" i="82"/>
  <c r="J122" i="83"/>
  <c r="J122" i="84"/>
  <c r="J122" i="85"/>
  <c r="J122" i="86"/>
  <c r="J122" i="87"/>
  <c r="J122" i="88"/>
  <c r="J122" i="89"/>
  <c r="J122" i="90"/>
  <c r="J122" i="91"/>
  <c r="J122" i="92"/>
  <c r="J122" i="93"/>
  <c r="J122" i="94"/>
  <c r="J122" i="95"/>
  <c r="J122" i="96"/>
  <c r="J122" i="97"/>
  <c r="J122" i="98"/>
  <c r="J122" i="99"/>
  <c r="J122" i="100"/>
  <c r="J122" i="101"/>
  <c r="J122" i="102"/>
  <c r="J122" i="103"/>
  <c r="J122" i="104"/>
  <c r="J122" i="105"/>
  <c r="J122" i="107"/>
  <c r="J122" i="2"/>
  <c r="I98" i="58"/>
  <c r="I97" i="58"/>
  <c r="I98" i="59"/>
  <c r="I97" i="59"/>
  <c r="I98" i="60"/>
  <c r="I97" i="60"/>
  <c r="I98" i="61"/>
  <c r="I97" i="61"/>
  <c r="I98" i="62"/>
  <c r="I97" i="62"/>
  <c r="I98" i="63"/>
  <c r="I97" i="63"/>
  <c r="I98" i="64"/>
  <c r="I97" i="64"/>
  <c r="I98" i="65"/>
  <c r="I97" i="65"/>
  <c r="I98" i="66"/>
  <c r="I97" i="66"/>
  <c r="I98" i="67"/>
  <c r="I97" i="67"/>
  <c r="I98" i="68"/>
  <c r="I97" i="68"/>
  <c r="I98" i="108"/>
  <c r="I97" i="108"/>
  <c r="I98" i="69"/>
  <c r="I97" i="69"/>
  <c r="I98" i="70"/>
  <c r="I97" i="70"/>
  <c r="I98" i="71"/>
  <c r="I97" i="71"/>
  <c r="I98" i="72"/>
  <c r="I97" i="72"/>
  <c r="I98" i="73"/>
  <c r="I97" i="73"/>
  <c r="I98" i="74"/>
  <c r="I97" i="74"/>
  <c r="I98" i="75"/>
  <c r="I97" i="75"/>
  <c r="I98" i="76"/>
  <c r="I97" i="76"/>
  <c r="I98" i="77"/>
  <c r="I97" i="77"/>
  <c r="I98" i="78"/>
  <c r="I97" i="78"/>
  <c r="I98" i="79"/>
  <c r="I97" i="79"/>
  <c r="I98" i="80"/>
  <c r="I97" i="80"/>
  <c r="I98" i="81"/>
  <c r="I97" i="81"/>
  <c r="I98" i="82"/>
  <c r="I97" i="82"/>
  <c r="I98" i="83"/>
  <c r="I97" i="83"/>
  <c r="I98" i="84"/>
  <c r="I97" i="84"/>
  <c r="I98" i="85"/>
  <c r="I97" i="85"/>
  <c r="I98" i="86"/>
  <c r="I97" i="86"/>
  <c r="I98" i="87"/>
  <c r="I97" i="87"/>
  <c r="I98" i="88"/>
  <c r="I97" i="88"/>
  <c r="I98" i="89"/>
  <c r="I97" i="89"/>
  <c r="I98" i="90"/>
  <c r="I97" i="90"/>
  <c r="I98" i="91"/>
  <c r="I97" i="91"/>
  <c r="I98" i="92"/>
  <c r="I97" i="92"/>
  <c r="I98" i="93"/>
  <c r="I97" i="93"/>
  <c r="I98" i="94"/>
  <c r="I97" i="94"/>
  <c r="I98" i="95"/>
  <c r="I97" i="95"/>
  <c r="I98" i="96"/>
  <c r="I97" i="96"/>
  <c r="I98" i="97"/>
  <c r="I97" i="97"/>
  <c r="I98" i="98"/>
  <c r="I97" i="98"/>
  <c r="I98" i="99"/>
  <c r="I97" i="99"/>
  <c r="I98" i="100"/>
  <c r="I97" i="100"/>
  <c r="I98" i="101"/>
  <c r="I97" i="101"/>
  <c r="I98" i="102"/>
  <c r="I97" i="102"/>
  <c r="I98" i="103"/>
  <c r="I97" i="103"/>
  <c r="I98" i="104"/>
  <c r="I97" i="104"/>
  <c r="I98" i="105"/>
  <c r="I97" i="105"/>
  <c r="I98" i="107"/>
  <c r="I97" i="107"/>
  <c r="I98" i="2"/>
  <c r="I97" i="2"/>
  <c r="G85" i="58"/>
  <c r="G84" i="58"/>
  <c r="G85" i="59"/>
  <c r="G84" i="59"/>
  <c r="G85" i="60"/>
  <c r="G84" i="60"/>
  <c r="G85" i="61"/>
  <c r="G84" i="61"/>
  <c r="G85" i="62"/>
  <c r="G84" i="62"/>
  <c r="G85" i="63"/>
  <c r="G84" i="63"/>
  <c r="G85" i="64"/>
  <c r="G84" i="64"/>
  <c r="G85" i="65"/>
  <c r="G84" i="65"/>
  <c r="G85" i="66"/>
  <c r="G84" i="66"/>
  <c r="G85" i="67"/>
  <c r="G84" i="67"/>
  <c r="G85" i="68"/>
  <c r="G84" i="68"/>
  <c r="G85" i="108"/>
  <c r="G84" i="108"/>
  <c r="G85" i="69"/>
  <c r="G84" i="69"/>
  <c r="G85" i="70"/>
  <c r="G84" i="70"/>
  <c r="G85" i="71"/>
  <c r="G84" i="71"/>
  <c r="G85" i="72"/>
  <c r="G84" i="72"/>
  <c r="G85" i="73"/>
  <c r="G84" i="73"/>
  <c r="G85" i="74"/>
  <c r="G84" i="74"/>
  <c r="G85" i="75"/>
  <c r="G84" i="75"/>
  <c r="G85" i="76"/>
  <c r="G84" i="76"/>
  <c r="G85" i="77"/>
  <c r="G84" i="77"/>
  <c r="G85" i="78"/>
  <c r="G84" i="78"/>
  <c r="G85" i="79"/>
  <c r="G84" i="79"/>
  <c r="G85" i="80"/>
  <c r="G84" i="80"/>
  <c r="G85" i="81"/>
  <c r="G84" i="81"/>
  <c r="G85" i="82"/>
  <c r="G84" i="82"/>
  <c r="G85" i="83"/>
  <c r="G84" i="83"/>
  <c r="G85" i="84"/>
  <c r="G84" i="84"/>
  <c r="G85" i="85"/>
  <c r="G84" i="85"/>
  <c r="G85" i="86"/>
  <c r="G84" i="86"/>
  <c r="G85" i="87"/>
  <c r="G84" i="87"/>
  <c r="G85" i="88"/>
  <c r="G84" i="88"/>
  <c r="G85" i="89"/>
  <c r="G84" i="89"/>
  <c r="G85" i="90"/>
  <c r="G84" i="90"/>
  <c r="G85" i="91"/>
  <c r="G84" i="91"/>
  <c r="G85" i="92"/>
  <c r="G84" i="92"/>
  <c r="G85" i="93"/>
  <c r="G84" i="93"/>
  <c r="G85" i="94"/>
  <c r="G84" i="94"/>
  <c r="G85" i="95"/>
  <c r="G84" i="95"/>
  <c r="G85" i="96"/>
  <c r="G84" i="96"/>
  <c r="G85" i="97"/>
  <c r="G84" i="97"/>
  <c r="G85" i="98"/>
  <c r="G84" i="98"/>
  <c r="G85" i="99"/>
  <c r="G84" i="99"/>
  <c r="G85" i="100"/>
  <c r="G84" i="100"/>
  <c r="G85" i="101"/>
  <c r="G84" i="101"/>
  <c r="G85" i="102"/>
  <c r="G84" i="102"/>
  <c r="G85" i="103"/>
  <c r="G84" i="103"/>
  <c r="G85" i="104"/>
  <c r="G84" i="104"/>
  <c r="G85" i="105"/>
  <c r="G84" i="105"/>
  <c r="G85" i="107"/>
  <c r="G84" i="107"/>
  <c r="G85" i="2"/>
  <c r="G84" i="2"/>
  <c r="G92" i="58"/>
  <c r="G91" i="58"/>
  <c r="G90" i="58"/>
  <c r="G92" i="59"/>
  <c r="G91" i="59"/>
  <c r="G90" i="59"/>
  <c r="G92" i="60"/>
  <c r="G91" i="60"/>
  <c r="G90" i="60"/>
  <c r="G92" i="61"/>
  <c r="G91" i="61"/>
  <c r="G90" i="61"/>
  <c r="G92" i="62"/>
  <c r="G91" i="62"/>
  <c r="G90" i="62"/>
  <c r="G92" i="63"/>
  <c r="G91" i="63"/>
  <c r="G90" i="63"/>
  <c r="G92" i="64"/>
  <c r="G91" i="64"/>
  <c r="G90" i="64"/>
  <c r="G92" i="65"/>
  <c r="G91" i="65"/>
  <c r="G90" i="65"/>
  <c r="G92" i="66"/>
  <c r="G91" i="66"/>
  <c r="G90" i="66"/>
  <c r="G92" i="67"/>
  <c r="G91" i="67"/>
  <c r="G90" i="67"/>
  <c r="G92" i="68"/>
  <c r="G91" i="68"/>
  <c r="G90" i="68"/>
  <c r="G92" i="108"/>
  <c r="G91" i="108"/>
  <c r="G90" i="108"/>
  <c r="G92" i="69"/>
  <c r="G91" i="69"/>
  <c r="G90" i="69"/>
  <c r="G92" i="70"/>
  <c r="G91" i="70"/>
  <c r="G90" i="70"/>
  <c r="G92" i="71"/>
  <c r="G91" i="71"/>
  <c r="G90" i="71"/>
  <c r="G92" i="72"/>
  <c r="G91" i="72"/>
  <c r="G90" i="72"/>
  <c r="G92" i="73"/>
  <c r="G91" i="73"/>
  <c r="G90" i="73"/>
  <c r="G92" i="74"/>
  <c r="G91" i="74"/>
  <c r="G90" i="74"/>
  <c r="G92" i="75"/>
  <c r="G91" i="75"/>
  <c r="G90" i="75"/>
  <c r="G92" i="76"/>
  <c r="G91" i="76"/>
  <c r="G90" i="76"/>
  <c r="G92" i="77"/>
  <c r="G91" i="77"/>
  <c r="G90" i="77"/>
  <c r="G92" i="78"/>
  <c r="G91" i="78"/>
  <c r="G90" i="78"/>
  <c r="G92" i="79"/>
  <c r="G91" i="79"/>
  <c r="G90" i="79"/>
  <c r="G92" i="80"/>
  <c r="G91" i="80"/>
  <c r="G90" i="80"/>
  <c r="G92" i="81"/>
  <c r="G91" i="81"/>
  <c r="G90" i="81"/>
  <c r="G92" i="82"/>
  <c r="G91" i="82"/>
  <c r="G90" i="82"/>
  <c r="G92" i="83"/>
  <c r="G91" i="83"/>
  <c r="G90" i="83"/>
  <c r="G92" i="84"/>
  <c r="G91" i="84"/>
  <c r="G90" i="84"/>
  <c r="G92" i="85"/>
  <c r="G91" i="85"/>
  <c r="G90" i="85"/>
  <c r="G92" i="86"/>
  <c r="G91" i="86"/>
  <c r="G90" i="86"/>
  <c r="G92" i="87"/>
  <c r="G91" i="87"/>
  <c r="G90" i="87"/>
  <c r="G92" i="88"/>
  <c r="G91" i="88"/>
  <c r="G90" i="88"/>
  <c r="G92" i="89"/>
  <c r="G91" i="89"/>
  <c r="G90" i="89"/>
  <c r="G92" i="90"/>
  <c r="G91" i="90"/>
  <c r="G90" i="90"/>
  <c r="G92" i="91"/>
  <c r="G91" i="91"/>
  <c r="G90" i="91"/>
  <c r="G92" i="92"/>
  <c r="G91" i="92"/>
  <c r="G90" i="92"/>
  <c r="G92" i="93"/>
  <c r="G91" i="93"/>
  <c r="G90" i="93"/>
  <c r="G92" i="94"/>
  <c r="G91" i="94"/>
  <c r="G90" i="94"/>
  <c r="G92" i="95"/>
  <c r="G91" i="95"/>
  <c r="G90" i="95"/>
  <c r="G92" i="96"/>
  <c r="G91" i="96"/>
  <c r="G90" i="96"/>
  <c r="G92" i="97"/>
  <c r="G91" i="97"/>
  <c r="G90" i="97"/>
  <c r="G92" i="98"/>
  <c r="G91" i="98"/>
  <c r="G90" i="98"/>
  <c r="G92" i="99"/>
  <c r="G91" i="99"/>
  <c r="G90" i="99"/>
  <c r="G92" i="100"/>
  <c r="G91" i="100"/>
  <c r="G90" i="100"/>
  <c r="G92" i="101"/>
  <c r="G91" i="101"/>
  <c r="G90" i="101"/>
  <c r="G92" i="102"/>
  <c r="G91" i="102"/>
  <c r="G90" i="102"/>
  <c r="G92" i="103"/>
  <c r="G91" i="103"/>
  <c r="G90" i="103"/>
  <c r="G92" i="104"/>
  <c r="G91" i="104"/>
  <c r="G90" i="104"/>
  <c r="G92" i="105"/>
  <c r="G91" i="105"/>
  <c r="G90" i="105"/>
  <c r="G92" i="107"/>
  <c r="G91" i="107"/>
  <c r="G90" i="107"/>
  <c r="G92" i="2"/>
  <c r="G91" i="2"/>
  <c r="G90" i="2"/>
  <c r="X49" i="58"/>
  <c r="X48" i="58"/>
  <c r="X47" i="58"/>
  <c r="X46" i="58"/>
  <c r="X45" i="58"/>
  <c r="X44" i="58"/>
  <c r="X43" i="58"/>
  <c r="X42" i="58"/>
  <c r="X41" i="58"/>
  <c r="X49" i="59"/>
  <c r="X48" i="59"/>
  <c r="X47" i="59"/>
  <c r="X46" i="59"/>
  <c r="X45" i="59"/>
  <c r="X44" i="59"/>
  <c r="X43" i="59"/>
  <c r="X42" i="59"/>
  <c r="X41" i="59"/>
  <c r="X49" i="60"/>
  <c r="X48" i="60"/>
  <c r="X47" i="60"/>
  <c r="X46" i="60"/>
  <c r="X45" i="60"/>
  <c r="X44" i="60"/>
  <c r="X43" i="60"/>
  <c r="X42" i="60"/>
  <c r="X41" i="60"/>
  <c r="X49" i="61"/>
  <c r="X48" i="61"/>
  <c r="X47" i="61"/>
  <c r="X46" i="61"/>
  <c r="X45" i="61"/>
  <c r="X44" i="61"/>
  <c r="X43" i="61"/>
  <c r="X42" i="61"/>
  <c r="X41" i="61"/>
  <c r="X49" i="62"/>
  <c r="X48" i="62"/>
  <c r="X47" i="62"/>
  <c r="X46" i="62"/>
  <c r="X45" i="62"/>
  <c r="X44" i="62"/>
  <c r="X43" i="62"/>
  <c r="X42" i="62"/>
  <c r="X41" i="62"/>
  <c r="X49" i="63"/>
  <c r="X48" i="63"/>
  <c r="X47" i="63"/>
  <c r="X46" i="63"/>
  <c r="X45" i="63"/>
  <c r="X44" i="63"/>
  <c r="X43" i="63"/>
  <c r="X42" i="63"/>
  <c r="X41" i="63"/>
  <c r="X49" i="64"/>
  <c r="X48" i="64"/>
  <c r="X47" i="64"/>
  <c r="X46" i="64"/>
  <c r="X45" i="64"/>
  <c r="X44" i="64"/>
  <c r="X43" i="64"/>
  <c r="X42" i="64"/>
  <c r="X41" i="64"/>
  <c r="X49" i="65"/>
  <c r="X48" i="65"/>
  <c r="X47" i="65"/>
  <c r="X46" i="65"/>
  <c r="X45" i="65"/>
  <c r="X44" i="65"/>
  <c r="X43" i="65"/>
  <c r="X42" i="65"/>
  <c r="X41" i="65"/>
  <c r="X49" i="66"/>
  <c r="X48" i="66"/>
  <c r="X47" i="66"/>
  <c r="X46" i="66"/>
  <c r="X45" i="66"/>
  <c r="X44" i="66"/>
  <c r="X43" i="66"/>
  <c r="X42" i="66"/>
  <c r="X41" i="66"/>
  <c r="X49" i="67"/>
  <c r="X48" i="67"/>
  <c r="X47" i="67"/>
  <c r="X46" i="67"/>
  <c r="X45" i="67"/>
  <c r="X44" i="67"/>
  <c r="X43" i="67"/>
  <c r="X42" i="67"/>
  <c r="X41" i="67"/>
  <c r="X49" i="68"/>
  <c r="X48" i="68"/>
  <c r="X47" i="68"/>
  <c r="X46" i="68"/>
  <c r="X45" i="68"/>
  <c r="X44" i="68"/>
  <c r="X43" i="68"/>
  <c r="X42" i="68"/>
  <c r="X41" i="68"/>
  <c r="X49" i="108"/>
  <c r="X48" i="108"/>
  <c r="X47" i="108"/>
  <c r="X46" i="108"/>
  <c r="X45" i="108"/>
  <c r="X44" i="108"/>
  <c r="X43" i="108"/>
  <c r="X42" i="108"/>
  <c r="X41" i="108"/>
  <c r="X49" i="69"/>
  <c r="X48" i="69"/>
  <c r="X47" i="69"/>
  <c r="X46" i="69"/>
  <c r="X45" i="69"/>
  <c r="X44" i="69"/>
  <c r="X43" i="69"/>
  <c r="X42" i="69"/>
  <c r="X41" i="69"/>
  <c r="X49" i="70"/>
  <c r="X48" i="70"/>
  <c r="X47" i="70"/>
  <c r="X46" i="70"/>
  <c r="X45" i="70"/>
  <c r="X44" i="70"/>
  <c r="X43" i="70"/>
  <c r="X42" i="70"/>
  <c r="X41" i="70"/>
  <c r="X49" i="71"/>
  <c r="X48" i="71"/>
  <c r="X47" i="71"/>
  <c r="X46" i="71"/>
  <c r="X45" i="71"/>
  <c r="X44" i="71"/>
  <c r="X43" i="71"/>
  <c r="X42" i="71"/>
  <c r="X41" i="71"/>
  <c r="X49" i="72"/>
  <c r="X48" i="72"/>
  <c r="X47" i="72"/>
  <c r="X46" i="72"/>
  <c r="X45" i="72"/>
  <c r="X44" i="72"/>
  <c r="X43" i="72"/>
  <c r="X42" i="72"/>
  <c r="X41" i="72"/>
  <c r="X49" i="73"/>
  <c r="X48" i="73"/>
  <c r="X47" i="73"/>
  <c r="X46" i="73"/>
  <c r="X45" i="73"/>
  <c r="X44" i="73"/>
  <c r="X43" i="73"/>
  <c r="X42" i="73"/>
  <c r="X41" i="73"/>
  <c r="X49" i="74"/>
  <c r="X48" i="74"/>
  <c r="X47" i="74"/>
  <c r="X46" i="74"/>
  <c r="X45" i="74"/>
  <c r="X44" i="74"/>
  <c r="X43" i="74"/>
  <c r="X42" i="74"/>
  <c r="X41" i="74"/>
  <c r="X49" i="75"/>
  <c r="X48" i="75"/>
  <c r="X47" i="75"/>
  <c r="X46" i="75"/>
  <c r="X45" i="75"/>
  <c r="X44" i="75"/>
  <c r="X43" i="75"/>
  <c r="X42" i="75"/>
  <c r="X41" i="75"/>
  <c r="X49" i="76"/>
  <c r="X48" i="76"/>
  <c r="X47" i="76"/>
  <c r="X46" i="76"/>
  <c r="X45" i="76"/>
  <c r="X44" i="76"/>
  <c r="X43" i="76"/>
  <c r="X42" i="76"/>
  <c r="X41" i="76"/>
  <c r="X49" i="77"/>
  <c r="X48" i="77"/>
  <c r="X47" i="77"/>
  <c r="X46" i="77"/>
  <c r="X45" i="77"/>
  <c r="X44" i="77"/>
  <c r="X43" i="77"/>
  <c r="X42" i="77"/>
  <c r="X41" i="77"/>
  <c r="X49" i="78"/>
  <c r="X48" i="78"/>
  <c r="X47" i="78"/>
  <c r="X46" i="78"/>
  <c r="X45" i="78"/>
  <c r="X44" i="78"/>
  <c r="X43" i="78"/>
  <c r="X42" i="78"/>
  <c r="X41" i="78"/>
  <c r="X49" i="79"/>
  <c r="X48" i="79"/>
  <c r="X47" i="79"/>
  <c r="X46" i="79"/>
  <c r="X45" i="79"/>
  <c r="X44" i="79"/>
  <c r="X43" i="79"/>
  <c r="X42" i="79"/>
  <c r="X41" i="79"/>
  <c r="X49" i="80"/>
  <c r="X48" i="80"/>
  <c r="X47" i="80"/>
  <c r="X46" i="80"/>
  <c r="X45" i="80"/>
  <c r="X44" i="80"/>
  <c r="X43" i="80"/>
  <c r="X42" i="80"/>
  <c r="X41" i="80"/>
  <c r="X49" i="81"/>
  <c r="X48" i="81"/>
  <c r="X47" i="81"/>
  <c r="X46" i="81"/>
  <c r="X45" i="81"/>
  <c r="X44" i="81"/>
  <c r="X43" i="81"/>
  <c r="X42" i="81"/>
  <c r="X41" i="81"/>
  <c r="X49" i="82"/>
  <c r="X48" i="82"/>
  <c r="X47" i="82"/>
  <c r="X46" i="82"/>
  <c r="X45" i="82"/>
  <c r="X44" i="82"/>
  <c r="X43" i="82"/>
  <c r="X42" i="82"/>
  <c r="X41" i="82"/>
  <c r="X49" i="83"/>
  <c r="X48" i="83"/>
  <c r="X47" i="83"/>
  <c r="X46" i="83"/>
  <c r="X45" i="83"/>
  <c r="X44" i="83"/>
  <c r="X43" i="83"/>
  <c r="X42" i="83"/>
  <c r="X41" i="83"/>
  <c r="X49" i="84"/>
  <c r="X48" i="84"/>
  <c r="X47" i="84"/>
  <c r="X46" i="84"/>
  <c r="X45" i="84"/>
  <c r="X44" i="84"/>
  <c r="X43" i="84"/>
  <c r="X42" i="84"/>
  <c r="X41" i="84"/>
  <c r="X49" i="85"/>
  <c r="X48" i="85"/>
  <c r="X47" i="85"/>
  <c r="X46" i="85"/>
  <c r="X45" i="85"/>
  <c r="X44" i="85"/>
  <c r="X43" i="85"/>
  <c r="X42" i="85"/>
  <c r="X41" i="85"/>
  <c r="X49" i="86"/>
  <c r="X48" i="86"/>
  <c r="X47" i="86"/>
  <c r="X46" i="86"/>
  <c r="X45" i="86"/>
  <c r="X44" i="86"/>
  <c r="X43" i="86"/>
  <c r="X42" i="86"/>
  <c r="X41" i="86"/>
  <c r="X49" i="87"/>
  <c r="X48" i="87"/>
  <c r="X47" i="87"/>
  <c r="X46" i="87"/>
  <c r="X45" i="87"/>
  <c r="X44" i="87"/>
  <c r="X43" i="87"/>
  <c r="X42" i="87"/>
  <c r="X41" i="87"/>
  <c r="X49" i="88"/>
  <c r="X48" i="88"/>
  <c r="X47" i="88"/>
  <c r="X46" i="88"/>
  <c r="X45" i="88"/>
  <c r="X44" i="88"/>
  <c r="X43" i="88"/>
  <c r="X42" i="88"/>
  <c r="X41" i="88"/>
  <c r="X49" i="89"/>
  <c r="X48" i="89"/>
  <c r="X47" i="89"/>
  <c r="X46" i="89"/>
  <c r="X45" i="89"/>
  <c r="X44" i="89"/>
  <c r="X43" i="89"/>
  <c r="X42" i="89"/>
  <c r="X41" i="89"/>
  <c r="X49" i="90"/>
  <c r="X48" i="90"/>
  <c r="X47" i="90"/>
  <c r="X46" i="90"/>
  <c r="X45" i="90"/>
  <c r="X44" i="90"/>
  <c r="X43" i="90"/>
  <c r="X42" i="90"/>
  <c r="X41" i="90"/>
  <c r="X49" i="91"/>
  <c r="X48" i="91"/>
  <c r="X47" i="91"/>
  <c r="X46" i="91"/>
  <c r="X45" i="91"/>
  <c r="X44" i="91"/>
  <c r="X43" i="91"/>
  <c r="X42" i="91"/>
  <c r="X41" i="91"/>
  <c r="X49" i="92"/>
  <c r="X48" i="92"/>
  <c r="X47" i="92"/>
  <c r="X46" i="92"/>
  <c r="X45" i="92"/>
  <c r="X44" i="92"/>
  <c r="X43" i="92"/>
  <c r="X42" i="92"/>
  <c r="X41" i="92"/>
  <c r="X49" i="93"/>
  <c r="X48" i="93"/>
  <c r="X47" i="93"/>
  <c r="X46" i="93"/>
  <c r="X45" i="93"/>
  <c r="X44" i="93"/>
  <c r="X43" i="93"/>
  <c r="X42" i="93"/>
  <c r="X41" i="93"/>
  <c r="X49" i="94"/>
  <c r="X48" i="94"/>
  <c r="X47" i="94"/>
  <c r="X46" i="94"/>
  <c r="X45" i="94"/>
  <c r="X44" i="94"/>
  <c r="X43" i="94"/>
  <c r="X42" i="94"/>
  <c r="X41" i="94"/>
  <c r="X49" i="95"/>
  <c r="X48" i="95"/>
  <c r="X47" i="95"/>
  <c r="X46" i="95"/>
  <c r="X45" i="95"/>
  <c r="X44" i="95"/>
  <c r="X43" i="95"/>
  <c r="X42" i="95"/>
  <c r="X41" i="95"/>
  <c r="X49" i="96"/>
  <c r="X48" i="96"/>
  <c r="X47" i="96"/>
  <c r="X46" i="96"/>
  <c r="X45" i="96"/>
  <c r="X44" i="96"/>
  <c r="X43" i="96"/>
  <c r="X42" i="96"/>
  <c r="X41" i="96"/>
  <c r="X49" i="97"/>
  <c r="X48" i="97"/>
  <c r="X47" i="97"/>
  <c r="X46" i="97"/>
  <c r="X45" i="97"/>
  <c r="X44" i="97"/>
  <c r="X43" i="97"/>
  <c r="X42" i="97"/>
  <c r="X41" i="97"/>
  <c r="X49" i="98"/>
  <c r="X48" i="98"/>
  <c r="X47" i="98"/>
  <c r="X46" i="98"/>
  <c r="X45" i="98"/>
  <c r="X44" i="98"/>
  <c r="X43" i="98"/>
  <c r="X42" i="98"/>
  <c r="X41" i="98"/>
  <c r="X49" i="99"/>
  <c r="X48" i="99"/>
  <c r="X47" i="99"/>
  <c r="X46" i="99"/>
  <c r="X45" i="99"/>
  <c r="X44" i="99"/>
  <c r="X43" i="99"/>
  <c r="X42" i="99"/>
  <c r="X41" i="99"/>
  <c r="X49" i="100"/>
  <c r="X48" i="100"/>
  <c r="X47" i="100"/>
  <c r="X46" i="100"/>
  <c r="X45" i="100"/>
  <c r="X44" i="100"/>
  <c r="X43" i="100"/>
  <c r="X42" i="100"/>
  <c r="X41" i="100"/>
  <c r="X49" i="101"/>
  <c r="X48" i="101"/>
  <c r="X47" i="101"/>
  <c r="X46" i="101"/>
  <c r="X45" i="101"/>
  <c r="X44" i="101"/>
  <c r="X43" i="101"/>
  <c r="X42" i="101"/>
  <c r="X41" i="101"/>
  <c r="X49" i="102"/>
  <c r="X48" i="102"/>
  <c r="X47" i="102"/>
  <c r="X46" i="102"/>
  <c r="X45" i="102"/>
  <c r="X44" i="102"/>
  <c r="X43" i="102"/>
  <c r="X42" i="102"/>
  <c r="X41" i="102"/>
  <c r="X49" i="103"/>
  <c r="X48" i="103"/>
  <c r="X47" i="103"/>
  <c r="X46" i="103"/>
  <c r="X45" i="103"/>
  <c r="X44" i="103"/>
  <c r="X43" i="103"/>
  <c r="X42" i="103"/>
  <c r="X41" i="103"/>
  <c r="X49" i="104"/>
  <c r="X48" i="104"/>
  <c r="X47" i="104"/>
  <c r="X46" i="104"/>
  <c r="X45" i="104"/>
  <c r="X44" i="104"/>
  <c r="X43" i="104"/>
  <c r="X42" i="104"/>
  <c r="X41" i="104"/>
  <c r="X49" i="105"/>
  <c r="X48" i="105"/>
  <c r="X47" i="105"/>
  <c r="X46" i="105"/>
  <c r="X45" i="105"/>
  <c r="X44" i="105"/>
  <c r="X43" i="105"/>
  <c r="X42" i="105"/>
  <c r="X41" i="105"/>
  <c r="X49" i="107"/>
  <c r="X48" i="107"/>
  <c r="X47" i="107"/>
  <c r="X46" i="107"/>
  <c r="X45" i="107"/>
  <c r="X44" i="107"/>
  <c r="X43" i="107"/>
  <c r="X42" i="107"/>
  <c r="X41" i="107"/>
  <c r="I49" i="2"/>
  <c r="I48" i="2"/>
  <c r="I47" i="2"/>
  <c r="I46" i="2"/>
  <c r="I45" i="2"/>
  <c r="I44" i="2"/>
  <c r="I43" i="2"/>
  <c r="I42" i="2"/>
  <c r="I41" i="2"/>
  <c r="E120" i="56"/>
  <c r="E119" i="56"/>
  <c r="E118" i="56"/>
  <c r="E44" i="56"/>
  <c r="E43" i="56"/>
  <c r="E42" i="56"/>
  <c r="E41" i="56"/>
  <c r="E40" i="56"/>
  <c r="E39" i="56"/>
  <c r="H27" i="58"/>
  <c r="G27" i="58"/>
  <c r="H26" i="58"/>
  <c r="G26" i="58"/>
  <c r="H25" i="58"/>
  <c r="G25" i="58"/>
  <c r="H24" i="58"/>
  <c r="G24" i="58"/>
  <c r="H23" i="58"/>
  <c r="G23" i="58"/>
  <c r="H22" i="58"/>
  <c r="G22" i="58"/>
  <c r="H21" i="58"/>
  <c r="G21" i="58"/>
  <c r="H20" i="58"/>
  <c r="G20" i="58"/>
  <c r="H19" i="58"/>
  <c r="G19" i="58"/>
  <c r="H18" i="58"/>
  <c r="G18" i="58"/>
  <c r="H17" i="58"/>
  <c r="G17" i="58"/>
  <c r="H16" i="58"/>
  <c r="G16" i="58"/>
  <c r="H15" i="58"/>
  <c r="G15" i="58"/>
  <c r="H14" i="58"/>
  <c r="G14" i="58"/>
  <c r="H13" i="58"/>
  <c r="G13" i="58"/>
  <c r="H12" i="58"/>
  <c r="G12" i="58"/>
  <c r="H27" i="59"/>
  <c r="G27" i="59"/>
  <c r="H26" i="59"/>
  <c r="G26" i="59"/>
  <c r="H25" i="59"/>
  <c r="G25" i="59"/>
  <c r="H24" i="59"/>
  <c r="G24" i="59"/>
  <c r="H23" i="59"/>
  <c r="G23" i="59"/>
  <c r="H22" i="59"/>
  <c r="G22" i="59"/>
  <c r="H21" i="59"/>
  <c r="G21" i="59"/>
  <c r="H20" i="59"/>
  <c r="G20" i="59"/>
  <c r="H19" i="59"/>
  <c r="G19" i="59"/>
  <c r="H18" i="59"/>
  <c r="G18" i="59"/>
  <c r="H17" i="59"/>
  <c r="G17" i="59"/>
  <c r="H16" i="59"/>
  <c r="G16" i="59"/>
  <c r="H15" i="59"/>
  <c r="G15" i="59"/>
  <c r="H14" i="59"/>
  <c r="G14" i="59"/>
  <c r="H13" i="59"/>
  <c r="G13" i="59"/>
  <c r="H12" i="59"/>
  <c r="G12" i="59"/>
  <c r="H27" i="60"/>
  <c r="G27" i="60"/>
  <c r="H26" i="60"/>
  <c r="G26" i="60"/>
  <c r="H25" i="60"/>
  <c r="G25" i="60"/>
  <c r="H24" i="60"/>
  <c r="G24" i="60"/>
  <c r="H23" i="60"/>
  <c r="G23" i="60"/>
  <c r="H22" i="60"/>
  <c r="G22" i="60"/>
  <c r="H21" i="60"/>
  <c r="G21" i="60"/>
  <c r="H20" i="60"/>
  <c r="G20" i="60"/>
  <c r="H19" i="60"/>
  <c r="G19" i="60"/>
  <c r="H18" i="60"/>
  <c r="G18" i="60"/>
  <c r="H17" i="60"/>
  <c r="G17" i="60"/>
  <c r="H16" i="60"/>
  <c r="G16" i="60"/>
  <c r="H15" i="60"/>
  <c r="G15" i="60"/>
  <c r="H14" i="60"/>
  <c r="G14" i="60"/>
  <c r="H13" i="60"/>
  <c r="G13" i="60"/>
  <c r="H12" i="60"/>
  <c r="G12" i="60"/>
  <c r="H27" i="61"/>
  <c r="G27" i="61"/>
  <c r="H26" i="61"/>
  <c r="G26" i="61"/>
  <c r="H25" i="61"/>
  <c r="G25" i="61"/>
  <c r="H24" i="61"/>
  <c r="G24" i="61"/>
  <c r="H23" i="61"/>
  <c r="G23" i="61"/>
  <c r="H22" i="61"/>
  <c r="G22" i="61"/>
  <c r="H21" i="61"/>
  <c r="G21" i="61"/>
  <c r="H20" i="61"/>
  <c r="G20" i="61"/>
  <c r="H19" i="61"/>
  <c r="G19" i="61"/>
  <c r="H18" i="61"/>
  <c r="G18" i="61"/>
  <c r="H17" i="61"/>
  <c r="G17" i="61"/>
  <c r="H16" i="61"/>
  <c r="G16" i="61"/>
  <c r="H15" i="61"/>
  <c r="G15" i="61"/>
  <c r="H14" i="61"/>
  <c r="G14" i="61"/>
  <c r="H13" i="61"/>
  <c r="G13" i="61"/>
  <c r="H12" i="61"/>
  <c r="G12" i="61"/>
  <c r="H27" i="62"/>
  <c r="G27" i="62"/>
  <c r="H26" i="62"/>
  <c r="G26" i="62"/>
  <c r="H25" i="62"/>
  <c r="G25" i="62"/>
  <c r="H24" i="62"/>
  <c r="G24" i="62"/>
  <c r="H23" i="62"/>
  <c r="G23" i="62"/>
  <c r="H22" i="62"/>
  <c r="G22" i="62"/>
  <c r="H21" i="62"/>
  <c r="G21" i="62"/>
  <c r="H20" i="62"/>
  <c r="G20" i="62"/>
  <c r="H19" i="62"/>
  <c r="G19" i="62"/>
  <c r="H18" i="62"/>
  <c r="G18" i="62"/>
  <c r="H17" i="62"/>
  <c r="G17" i="62"/>
  <c r="H16" i="62"/>
  <c r="G16" i="62"/>
  <c r="H15" i="62"/>
  <c r="G15" i="62"/>
  <c r="H14" i="62"/>
  <c r="G14" i="62"/>
  <c r="H13" i="62"/>
  <c r="G13" i="62"/>
  <c r="H12" i="62"/>
  <c r="G12" i="62"/>
  <c r="H27" i="63"/>
  <c r="G27" i="63"/>
  <c r="H26" i="63"/>
  <c r="G26" i="63"/>
  <c r="H25" i="63"/>
  <c r="G25" i="63"/>
  <c r="H24" i="63"/>
  <c r="G24" i="63"/>
  <c r="H23" i="63"/>
  <c r="G23" i="63"/>
  <c r="H22" i="63"/>
  <c r="G22" i="63"/>
  <c r="H21" i="63"/>
  <c r="G21" i="63"/>
  <c r="H20" i="63"/>
  <c r="G20" i="63"/>
  <c r="H19" i="63"/>
  <c r="G19" i="63"/>
  <c r="H18" i="63"/>
  <c r="G18" i="63"/>
  <c r="H17" i="63"/>
  <c r="G17" i="63"/>
  <c r="H16" i="63"/>
  <c r="G16" i="63"/>
  <c r="H15" i="63"/>
  <c r="G15" i="63"/>
  <c r="H14" i="63"/>
  <c r="G14" i="63"/>
  <c r="H13" i="63"/>
  <c r="G13" i="63"/>
  <c r="H12" i="63"/>
  <c r="G12" i="63"/>
  <c r="H27" i="64"/>
  <c r="G27" i="64"/>
  <c r="H26" i="64"/>
  <c r="G26" i="64"/>
  <c r="H25" i="64"/>
  <c r="G25" i="64"/>
  <c r="H24" i="64"/>
  <c r="G24" i="64"/>
  <c r="H23" i="64"/>
  <c r="G23" i="64"/>
  <c r="H22" i="64"/>
  <c r="G22" i="64"/>
  <c r="H21" i="64"/>
  <c r="G21" i="64"/>
  <c r="H20" i="64"/>
  <c r="G20" i="64"/>
  <c r="H19" i="64"/>
  <c r="G19" i="64"/>
  <c r="H18" i="64"/>
  <c r="G18" i="64"/>
  <c r="H17" i="64"/>
  <c r="G17" i="64"/>
  <c r="H16" i="64"/>
  <c r="G16" i="64"/>
  <c r="H15" i="64"/>
  <c r="G15" i="64"/>
  <c r="H14" i="64"/>
  <c r="G14" i="64"/>
  <c r="H13" i="64"/>
  <c r="G13" i="64"/>
  <c r="H12" i="64"/>
  <c r="G12" i="64"/>
  <c r="H27" i="65"/>
  <c r="G27" i="65"/>
  <c r="H26" i="65"/>
  <c r="G26" i="65"/>
  <c r="H25" i="65"/>
  <c r="G25" i="65"/>
  <c r="H24" i="65"/>
  <c r="G24" i="65"/>
  <c r="H23" i="65"/>
  <c r="G23" i="65"/>
  <c r="H22" i="65"/>
  <c r="G22" i="65"/>
  <c r="H21" i="65"/>
  <c r="G21" i="65"/>
  <c r="H20" i="65"/>
  <c r="G20" i="65"/>
  <c r="H19" i="65"/>
  <c r="G19" i="65"/>
  <c r="H18" i="65"/>
  <c r="G18" i="65"/>
  <c r="H17" i="65"/>
  <c r="G17" i="65"/>
  <c r="H16" i="65"/>
  <c r="G16" i="65"/>
  <c r="H15" i="65"/>
  <c r="G15" i="65"/>
  <c r="H14" i="65"/>
  <c r="G14" i="65"/>
  <c r="H13" i="65"/>
  <c r="G13" i="65"/>
  <c r="H12" i="65"/>
  <c r="G12" i="65"/>
  <c r="H27" i="66"/>
  <c r="G27" i="66"/>
  <c r="H26" i="66"/>
  <c r="G26" i="66"/>
  <c r="H25" i="66"/>
  <c r="G25" i="66"/>
  <c r="H24" i="66"/>
  <c r="G24" i="66"/>
  <c r="H23" i="66"/>
  <c r="G23" i="66"/>
  <c r="H22" i="66"/>
  <c r="G22" i="66"/>
  <c r="H21" i="66"/>
  <c r="G21" i="66"/>
  <c r="H20" i="66"/>
  <c r="G20" i="66"/>
  <c r="H19" i="66"/>
  <c r="G19" i="66"/>
  <c r="H18" i="66"/>
  <c r="G18" i="66"/>
  <c r="H17" i="66"/>
  <c r="G17" i="66"/>
  <c r="H16" i="66"/>
  <c r="G16" i="66"/>
  <c r="H15" i="66"/>
  <c r="G15" i="66"/>
  <c r="H14" i="66"/>
  <c r="G14" i="66"/>
  <c r="H13" i="66"/>
  <c r="G13" i="66"/>
  <c r="H12" i="66"/>
  <c r="G12" i="66"/>
  <c r="H27" i="67"/>
  <c r="G27" i="67"/>
  <c r="H26" i="67"/>
  <c r="G26" i="67"/>
  <c r="H25" i="67"/>
  <c r="G25" i="67"/>
  <c r="H24" i="67"/>
  <c r="G24" i="67"/>
  <c r="H23" i="67"/>
  <c r="G23" i="67"/>
  <c r="H22" i="67"/>
  <c r="G22" i="67"/>
  <c r="H21" i="67"/>
  <c r="G21" i="67"/>
  <c r="H20" i="67"/>
  <c r="G20" i="67"/>
  <c r="H19" i="67"/>
  <c r="G19" i="67"/>
  <c r="H18" i="67"/>
  <c r="G18" i="67"/>
  <c r="H17" i="67"/>
  <c r="G17" i="67"/>
  <c r="H16" i="67"/>
  <c r="G16" i="67"/>
  <c r="H15" i="67"/>
  <c r="G15" i="67"/>
  <c r="H14" i="67"/>
  <c r="G14" i="67"/>
  <c r="H13" i="67"/>
  <c r="G13" i="67"/>
  <c r="H12" i="67"/>
  <c r="G12" i="67"/>
  <c r="H27" i="68"/>
  <c r="G27" i="68"/>
  <c r="H26" i="68"/>
  <c r="G26" i="68"/>
  <c r="H25" i="68"/>
  <c r="G25" i="68"/>
  <c r="H24" i="68"/>
  <c r="G24" i="68"/>
  <c r="H23" i="68"/>
  <c r="G23" i="68"/>
  <c r="H22" i="68"/>
  <c r="G22" i="68"/>
  <c r="H21" i="68"/>
  <c r="G21" i="68"/>
  <c r="H20" i="68"/>
  <c r="G20" i="68"/>
  <c r="H19" i="68"/>
  <c r="G19" i="68"/>
  <c r="H18" i="68"/>
  <c r="G18" i="68"/>
  <c r="H17" i="68"/>
  <c r="G17" i="68"/>
  <c r="H16" i="68"/>
  <c r="G16" i="68"/>
  <c r="H15" i="68"/>
  <c r="G15" i="68"/>
  <c r="H14" i="68"/>
  <c r="G14" i="68"/>
  <c r="H13" i="68"/>
  <c r="G13" i="68"/>
  <c r="H12" i="68"/>
  <c r="G12" i="68"/>
  <c r="H27" i="108"/>
  <c r="G27" i="108"/>
  <c r="H26" i="108"/>
  <c r="G26" i="108"/>
  <c r="H25" i="108"/>
  <c r="G25" i="108"/>
  <c r="H24" i="108"/>
  <c r="G24" i="108"/>
  <c r="H23" i="108"/>
  <c r="G23" i="108"/>
  <c r="H22" i="108"/>
  <c r="G22" i="108"/>
  <c r="H21" i="108"/>
  <c r="G21" i="108"/>
  <c r="H20" i="108"/>
  <c r="G20" i="108"/>
  <c r="H19" i="108"/>
  <c r="G19" i="108"/>
  <c r="H18" i="108"/>
  <c r="G18" i="108"/>
  <c r="H17" i="108"/>
  <c r="G17" i="108"/>
  <c r="H16" i="108"/>
  <c r="G16" i="108"/>
  <c r="H15" i="108"/>
  <c r="G15" i="108"/>
  <c r="H14" i="108"/>
  <c r="G14" i="108"/>
  <c r="H13" i="108"/>
  <c r="G13" i="108"/>
  <c r="H12" i="108"/>
  <c r="G12" i="108"/>
  <c r="H27" i="69"/>
  <c r="G27" i="69"/>
  <c r="H26" i="69"/>
  <c r="G26" i="69"/>
  <c r="H25" i="69"/>
  <c r="G25" i="69"/>
  <c r="H24" i="69"/>
  <c r="G24" i="69"/>
  <c r="H23" i="69"/>
  <c r="G23" i="69"/>
  <c r="H22" i="69"/>
  <c r="G22" i="69"/>
  <c r="H21" i="69"/>
  <c r="G21" i="69"/>
  <c r="H20" i="69"/>
  <c r="G20" i="69"/>
  <c r="H19" i="69"/>
  <c r="G19" i="69"/>
  <c r="H18" i="69"/>
  <c r="G18" i="69"/>
  <c r="H17" i="69"/>
  <c r="G17" i="69"/>
  <c r="H16" i="69"/>
  <c r="G16" i="69"/>
  <c r="H15" i="69"/>
  <c r="G15" i="69"/>
  <c r="H14" i="69"/>
  <c r="G14" i="69"/>
  <c r="H13" i="69"/>
  <c r="G13" i="69"/>
  <c r="H12" i="69"/>
  <c r="G12" i="69"/>
  <c r="H27" i="70"/>
  <c r="G27" i="70"/>
  <c r="H26" i="70"/>
  <c r="G26" i="70"/>
  <c r="H25" i="70"/>
  <c r="G25" i="70"/>
  <c r="H24" i="70"/>
  <c r="G24" i="70"/>
  <c r="H23" i="70"/>
  <c r="G23" i="70"/>
  <c r="H22" i="70"/>
  <c r="G22" i="70"/>
  <c r="H21" i="70"/>
  <c r="G21" i="70"/>
  <c r="H20" i="70"/>
  <c r="G20" i="70"/>
  <c r="H19" i="70"/>
  <c r="G19" i="70"/>
  <c r="H18" i="70"/>
  <c r="G18" i="70"/>
  <c r="H17" i="70"/>
  <c r="G17" i="70"/>
  <c r="H16" i="70"/>
  <c r="G16" i="70"/>
  <c r="H15" i="70"/>
  <c r="G15" i="70"/>
  <c r="H14" i="70"/>
  <c r="G14" i="70"/>
  <c r="H13" i="70"/>
  <c r="G13" i="70"/>
  <c r="H12" i="70"/>
  <c r="G12" i="70"/>
  <c r="H27" i="71"/>
  <c r="G27" i="71"/>
  <c r="H26" i="71"/>
  <c r="G26" i="71"/>
  <c r="H25" i="71"/>
  <c r="G25" i="71"/>
  <c r="H24" i="71"/>
  <c r="G24" i="71"/>
  <c r="H23" i="71"/>
  <c r="G23" i="71"/>
  <c r="H22" i="71"/>
  <c r="G22" i="71"/>
  <c r="H21" i="71"/>
  <c r="G21" i="71"/>
  <c r="H20" i="71"/>
  <c r="G20" i="71"/>
  <c r="H19" i="71"/>
  <c r="G19" i="71"/>
  <c r="H18" i="71"/>
  <c r="G18" i="71"/>
  <c r="H17" i="71"/>
  <c r="G17" i="71"/>
  <c r="H16" i="71"/>
  <c r="G16" i="71"/>
  <c r="H15" i="71"/>
  <c r="G15" i="71"/>
  <c r="H14" i="71"/>
  <c r="G14" i="71"/>
  <c r="H13" i="71"/>
  <c r="G13" i="71"/>
  <c r="H12" i="71"/>
  <c r="G12" i="71"/>
  <c r="H27" i="72"/>
  <c r="G27" i="72"/>
  <c r="H26" i="72"/>
  <c r="G26" i="72"/>
  <c r="H25" i="72"/>
  <c r="G25" i="72"/>
  <c r="H24" i="72"/>
  <c r="G24" i="72"/>
  <c r="H23" i="72"/>
  <c r="G23" i="72"/>
  <c r="H22" i="72"/>
  <c r="G22" i="72"/>
  <c r="H21" i="72"/>
  <c r="G21" i="72"/>
  <c r="H20" i="72"/>
  <c r="G20" i="72"/>
  <c r="H19" i="72"/>
  <c r="G19" i="72"/>
  <c r="H18" i="72"/>
  <c r="G18" i="72"/>
  <c r="H17" i="72"/>
  <c r="G17" i="72"/>
  <c r="H16" i="72"/>
  <c r="G16" i="72"/>
  <c r="H15" i="72"/>
  <c r="G15" i="72"/>
  <c r="H14" i="72"/>
  <c r="G14" i="72"/>
  <c r="H13" i="72"/>
  <c r="G13" i="72"/>
  <c r="H12" i="72"/>
  <c r="G12" i="72"/>
  <c r="H27" i="73"/>
  <c r="G27" i="73"/>
  <c r="H26" i="73"/>
  <c r="G26" i="73"/>
  <c r="H25" i="73"/>
  <c r="G25" i="73"/>
  <c r="H24" i="73"/>
  <c r="G24" i="73"/>
  <c r="H23" i="73"/>
  <c r="G23" i="73"/>
  <c r="H22" i="73"/>
  <c r="G22" i="73"/>
  <c r="H21" i="73"/>
  <c r="G21" i="73"/>
  <c r="H20" i="73"/>
  <c r="G20" i="73"/>
  <c r="H19" i="73"/>
  <c r="G19" i="73"/>
  <c r="H18" i="73"/>
  <c r="G18" i="73"/>
  <c r="H17" i="73"/>
  <c r="G17" i="73"/>
  <c r="H16" i="73"/>
  <c r="G16" i="73"/>
  <c r="H15" i="73"/>
  <c r="G15" i="73"/>
  <c r="H14" i="73"/>
  <c r="G14" i="73"/>
  <c r="H13" i="73"/>
  <c r="G13" i="73"/>
  <c r="H12" i="73"/>
  <c r="G12" i="73"/>
  <c r="H27" i="74"/>
  <c r="G27" i="74"/>
  <c r="H26" i="74"/>
  <c r="G26" i="74"/>
  <c r="H25" i="74"/>
  <c r="G25" i="74"/>
  <c r="H24" i="74"/>
  <c r="G24" i="74"/>
  <c r="H23" i="74"/>
  <c r="G23" i="74"/>
  <c r="H22" i="74"/>
  <c r="G22" i="74"/>
  <c r="H21" i="74"/>
  <c r="G21" i="74"/>
  <c r="H20" i="74"/>
  <c r="G20" i="74"/>
  <c r="H19" i="74"/>
  <c r="G19" i="74"/>
  <c r="H18" i="74"/>
  <c r="G18" i="74"/>
  <c r="H17" i="74"/>
  <c r="G17" i="74"/>
  <c r="H16" i="74"/>
  <c r="G16" i="74"/>
  <c r="H15" i="74"/>
  <c r="G15" i="74"/>
  <c r="H14" i="74"/>
  <c r="G14" i="74"/>
  <c r="H13" i="74"/>
  <c r="G13" i="74"/>
  <c r="H12" i="74"/>
  <c r="G12" i="74"/>
  <c r="H27" i="75"/>
  <c r="G27" i="75"/>
  <c r="H26" i="75"/>
  <c r="G26" i="75"/>
  <c r="H25" i="75"/>
  <c r="G25" i="75"/>
  <c r="H24" i="75"/>
  <c r="G24" i="75"/>
  <c r="H23" i="75"/>
  <c r="G23" i="75"/>
  <c r="H22" i="75"/>
  <c r="G22" i="75"/>
  <c r="H21" i="75"/>
  <c r="G21" i="75"/>
  <c r="H20" i="75"/>
  <c r="G20" i="75"/>
  <c r="H19" i="75"/>
  <c r="G19" i="75"/>
  <c r="H18" i="75"/>
  <c r="G18" i="75"/>
  <c r="H17" i="75"/>
  <c r="G17" i="75"/>
  <c r="H16" i="75"/>
  <c r="G16" i="75"/>
  <c r="H15" i="75"/>
  <c r="G15" i="75"/>
  <c r="H14" i="75"/>
  <c r="G14" i="75"/>
  <c r="H13" i="75"/>
  <c r="G13" i="75"/>
  <c r="H12" i="75"/>
  <c r="G12" i="75"/>
  <c r="H27" i="76"/>
  <c r="G27" i="76"/>
  <c r="H26" i="76"/>
  <c r="G26" i="76"/>
  <c r="H25" i="76"/>
  <c r="G25" i="76"/>
  <c r="H24" i="76"/>
  <c r="G24" i="76"/>
  <c r="H23" i="76"/>
  <c r="G23" i="76"/>
  <c r="H22" i="76"/>
  <c r="G22" i="76"/>
  <c r="H21" i="76"/>
  <c r="G21" i="76"/>
  <c r="H20" i="76"/>
  <c r="G20" i="76"/>
  <c r="H19" i="76"/>
  <c r="G19" i="76"/>
  <c r="H18" i="76"/>
  <c r="G18" i="76"/>
  <c r="H17" i="76"/>
  <c r="G17" i="76"/>
  <c r="H16" i="76"/>
  <c r="G16" i="76"/>
  <c r="H15" i="76"/>
  <c r="G15" i="76"/>
  <c r="H14" i="76"/>
  <c r="G14" i="76"/>
  <c r="H13" i="76"/>
  <c r="G13" i="76"/>
  <c r="H12" i="76"/>
  <c r="G12" i="76"/>
  <c r="H27" i="77"/>
  <c r="G27" i="77"/>
  <c r="H26" i="77"/>
  <c r="G26" i="77"/>
  <c r="H25" i="77"/>
  <c r="G25" i="77"/>
  <c r="H24" i="77"/>
  <c r="G24" i="77"/>
  <c r="H23" i="77"/>
  <c r="G23" i="77"/>
  <c r="H22" i="77"/>
  <c r="G22" i="77"/>
  <c r="H21" i="77"/>
  <c r="G21" i="77"/>
  <c r="H20" i="77"/>
  <c r="G20" i="77"/>
  <c r="H19" i="77"/>
  <c r="G19" i="77"/>
  <c r="H18" i="77"/>
  <c r="G18" i="77"/>
  <c r="H17" i="77"/>
  <c r="G17" i="77"/>
  <c r="H16" i="77"/>
  <c r="G16" i="77"/>
  <c r="H15" i="77"/>
  <c r="G15" i="77"/>
  <c r="H14" i="77"/>
  <c r="G14" i="77"/>
  <c r="H13" i="77"/>
  <c r="G13" i="77"/>
  <c r="H12" i="77"/>
  <c r="G12" i="77"/>
  <c r="H27" i="78"/>
  <c r="G27" i="78"/>
  <c r="H26" i="78"/>
  <c r="G26" i="78"/>
  <c r="H25" i="78"/>
  <c r="G25" i="78"/>
  <c r="H24" i="78"/>
  <c r="G24" i="78"/>
  <c r="H23" i="78"/>
  <c r="G23" i="78"/>
  <c r="H22" i="78"/>
  <c r="G22" i="78"/>
  <c r="H21" i="78"/>
  <c r="G21" i="78"/>
  <c r="H20" i="78"/>
  <c r="G20" i="78"/>
  <c r="H19" i="78"/>
  <c r="G19" i="78"/>
  <c r="H18" i="78"/>
  <c r="G18" i="78"/>
  <c r="H17" i="78"/>
  <c r="G17" i="78"/>
  <c r="H16" i="78"/>
  <c r="G16" i="78"/>
  <c r="H15" i="78"/>
  <c r="G15" i="78"/>
  <c r="H14" i="78"/>
  <c r="G14" i="78"/>
  <c r="H13" i="78"/>
  <c r="G13" i="78"/>
  <c r="H12" i="78"/>
  <c r="G12" i="78"/>
  <c r="H27" i="79"/>
  <c r="G27" i="79"/>
  <c r="H26" i="79"/>
  <c r="G26" i="79"/>
  <c r="H25" i="79"/>
  <c r="G25" i="79"/>
  <c r="H24" i="79"/>
  <c r="G24" i="79"/>
  <c r="H23" i="79"/>
  <c r="G23" i="79"/>
  <c r="H22" i="79"/>
  <c r="G22" i="79"/>
  <c r="H21" i="79"/>
  <c r="G21" i="79"/>
  <c r="H20" i="79"/>
  <c r="G20" i="79"/>
  <c r="H19" i="79"/>
  <c r="G19" i="79"/>
  <c r="H18" i="79"/>
  <c r="G18" i="79"/>
  <c r="H17" i="79"/>
  <c r="G17" i="79"/>
  <c r="H16" i="79"/>
  <c r="G16" i="79"/>
  <c r="H15" i="79"/>
  <c r="G15" i="79"/>
  <c r="H14" i="79"/>
  <c r="G14" i="79"/>
  <c r="H13" i="79"/>
  <c r="G13" i="79"/>
  <c r="H12" i="79"/>
  <c r="G12" i="79"/>
  <c r="H27" i="80"/>
  <c r="G27" i="80"/>
  <c r="H26" i="80"/>
  <c r="G26" i="80"/>
  <c r="H25" i="80"/>
  <c r="G25" i="80"/>
  <c r="H24" i="80"/>
  <c r="G24" i="80"/>
  <c r="H23" i="80"/>
  <c r="G23" i="80"/>
  <c r="H22" i="80"/>
  <c r="G22" i="80"/>
  <c r="H21" i="80"/>
  <c r="G21" i="80"/>
  <c r="H20" i="80"/>
  <c r="G20" i="80"/>
  <c r="H19" i="80"/>
  <c r="G19" i="80"/>
  <c r="H18" i="80"/>
  <c r="G18" i="80"/>
  <c r="H17" i="80"/>
  <c r="G17" i="80"/>
  <c r="H16" i="80"/>
  <c r="G16" i="80"/>
  <c r="H15" i="80"/>
  <c r="G15" i="80"/>
  <c r="H14" i="80"/>
  <c r="G14" i="80"/>
  <c r="H13" i="80"/>
  <c r="G13" i="80"/>
  <c r="H12" i="80"/>
  <c r="G12" i="80"/>
  <c r="H27" i="81"/>
  <c r="G27" i="81"/>
  <c r="H26" i="81"/>
  <c r="G26" i="81"/>
  <c r="H25" i="81"/>
  <c r="G25" i="81"/>
  <c r="H24" i="81"/>
  <c r="G24" i="81"/>
  <c r="H23" i="81"/>
  <c r="G23" i="81"/>
  <c r="H22" i="81"/>
  <c r="G22" i="81"/>
  <c r="H21" i="81"/>
  <c r="G21" i="81"/>
  <c r="H20" i="81"/>
  <c r="G20" i="81"/>
  <c r="H19" i="81"/>
  <c r="G19" i="81"/>
  <c r="H18" i="81"/>
  <c r="G18" i="81"/>
  <c r="H17" i="81"/>
  <c r="G17" i="81"/>
  <c r="H16" i="81"/>
  <c r="G16" i="81"/>
  <c r="H15" i="81"/>
  <c r="G15" i="81"/>
  <c r="H14" i="81"/>
  <c r="G14" i="81"/>
  <c r="H13" i="81"/>
  <c r="G13" i="81"/>
  <c r="H12" i="81"/>
  <c r="G12" i="81"/>
  <c r="H27" i="82"/>
  <c r="G27" i="82"/>
  <c r="H26" i="82"/>
  <c r="G26" i="82"/>
  <c r="H25" i="82"/>
  <c r="G25" i="82"/>
  <c r="H24" i="82"/>
  <c r="G24" i="82"/>
  <c r="H23" i="82"/>
  <c r="G23" i="82"/>
  <c r="H22" i="82"/>
  <c r="G22" i="82"/>
  <c r="H21" i="82"/>
  <c r="G21" i="82"/>
  <c r="H20" i="82"/>
  <c r="G20" i="82"/>
  <c r="H19" i="82"/>
  <c r="G19" i="82"/>
  <c r="H18" i="82"/>
  <c r="G18" i="82"/>
  <c r="H17" i="82"/>
  <c r="G17" i="82"/>
  <c r="H16" i="82"/>
  <c r="G16" i="82"/>
  <c r="H15" i="82"/>
  <c r="G15" i="82"/>
  <c r="H14" i="82"/>
  <c r="G14" i="82"/>
  <c r="H13" i="82"/>
  <c r="G13" i="82"/>
  <c r="H12" i="82"/>
  <c r="G12" i="82"/>
  <c r="H27" i="83"/>
  <c r="G27" i="83"/>
  <c r="H26" i="83"/>
  <c r="G26" i="83"/>
  <c r="H25" i="83"/>
  <c r="G25" i="83"/>
  <c r="H24" i="83"/>
  <c r="G24" i="83"/>
  <c r="H23" i="83"/>
  <c r="G23" i="83"/>
  <c r="H22" i="83"/>
  <c r="G22" i="83"/>
  <c r="H21" i="83"/>
  <c r="G21" i="83"/>
  <c r="H20" i="83"/>
  <c r="G20" i="83"/>
  <c r="H19" i="83"/>
  <c r="G19" i="83"/>
  <c r="H18" i="83"/>
  <c r="G18" i="83"/>
  <c r="H17" i="83"/>
  <c r="G17" i="83"/>
  <c r="H16" i="83"/>
  <c r="G16" i="83"/>
  <c r="H15" i="83"/>
  <c r="G15" i="83"/>
  <c r="H14" i="83"/>
  <c r="G14" i="83"/>
  <c r="H13" i="83"/>
  <c r="G13" i="83"/>
  <c r="H12" i="83"/>
  <c r="G12" i="83"/>
  <c r="H27" i="84"/>
  <c r="G27" i="84"/>
  <c r="H26" i="84"/>
  <c r="G26" i="84"/>
  <c r="H25" i="84"/>
  <c r="G25" i="84"/>
  <c r="H24" i="84"/>
  <c r="G24" i="84"/>
  <c r="H23" i="84"/>
  <c r="G23" i="84"/>
  <c r="H22" i="84"/>
  <c r="G22" i="84"/>
  <c r="H21" i="84"/>
  <c r="G21" i="84"/>
  <c r="H20" i="84"/>
  <c r="G20" i="84"/>
  <c r="H19" i="84"/>
  <c r="G19" i="84"/>
  <c r="H18" i="84"/>
  <c r="G18" i="84"/>
  <c r="H17" i="84"/>
  <c r="G17" i="84"/>
  <c r="H16" i="84"/>
  <c r="G16" i="84"/>
  <c r="H15" i="84"/>
  <c r="G15" i="84"/>
  <c r="H14" i="84"/>
  <c r="G14" i="84"/>
  <c r="H13" i="84"/>
  <c r="G13" i="84"/>
  <c r="H12" i="84"/>
  <c r="G12" i="84"/>
  <c r="H27" i="85"/>
  <c r="G27" i="85"/>
  <c r="H26" i="85"/>
  <c r="G26" i="85"/>
  <c r="H25" i="85"/>
  <c r="G25" i="85"/>
  <c r="H24" i="85"/>
  <c r="G24" i="85"/>
  <c r="H23" i="85"/>
  <c r="G23" i="85"/>
  <c r="H22" i="85"/>
  <c r="G22" i="85"/>
  <c r="H21" i="85"/>
  <c r="G21" i="85"/>
  <c r="H20" i="85"/>
  <c r="G20" i="85"/>
  <c r="H19" i="85"/>
  <c r="G19" i="85"/>
  <c r="H18" i="85"/>
  <c r="G18" i="85"/>
  <c r="H17" i="85"/>
  <c r="G17" i="85"/>
  <c r="H16" i="85"/>
  <c r="G16" i="85"/>
  <c r="H15" i="85"/>
  <c r="G15" i="85"/>
  <c r="H14" i="85"/>
  <c r="G14" i="85"/>
  <c r="H13" i="85"/>
  <c r="G13" i="85"/>
  <c r="H12" i="85"/>
  <c r="G12" i="85"/>
  <c r="H27" i="86"/>
  <c r="G27" i="86"/>
  <c r="H26" i="86"/>
  <c r="G26" i="86"/>
  <c r="H25" i="86"/>
  <c r="G25" i="86"/>
  <c r="H24" i="86"/>
  <c r="G24" i="86"/>
  <c r="H23" i="86"/>
  <c r="G23" i="86"/>
  <c r="H22" i="86"/>
  <c r="G22" i="86"/>
  <c r="H21" i="86"/>
  <c r="G21" i="86"/>
  <c r="H20" i="86"/>
  <c r="G20" i="86"/>
  <c r="H19" i="86"/>
  <c r="G19" i="86"/>
  <c r="H18" i="86"/>
  <c r="G18" i="86"/>
  <c r="H17" i="86"/>
  <c r="G17" i="86"/>
  <c r="H16" i="86"/>
  <c r="G16" i="86"/>
  <c r="H15" i="86"/>
  <c r="G15" i="86"/>
  <c r="H14" i="86"/>
  <c r="G14" i="86"/>
  <c r="H13" i="86"/>
  <c r="G13" i="86"/>
  <c r="H12" i="86"/>
  <c r="G12" i="86"/>
  <c r="H27" i="87"/>
  <c r="G27" i="87"/>
  <c r="H26" i="87"/>
  <c r="G26" i="87"/>
  <c r="H25" i="87"/>
  <c r="G25" i="87"/>
  <c r="H24" i="87"/>
  <c r="G24" i="87"/>
  <c r="H23" i="87"/>
  <c r="G23" i="87"/>
  <c r="H22" i="87"/>
  <c r="G22" i="87"/>
  <c r="H21" i="87"/>
  <c r="G21" i="87"/>
  <c r="H20" i="87"/>
  <c r="G20" i="87"/>
  <c r="H19" i="87"/>
  <c r="G19" i="87"/>
  <c r="H18" i="87"/>
  <c r="G18" i="87"/>
  <c r="H17" i="87"/>
  <c r="G17" i="87"/>
  <c r="H16" i="87"/>
  <c r="G16" i="87"/>
  <c r="H15" i="87"/>
  <c r="G15" i="87"/>
  <c r="H14" i="87"/>
  <c r="G14" i="87"/>
  <c r="H13" i="87"/>
  <c r="G13" i="87"/>
  <c r="H12" i="87"/>
  <c r="G12" i="87"/>
  <c r="H27" i="88"/>
  <c r="G27" i="88"/>
  <c r="H26" i="88"/>
  <c r="G26" i="88"/>
  <c r="H25" i="88"/>
  <c r="G25" i="88"/>
  <c r="H24" i="88"/>
  <c r="G24" i="88"/>
  <c r="H23" i="88"/>
  <c r="G23" i="88"/>
  <c r="H22" i="88"/>
  <c r="G22" i="88"/>
  <c r="H21" i="88"/>
  <c r="G21" i="88"/>
  <c r="H20" i="88"/>
  <c r="G20" i="88"/>
  <c r="H19" i="88"/>
  <c r="G19" i="88"/>
  <c r="H18" i="88"/>
  <c r="G18" i="88"/>
  <c r="H17" i="88"/>
  <c r="G17" i="88"/>
  <c r="H16" i="88"/>
  <c r="G16" i="88"/>
  <c r="H15" i="88"/>
  <c r="G15" i="88"/>
  <c r="H14" i="88"/>
  <c r="G14" i="88"/>
  <c r="H13" i="88"/>
  <c r="G13" i="88"/>
  <c r="H12" i="88"/>
  <c r="G12" i="88"/>
  <c r="H27" i="89"/>
  <c r="G27" i="89"/>
  <c r="H26" i="89"/>
  <c r="G26" i="89"/>
  <c r="H25" i="89"/>
  <c r="G25" i="89"/>
  <c r="H24" i="89"/>
  <c r="G24" i="89"/>
  <c r="H23" i="89"/>
  <c r="G23" i="89"/>
  <c r="H22" i="89"/>
  <c r="G22" i="89"/>
  <c r="H21" i="89"/>
  <c r="G21" i="89"/>
  <c r="H20" i="89"/>
  <c r="G20" i="89"/>
  <c r="H19" i="89"/>
  <c r="G19" i="89"/>
  <c r="H18" i="89"/>
  <c r="G18" i="89"/>
  <c r="H17" i="89"/>
  <c r="G17" i="89"/>
  <c r="H16" i="89"/>
  <c r="G16" i="89"/>
  <c r="H15" i="89"/>
  <c r="G15" i="89"/>
  <c r="H14" i="89"/>
  <c r="G14" i="89"/>
  <c r="H13" i="89"/>
  <c r="G13" i="89"/>
  <c r="H12" i="89"/>
  <c r="G12" i="89"/>
  <c r="H27" i="90"/>
  <c r="G27" i="90"/>
  <c r="H26" i="90"/>
  <c r="G26" i="90"/>
  <c r="H25" i="90"/>
  <c r="G25" i="90"/>
  <c r="H24" i="90"/>
  <c r="G24" i="90"/>
  <c r="H23" i="90"/>
  <c r="G23" i="90"/>
  <c r="H22" i="90"/>
  <c r="G22" i="90"/>
  <c r="H21" i="90"/>
  <c r="G21" i="90"/>
  <c r="H20" i="90"/>
  <c r="G20" i="90"/>
  <c r="H19" i="90"/>
  <c r="G19" i="90"/>
  <c r="H18" i="90"/>
  <c r="G18" i="90"/>
  <c r="H17" i="90"/>
  <c r="G17" i="90"/>
  <c r="H16" i="90"/>
  <c r="G16" i="90"/>
  <c r="H15" i="90"/>
  <c r="G15" i="90"/>
  <c r="H14" i="90"/>
  <c r="G14" i="90"/>
  <c r="H13" i="90"/>
  <c r="G13" i="90"/>
  <c r="H12" i="90"/>
  <c r="G12" i="90"/>
  <c r="H27" i="91"/>
  <c r="G27" i="91"/>
  <c r="H26" i="91"/>
  <c r="G26" i="91"/>
  <c r="H25" i="91"/>
  <c r="G25" i="91"/>
  <c r="H24" i="91"/>
  <c r="G24" i="91"/>
  <c r="H23" i="91"/>
  <c r="G23" i="91"/>
  <c r="H22" i="91"/>
  <c r="G22" i="91"/>
  <c r="H21" i="91"/>
  <c r="G21" i="91"/>
  <c r="H20" i="91"/>
  <c r="G20" i="91"/>
  <c r="H19" i="91"/>
  <c r="G19" i="91"/>
  <c r="H18" i="91"/>
  <c r="G18" i="91"/>
  <c r="H17" i="91"/>
  <c r="G17" i="91"/>
  <c r="H16" i="91"/>
  <c r="G16" i="91"/>
  <c r="H15" i="91"/>
  <c r="G15" i="91"/>
  <c r="H14" i="91"/>
  <c r="G14" i="91"/>
  <c r="H13" i="91"/>
  <c r="G13" i="91"/>
  <c r="H12" i="91"/>
  <c r="G12" i="91"/>
  <c r="H27" i="92"/>
  <c r="G27" i="92"/>
  <c r="H26" i="92"/>
  <c r="G26" i="92"/>
  <c r="H25" i="92"/>
  <c r="G25" i="92"/>
  <c r="H24" i="92"/>
  <c r="G24" i="92"/>
  <c r="H23" i="92"/>
  <c r="G23" i="92"/>
  <c r="H22" i="92"/>
  <c r="G22" i="92"/>
  <c r="H21" i="92"/>
  <c r="G21" i="92"/>
  <c r="H20" i="92"/>
  <c r="G20" i="92"/>
  <c r="H19" i="92"/>
  <c r="G19" i="92"/>
  <c r="H18" i="92"/>
  <c r="G18" i="92"/>
  <c r="H17" i="92"/>
  <c r="G17" i="92"/>
  <c r="H16" i="92"/>
  <c r="G16" i="92"/>
  <c r="H15" i="92"/>
  <c r="G15" i="92"/>
  <c r="H14" i="92"/>
  <c r="G14" i="92"/>
  <c r="H13" i="92"/>
  <c r="G13" i="92"/>
  <c r="H12" i="92"/>
  <c r="G12" i="92"/>
  <c r="H27" i="93"/>
  <c r="G27" i="93"/>
  <c r="H26" i="93"/>
  <c r="G26" i="93"/>
  <c r="H25" i="93"/>
  <c r="G25" i="93"/>
  <c r="H24" i="93"/>
  <c r="G24" i="93"/>
  <c r="H23" i="93"/>
  <c r="G23" i="93"/>
  <c r="H22" i="93"/>
  <c r="G22" i="93"/>
  <c r="H21" i="93"/>
  <c r="G21" i="93"/>
  <c r="H20" i="93"/>
  <c r="G20" i="93"/>
  <c r="H19" i="93"/>
  <c r="G19" i="93"/>
  <c r="H18" i="93"/>
  <c r="G18" i="93"/>
  <c r="H17" i="93"/>
  <c r="G17" i="93"/>
  <c r="H16" i="93"/>
  <c r="G16" i="93"/>
  <c r="H15" i="93"/>
  <c r="G15" i="93"/>
  <c r="H14" i="93"/>
  <c r="G14" i="93"/>
  <c r="H13" i="93"/>
  <c r="G13" i="93"/>
  <c r="H12" i="93"/>
  <c r="G12" i="93"/>
  <c r="H27" i="94"/>
  <c r="G27" i="94"/>
  <c r="H26" i="94"/>
  <c r="G26" i="94"/>
  <c r="H25" i="94"/>
  <c r="G25" i="94"/>
  <c r="H24" i="94"/>
  <c r="G24" i="94"/>
  <c r="H23" i="94"/>
  <c r="G23" i="94"/>
  <c r="H22" i="94"/>
  <c r="G22" i="94"/>
  <c r="H21" i="94"/>
  <c r="G21" i="94"/>
  <c r="H20" i="94"/>
  <c r="G20" i="94"/>
  <c r="H19" i="94"/>
  <c r="G19" i="94"/>
  <c r="H18" i="94"/>
  <c r="G18" i="94"/>
  <c r="H17" i="94"/>
  <c r="G17" i="94"/>
  <c r="H16" i="94"/>
  <c r="G16" i="94"/>
  <c r="H15" i="94"/>
  <c r="G15" i="94"/>
  <c r="H14" i="94"/>
  <c r="G14" i="94"/>
  <c r="H13" i="94"/>
  <c r="G13" i="94"/>
  <c r="H12" i="94"/>
  <c r="G12" i="94"/>
  <c r="H27" i="95"/>
  <c r="G27" i="95"/>
  <c r="H26" i="95"/>
  <c r="G26" i="95"/>
  <c r="H25" i="95"/>
  <c r="G25" i="95"/>
  <c r="H24" i="95"/>
  <c r="G24" i="95"/>
  <c r="H23" i="95"/>
  <c r="G23" i="95"/>
  <c r="H22" i="95"/>
  <c r="G22" i="95"/>
  <c r="H21" i="95"/>
  <c r="G21" i="95"/>
  <c r="H20" i="95"/>
  <c r="G20" i="95"/>
  <c r="H19" i="95"/>
  <c r="G19" i="95"/>
  <c r="H18" i="95"/>
  <c r="G18" i="95"/>
  <c r="H17" i="95"/>
  <c r="G17" i="95"/>
  <c r="H16" i="95"/>
  <c r="G16" i="95"/>
  <c r="H15" i="95"/>
  <c r="G15" i="95"/>
  <c r="H14" i="95"/>
  <c r="G14" i="95"/>
  <c r="H13" i="95"/>
  <c r="G13" i="95"/>
  <c r="H12" i="95"/>
  <c r="G12" i="95"/>
  <c r="H27" i="96"/>
  <c r="G27" i="96"/>
  <c r="H26" i="96"/>
  <c r="G26" i="96"/>
  <c r="H25" i="96"/>
  <c r="G25" i="96"/>
  <c r="H24" i="96"/>
  <c r="G24" i="96"/>
  <c r="H23" i="96"/>
  <c r="G23" i="96"/>
  <c r="H22" i="96"/>
  <c r="G22" i="96"/>
  <c r="H21" i="96"/>
  <c r="G21" i="96"/>
  <c r="H20" i="96"/>
  <c r="G20" i="96"/>
  <c r="H19" i="96"/>
  <c r="G19" i="96"/>
  <c r="H18" i="96"/>
  <c r="G18" i="96"/>
  <c r="H17" i="96"/>
  <c r="G17" i="96"/>
  <c r="H16" i="96"/>
  <c r="G16" i="96"/>
  <c r="H15" i="96"/>
  <c r="G15" i="96"/>
  <c r="H14" i="96"/>
  <c r="G14" i="96"/>
  <c r="H13" i="96"/>
  <c r="G13" i="96"/>
  <c r="H12" i="96"/>
  <c r="G12" i="96"/>
  <c r="H27" i="97"/>
  <c r="G27" i="97"/>
  <c r="H26" i="97"/>
  <c r="G26" i="97"/>
  <c r="H25" i="97"/>
  <c r="G25" i="97"/>
  <c r="H24" i="97"/>
  <c r="G24" i="97"/>
  <c r="H23" i="97"/>
  <c r="G23" i="97"/>
  <c r="H22" i="97"/>
  <c r="G22" i="97"/>
  <c r="H21" i="97"/>
  <c r="G21" i="97"/>
  <c r="H20" i="97"/>
  <c r="G20" i="97"/>
  <c r="H19" i="97"/>
  <c r="G19" i="97"/>
  <c r="H18" i="97"/>
  <c r="G18" i="97"/>
  <c r="H17" i="97"/>
  <c r="G17" i="97"/>
  <c r="H16" i="97"/>
  <c r="G16" i="97"/>
  <c r="H15" i="97"/>
  <c r="G15" i="97"/>
  <c r="H14" i="97"/>
  <c r="G14" i="97"/>
  <c r="H13" i="97"/>
  <c r="G13" i="97"/>
  <c r="H12" i="97"/>
  <c r="G12" i="97"/>
  <c r="H27" i="98"/>
  <c r="G27" i="98"/>
  <c r="H26" i="98"/>
  <c r="G26" i="98"/>
  <c r="H25" i="98"/>
  <c r="G25" i="98"/>
  <c r="H24" i="98"/>
  <c r="G24" i="98"/>
  <c r="H23" i="98"/>
  <c r="G23" i="98"/>
  <c r="H22" i="98"/>
  <c r="G22" i="98"/>
  <c r="H21" i="98"/>
  <c r="G21" i="98"/>
  <c r="H20" i="98"/>
  <c r="G20" i="98"/>
  <c r="H19" i="98"/>
  <c r="G19" i="98"/>
  <c r="H18" i="98"/>
  <c r="G18" i="98"/>
  <c r="H17" i="98"/>
  <c r="G17" i="98"/>
  <c r="H16" i="98"/>
  <c r="G16" i="98"/>
  <c r="H15" i="98"/>
  <c r="G15" i="98"/>
  <c r="H14" i="98"/>
  <c r="G14" i="98"/>
  <c r="H13" i="98"/>
  <c r="G13" i="98"/>
  <c r="H12" i="98"/>
  <c r="G12" i="98"/>
  <c r="H27" i="99"/>
  <c r="G27" i="99"/>
  <c r="H26" i="99"/>
  <c r="G26" i="99"/>
  <c r="H25" i="99"/>
  <c r="G25" i="99"/>
  <c r="H24" i="99"/>
  <c r="G24" i="99"/>
  <c r="H23" i="99"/>
  <c r="G23" i="99"/>
  <c r="H22" i="99"/>
  <c r="G22" i="99"/>
  <c r="H21" i="99"/>
  <c r="G21" i="99"/>
  <c r="H20" i="99"/>
  <c r="G20" i="99"/>
  <c r="H19" i="99"/>
  <c r="G19" i="99"/>
  <c r="H18" i="99"/>
  <c r="G18" i="99"/>
  <c r="H17" i="99"/>
  <c r="G17" i="99"/>
  <c r="H16" i="99"/>
  <c r="G16" i="99"/>
  <c r="H15" i="99"/>
  <c r="G15" i="99"/>
  <c r="H14" i="99"/>
  <c r="G14" i="99"/>
  <c r="H13" i="99"/>
  <c r="G13" i="99"/>
  <c r="H12" i="99"/>
  <c r="G12" i="99"/>
  <c r="H27" i="100"/>
  <c r="G27" i="100"/>
  <c r="H26" i="100"/>
  <c r="G26" i="100"/>
  <c r="H25" i="100"/>
  <c r="G25" i="100"/>
  <c r="H24" i="100"/>
  <c r="G24" i="100"/>
  <c r="H23" i="100"/>
  <c r="G23" i="100"/>
  <c r="H22" i="100"/>
  <c r="G22" i="100"/>
  <c r="H21" i="100"/>
  <c r="G21" i="100"/>
  <c r="H20" i="100"/>
  <c r="G20" i="100"/>
  <c r="H19" i="100"/>
  <c r="G19" i="100"/>
  <c r="H18" i="100"/>
  <c r="G18" i="100"/>
  <c r="H17" i="100"/>
  <c r="G17" i="100"/>
  <c r="H16" i="100"/>
  <c r="G16" i="100"/>
  <c r="H15" i="100"/>
  <c r="G15" i="100"/>
  <c r="H14" i="100"/>
  <c r="G14" i="100"/>
  <c r="H13" i="100"/>
  <c r="G13" i="100"/>
  <c r="H12" i="100"/>
  <c r="G12" i="100"/>
  <c r="H27" i="101"/>
  <c r="G27" i="101"/>
  <c r="H26" i="101"/>
  <c r="G26" i="101"/>
  <c r="H25" i="101"/>
  <c r="G25" i="101"/>
  <c r="H24" i="101"/>
  <c r="G24" i="101"/>
  <c r="H23" i="101"/>
  <c r="G23" i="101"/>
  <c r="H22" i="101"/>
  <c r="G22" i="101"/>
  <c r="H21" i="101"/>
  <c r="G21" i="101"/>
  <c r="H20" i="101"/>
  <c r="G20" i="101"/>
  <c r="H19" i="101"/>
  <c r="G19" i="101"/>
  <c r="H18" i="101"/>
  <c r="G18" i="101"/>
  <c r="H17" i="101"/>
  <c r="G17" i="101"/>
  <c r="H16" i="101"/>
  <c r="G16" i="101"/>
  <c r="H15" i="101"/>
  <c r="G15" i="101"/>
  <c r="H14" i="101"/>
  <c r="G14" i="101"/>
  <c r="H13" i="101"/>
  <c r="G13" i="101"/>
  <c r="H12" i="101"/>
  <c r="G12" i="101"/>
  <c r="H27" i="102"/>
  <c r="G27" i="102"/>
  <c r="H26" i="102"/>
  <c r="G26" i="102"/>
  <c r="H25" i="102"/>
  <c r="G25" i="102"/>
  <c r="H24" i="102"/>
  <c r="G24" i="102"/>
  <c r="H23" i="102"/>
  <c r="G23" i="102"/>
  <c r="H22" i="102"/>
  <c r="G22" i="102"/>
  <c r="H21" i="102"/>
  <c r="G21" i="102"/>
  <c r="H20" i="102"/>
  <c r="G20" i="102"/>
  <c r="H19" i="102"/>
  <c r="G19" i="102"/>
  <c r="H18" i="102"/>
  <c r="G18" i="102"/>
  <c r="H17" i="102"/>
  <c r="G17" i="102"/>
  <c r="H16" i="102"/>
  <c r="G16" i="102"/>
  <c r="H15" i="102"/>
  <c r="G15" i="102"/>
  <c r="H14" i="102"/>
  <c r="G14" i="102"/>
  <c r="H13" i="102"/>
  <c r="G13" i="102"/>
  <c r="H12" i="102"/>
  <c r="G12" i="102"/>
  <c r="H27" i="103"/>
  <c r="G27" i="103"/>
  <c r="H26" i="103"/>
  <c r="G26" i="103"/>
  <c r="H25" i="103"/>
  <c r="G25" i="103"/>
  <c r="H24" i="103"/>
  <c r="G24" i="103"/>
  <c r="H23" i="103"/>
  <c r="G23" i="103"/>
  <c r="H22" i="103"/>
  <c r="G22" i="103"/>
  <c r="H21" i="103"/>
  <c r="G21" i="103"/>
  <c r="H20" i="103"/>
  <c r="G20" i="103"/>
  <c r="H19" i="103"/>
  <c r="G19" i="103"/>
  <c r="H18" i="103"/>
  <c r="G18" i="103"/>
  <c r="H17" i="103"/>
  <c r="G17" i="103"/>
  <c r="H16" i="103"/>
  <c r="G16" i="103"/>
  <c r="H15" i="103"/>
  <c r="G15" i="103"/>
  <c r="H14" i="103"/>
  <c r="G14" i="103"/>
  <c r="H13" i="103"/>
  <c r="G13" i="103"/>
  <c r="H12" i="103"/>
  <c r="G12" i="103"/>
  <c r="H27" i="104"/>
  <c r="G27" i="104"/>
  <c r="H26" i="104"/>
  <c r="G26" i="104"/>
  <c r="H25" i="104"/>
  <c r="G25" i="104"/>
  <c r="H24" i="104"/>
  <c r="G24" i="104"/>
  <c r="H23" i="104"/>
  <c r="G23" i="104"/>
  <c r="H22" i="104"/>
  <c r="G22" i="104"/>
  <c r="H21" i="104"/>
  <c r="G21" i="104"/>
  <c r="H20" i="104"/>
  <c r="G20" i="104"/>
  <c r="H19" i="104"/>
  <c r="G19" i="104"/>
  <c r="H18" i="104"/>
  <c r="G18" i="104"/>
  <c r="H17" i="104"/>
  <c r="G17" i="104"/>
  <c r="H16" i="104"/>
  <c r="G16" i="104"/>
  <c r="H15" i="104"/>
  <c r="G15" i="104"/>
  <c r="H14" i="104"/>
  <c r="G14" i="104"/>
  <c r="H13" i="104"/>
  <c r="G13" i="104"/>
  <c r="H12" i="104"/>
  <c r="G12" i="104"/>
  <c r="H27" i="105"/>
  <c r="G27" i="105"/>
  <c r="H26" i="105"/>
  <c r="G26" i="105"/>
  <c r="H25" i="105"/>
  <c r="G25" i="105"/>
  <c r="H24" i="105"/>
  <c r="G24" i="105"/>
  <c r="H23" i="105"/>
  <c r="G23" i="105"/>
  <c r="H22" i="105"/>
  <c r="G22" i="105"/>
  <c r="H21" i="105"/>
  <c r="G21" i="105"/>
  <c r="H20" i="105"/>
  <c r="G20" i="105"/>
  <c r="H19" i="105"/>
  <c r="G19" i="105"/>
  <c r="H18" i="105"/>
  <c r="G18" i="105"/>
  <c r="H17" i="105"/>
  <c r="G17" i="105"/>
  <c r="H16" i="105"/>
  <c r="G16" i="105"/>
  <c r="H15" i="105"/>
  <c r="G15" i="105"/>
  <c r="H14" i="105"/>
  <c r="G14" i="105"/>
  <c r="H13" i="105"/>
  <c r="G13" i="105"/>
  <c r="H12" i="105"/>
  <c r="G12" i="105"/>
  <c r="H27" i="107"/>
  <c r="G27" i="107"/>
  <c r="H26" i="107"/>
  <c r="G26" i="107"/>
  <c r="H25" i="107"/>
  <c r="G25" i="107"/>
  <c r="H24" i="107"/>
  <c r="G24" i="107"/>
  <c r="H23" i="107"/>
  <c r="G23" i="107"/>
  <c r="H22" i="107"/>
  <c r="G22" i="107"/>
  <c r="H21" i="107"/>
  <c r="G21" i="107"/>
  <c r="H20" i="107"/>
  <c r="G20" i="107"/>
  <c r="H19" i="107"/>
  <c r="G19" i="107"/>
  <c r="H18" i="107"/>
  <c r="G18" i="107"/>
  <c r="H17" i="107"/>
  <c r="G17" i="107"/>
  <c r="H16" i="107"/>
  <c r="G16" i="107"/>
  <c r="H15" i="107"/>
  <c r="G15" i="107"/>
  <c r="H14" i="107"/>
  <c r="G14" i="107"/>
  <c r="H13" i="107"/>
  <c r="G13" i="107"/>
  <c r="H12" i="107"/>
  <c r="G12" i="107"/>
  <c r="I7" i="58"/>
  <c r="I6" i="58"/>
  <c r="I7" i="59"/>
  <c r="I6" i="59"/>
  <c r="I7" i="60"/>
  <c r="I6" i="60"/>
  <c r="I7" i="61"/>
  <c r="I6" i="61"/>
  <c r="I7" i="62"/>
  <c r="I6" i="62"/>
  <c r="I7" i="63"/>
  <c r="I6" i="63"/>
  <c r="I7" i="64"/>
  <c r="I6" i="64"/>
  <c r="I7" i="65"/>
  <c r="I6" i="65"/>
  <c r="I7" i="66"/>
  <c r="I6" i="66"/>
  <c r="I7" i="67"/>
  <c r="I6" i="67"/>
  <c r="I7" i="68"/>
  <c r="I6" i="68"/>
  <c r="I7" i="108"/>
  <c r="I6" i="108"/>
  <c r="I7" i="69"/>
  <c r="I6" i="69"/>
  <c r="I7" i="70"/>
  <c r="I6" i="70"/>
  <c r="I7" i="71"/>
  <c r="I6" i="71"/>
  <c r="I7" i="72"/>
  <c r="I6" i="72"/>
  <c r="I7" i="73"/>
  <c r="I6" i="73"/>
  <c r="I7" i="74"/>
  <c r="I6" i="74"/>
  <c r="I7" i="75"/>
  <c r="I6" i="75"/>
  <c r="I7" i="76"/>
  <c r="I6" i="76"/>
  <c r="I7" i="77"/>
  <c r="I6" i="77"/>
  <c r="I7" i="78"/>
  <c r="I6" i="78"/>
  <c r="I7" i="79"/>
  <c r="I6" i="79"/>
  <c r="I7" i="80"/>
  <c r="I6" i="80"/>
  <c r="I7" i="81"/>
  <c r="I6" i="81"/>
  <c r="I7" i="82"/>
  <c r="I6" i="82"/>
  <c r="I7" i="83"/>
  <c r="I6" i="83"/>
  <c r="I7" i="84"/>
  <c r="I6" i="84"/>
  <c r="I7" i="85"/>
  <c r="I6" i="85"/>
  <c r="I7" i="86"/>
  <c r="I6" i="86"/>
  <c r="I7" i="87"/>
  <c r="I6" i="87"/>
  <c r="I7" i="88"/>
  <c r="I6" i="88"/>
  <c r="I7" i="89"/>
  <c r="I6" i="89"/>
  <c r="I7" i="90"/>
  <c r="I6" i="90"/>
  <c r="I7" i="91"/>
  <c r="I6" i="91"/>
  <c r="I7" i="92"/>
  <c r="I6" i="92"/>
  <c r="I7" i="93"/>
  <c r="I6" i="93"/>
  <c r="I7" i="94"/>
  <c r="I6" i="94"/>
  <c r="I7" i="95"/>
  <c r="I6" i="95"/>
  <c r="I7" i="96"/>
  <c r="I6" i="96"/>
  <c r="I7" i="97"/>
  <c r="I6" i="97"/>
  <c r="I7" i="98"/>
  <c r="I6" i="98"/>
  <c r="I7" i="99"/>
  <c r="I6" i="99"/>
  <c r="I7" i="100"/>
  <c r="I6" i="100"/>
  <c r="I7" i="101"/>
  <c r="I6" i="101"/>
  <c r="I7" i="102"/>
  <c r="I6" i="102"/>
  <c r="I7" i="103"/>
  <c r="I6" i="103"/>
  <c r="I7" i="104"/>
  <c r="I6" i="104"/>
  <c r="I7" i="105"/>
  <c r="I6" i="105"/>
  <c r="I7" i="107"/>
  <c r="I6" i="107"/>
  <c r="E6" i="58"/>
  <c r="E6" i="59"/>
  <c r="E6" i="60"/>
  <c r="E6" i="61"/>
  <c r="E6" i="62"/>
  <c r="E6" i="63"/>
  <c r="E6" i="64"/>
  <c r="E6" i="65"/>
  <c r="E6" i="66"/>
  <c r="E6" i="67"/>
  <c r="E6" i="68"/>
  <c r="E6" i="108"/>
  <c r="E6" i="69"/>
  <c r="E6" i="70"/>
  <c r="E6" i="71"/>
  <c r="E6" i="72"/>
  <c r="E6" i="73"/>
  <c r="E6" i="74"/>
  <c r="E6" i="75"/>
  <c r="E6" i="76"/>
  <c r="E6" i="77"/>
  <c r="E6" i="78"/>
  <c r="E6" i="79"/>
  <c r="E6" i="80"/>
  <c r="E6" i="81"/>
  <c r="E6" i="82"/>
  <c r="E6" i="83"/>
  <c r="E6" i="84"/>
  <c r="E6" i="85"/>
  <c r="E6" i="86"/>
  <c r="E6" i="87"/>
  <c r="E6" i="88"/>
  <c r="E6" i="89"/>
  <c r="E6" i="90"/>
  <c r="E6" i="91"/>
  <c r="E6" i="92"/>
  <c r="E6" i="93"/>
  <c r="E6" i="94"/>
  <c r="E6" i="95"/>
  <c r="E6" i="96"/>
  <c r="E6" i="97"/>
  <c r="E6" i="98"/>
  <c r="E6" i="99"/>
  <c r="E6" i="100"/>
  <c r="E6" i="101"/>
  <c r="E6" i="102"/>
  <c r="E6" i="103"/>
  <c r="E6" i="104"/>
  <c r="E6" i="105"/>
  <c r="E6" i="107"/>
  <c r="H27" i="2"/>
  <c r="G27" i="2"/>
  <c r="H26" i="2"/>
  <c r="G26" i="2"/>
  <c r="H25" i="2"/>
  <c r="G25" i="2"/>
  <c r="H24" i="2"/>
  <c r="G24" i="2"/>
  <c r="H23" i="2"/>
  <c r="G23" i="2"/>
  <c r="H22" i="2"/>
  <c r="G22" i="2"/>
  <c r="H21" i="2"/>
  <c r="G21" i="2"/>
  <c r="H20" i="2"/>
  <c r="G20" i="2"/>
  <c r="H19" i="2"/>
  <c r="G19" i="2"/>
  <c r="H18" i="2"/>
  <c r="G18" i="2"/>
  <c r="H17" i="2"/>
  <c r="G17" i="2"/>
  <c r="H16" i="2"/>
  <c r="G16" i="2"/>
  <c r="H15" i="2"/>
  <c r="G15" i="2"/>
  <c r="H14" i="2"/>
  <c r="G14" i="2"/>
  <c r="H13" i="2"/>
  <c r="G13" i="2"/>
  <c r="G12" i="2"/>
  <c r="H12" i="2"/>
  <c r="I7" i="2"/>
  <c r="I6" i="2"/>
  <c r="E6" i="2"/>
  <c r="D14" i="106"/>
  <c r="D74" i="106" s="1"/>
  <c r="Q73" i="57"/>
  <c r="M58" i="57"/>
  <c r="O8" i="2" l="1"/>
  <c r="Q6" i="57"/>
  <c r="Y78" i="61"/>
  <c r="O9" i="2" l="1"/>
  <c r="O7" i="2"/>
  <c r="E98" i="67"/>
  <c r="E128" i="56" s="1"/>
  <c r="E98" i="66"/>
  <c r="C28" i="111" l="1"/>
  <c r="D28" i="111"/>
  <c r="E17" i="111" s="1"/>
  <c r="I17" i="111" s="1"/>
  <c r="J17" i="111" s="1"/>
  <c r="E22" i="111"/>
  <c r="I22" i="111" s="1"/>
  <c r="J22" i="111" s="1"/>
  <c r="E24" i="111"/>
  <c r="I24" i="111" s="1"/>
  <c r="J24" i="111" s="1"/>
  <c r="E26" i="111"/>
  <c r="I26" i="111" s="1"/>
  <c r="J26" i="111" s="1"/>
  <c r="E15" i="111"/>
  <c r="I15" i="111" s="1"/>
  <c r="J15" i="111" s="1"/>
  <c r="E16" i="111"/>
  <c r="I16" i="111" s="1"/>
  <c r="E18" i="111"/>
  <c r="I18" i="111" s="1"/>
  <c r="J18" i="111" s="1"/>
  <c r="E13" i="111"/>
  <c r="I13" i="111" s="1"/>
  <c r="J13" i="111" s="1"/>
  <c r="E25" i="111"/>
  <c r="I25" i="111" s="1"/>
  <c r="J25" i="111" s="1"/>
  <c r="D28" i="70"/>
  <c r="C28" i="64"/>
  <c r="C28" i="67"/>
  <c r="D28" i="60"/>
  <c r="C28" i="104"/>
  <c r="C28" i="62"/>
  <c r="D28" i="96"/>
  <c r="C28" i="93"/>
  <c r="C28" i="96"/>
  <c r="D28" i="104"/>
  <c r="D28" i="83"/>
  <c r="C28" i="83"/>
  <c r="C28" i="100"/>
  <c r="D28" i="75"/>
  <c r="C28" i="60"/>
  <c r="C28" i="74"/>
  <c r="D28" i="86"/>
  <c r="D28" i="105"/>
  <c r="D28" i="100"/>
  <c r="C28" i="102"/>
  <c r="D28" i="66"/>
  <c r="C28" i="66"/>
  <c r="C28" i="78"/>
  <c r="D28" i="80"/>
  <c r="C28" i="107"/>
  <c r="D28" i="108"/>
  <c r="C28" i="95"/>
  <c r="D28" i="107"/>
  <c r="C28" i="89"/>
  <c r="D28" i="82"/>
  <c r="C28" i="88"/>
  <c r="D28" i="97"/>
  <c r="D28" i="68"/>
  <c r="C28" i="86"/>
  <c r="C28" i="77"/>
  <c r="C28" i="108"/>
  <c r="D28" i="65"/>
  <c r="C28" i="82"/>
  <c r="D28" i="88"/>
  <c r="C28" i="103"/>
  <c r="D28" i="90"/>
  <c r="D28" i="72"/>
  <c r="C28" i="80"/>
  <c r="C28" i="63"/>
  <c r="C28" i="75"/>
  <c r="D28" i="63"/>
  <c r="C28" i="59"/>
  <c r="D28" i="89"/>
  <c r="C28" i="90"/>
  <c r="D28" i="103"/>
  <c r="C28" i="97"/>
  <c r="C28" i="99"/>
  <c r="C28" i="94"/>
  <c r="C28" i="69"/>
  <c r="C28" i="101"/>
  <c r="D28" i="98"/>
  <c r="D28" i="87"/>
  <c r="D28" i="64"/>
  <c r="D28" i="84"/>
  <c r="C28" i="105"/>
  <c r="D28" i="102"/>
  <c r="C28" i="98"/>
  <c r="D28" i="73"/>
  <c r="C28" i="70"/>
  <c r="D28" i="81"/>
  <c r="C28" i="71"/>
  <c r="D28" i="93"/>
  <c r="C28" i="87"/>
  <c r="D28" i="91"/>
  <c r="C28" i="84"/>
  <c r="D28" i="67"/>
  <c r="D28" i="85"/>
  <c r="D28" i="62"/>
  <c r="D28" i="76"/>
  <c r="D28" i="59"/>
  <c r="C28" i="91"/>
  <c r="D28" i="99"/>
  <c r="C28" i="81"/>
  <c r="C28" i="79"/>
  <c r="D28" i="101"/>
  <c r="C28" i="92"/>
  <c r="D28" i="61"/>
  <c r="C28" i="85"/>
  <c r="C28" i="68"/>
  <c r="D28" i="77"/>
  <c r="E26" i="77" s="1"/>
  <c r="D28" i="78"/>
  <c r="D28" i="95"/>
  <c r="C28" i="76"/>
  <c r="D28" i="79"/>
  <c r="D28" i="74"/>
  <c r="C28" i="73"/>
  <c r="C28" i="72"/>
  <c r="D28" i="94"/>
  <c r="D28" i="69"/>
  <c r="D28" i="71"/>
  <c r="C28" i="65"/>
  <c r="D28" i="92"/>
  <c r="C28" i="61"/>
  <c r="E20" i="111" l="1"/>
  <c r="I20" i="111" s="1"/>
  <c r="J20" i="111" s="1"/>
  <c r="E23" i="111"/>
  <c r="I23" i="111" s="1"/>
  <c r="J23" i="111" s="1"/>
  <c r="E21" i="111"/>
  <c r="I21" i="111" s="1"/>
  <c r="J21" i="111" s="1"/>
  <c r="E14" i="111"/>
  <c r="I14" i="111" s="1"/>
  <c r="E27" i="111"/>
  <c r="I27" i="111" s="1"/>
  <c r="J27" i="111" s="1"/>
  <c r="E19" i="111"/>
  <c r="I19" i="111" s="1"/>
  <c r="J19" i="111" s="1"/>
  <c r="E12" i="111"/>
  <c r="D29" i="56"/>
  <c r="C29" i="56"/>
  <c r="J16" i="111"/>
  <c r="J14" i="111"/>
  <c r="K58" i="57"/>
  <c r="V32" i="101"/>
  <c r="T55" i="100"/>
  <c r="B91" i="111" l="1"/>
  <c r="I91" i="111" s="1"/>
  <c r="B92" i="111"/>
  <c r="I92" i="111" s="1"/>
  <c r="E28" i="111"/>
  <c r="E59" i="111" s="1"/>
  <c r="I60" i="111" s="1"/>
  <c r="I72" i="111" s="1"/>
  <c r="J72" i="111" s="1"/>
  <c r="I12" i="111"/>
  <c r="J12" i="111" s="1"/>
  <c r="J28" i="111" s="1"/>
  <c r="J33" i="111" s="1"/>
  <c r="E62" i="111"/>
  <c r="I63" i="111" s="1"/>
  <c r="I68" i="111" s="1"/>
  <c r="J68" i="111" s="1"/>
  <c r="E53" i="111"/>
  <c r="I54" i="111" s="1"/>
  <c r="E65" i="111"/>
  <c r="I66" i="111" s="1"/>
  <c r="I71" i="111" s="1"/>
  <c r="J71" i="111" s="1"/>
  <c r="T97" i="62"/>
  <c r="E98" i="62"/>
  <c r="T97" i="68"/>
  <c r="T97" i="67"/>
  <c r="T97" i="66"/>
  <c r="I28" i="111" l="1"/>
  <c r="G33" i="111" s="1"/>
  <c r="E56" i="111" s="1"/>
  <c r="I57" i="111" s="1"/>
  <c r="I85" i="111" s="1"/>
  <c r="J85" i="111" s="1"/>
  <c r="B90" i="111"/>
  <c r="I90" i="111" s="1"/>
  <c r="J93" i="111" s="1"/>
  <c r="I87" i="111"/>
  <c r="J87" i="111" s="1"/>
  <c r="I70" i="111"/>
  <c r="J70" i="111" s="1"/>
  <c r="J114" i="111"/>
  <c r="K57" i="54" s="1"/>
  <c r="F484" i="106"/>
  <c r="E59" i="54"/>
  <c r="D59" i="54"/>
  <c r="Y37" i="101"/>
  <c r="Y36" i="101"/>
  <c r="B93" i="111" l="1"/>
  <c r="I86" i="111"/>
  <c r="J86" i="111" s="1"/>
  <c r="J107" i="111" s="1"/>
  <c r="Y37" i="76"/>
  <c r="Y36" i="76"/>
  <c r="Y37" i="68"/>
  <c r="Y36" i="68"/>
  <c r="Y37" i="67"/>
  <c r="Y36" i="67"/>
  <c r="Y37" i="66"/>
  <c r="Y36" i="66"/>
  <c r="Y37" i="63"/>
  <c r="Y36" i="63"/>
  <c r="Y37" i="62"/>
  <c r="Y36" i="62"/>
  <c r="Y37" i="61"/>
  <c r="Y36" i="61"/>
  <c r="Y37" i="58"/>
  <c r="Y36" i="58"/>
  <c r="J109" i="111" l="1"/>
  <c r="I57" i="54"/>
  <c r="F57" i="54" s="1"/>
  <c r="J116" i="111"/>
  <c r="T50" i="2"/>
  <c r="J58" i="57"/>
  <c r="J120" i="111" l="1"/>
  <c r="J124" i="111" s="1"/>
  <c r="L57" i="54"/>
  <c r="I114" i="111"/>
  <c r="J126" i="111" s="1"/>
  <c r="J57" i="54"/>
  <c r="G57" i="54" s="1"/>
  <c r="J118" i="2"/>
  <c r="Q5" i="57"/>
  <c r="F492" i="106"/>
  <c r="E482" i="106" l="1"/>
  <c r="M57" i="54"/>
  <c r="G32" i="2"/>
  <c r="J118" i="108"/>
  <c r="Q86" i="57"/>
  <c r="G482" i="106" l="1"/>
  <c r="I58" i="57"/>
  <c r="R119" i="57" l="1"/>
  <c r="Q18" i="57"/>
  <c r="H58" i="57"/>
  <c r="Q74" i="57" l="1"/>
  <c r="J118" i="107" s="1"/>
  <c r="G58" i="57" l="1"/>
  <c r="V86" i="85" l="1"/>
  <c r="T12" i="77"/>
  <c r="V19" i="54" l="1"/>
  <c r="U19" i="54"/>
  <c r="D146" i="106"/>
  <c r="D8" i="106"/>
  <c r="V7" i="54"/>
  <c r="U7" i="54"/>
  <c r="Y104" i="108"/>
  <c r="V103" i="108"/>
  <c r="J104" i="108"/>
  <c r="G103" i="108"/>
  <c r="J98" i="108"/>
  <c r="E98" i="108"/>
  <c r="T97" i="108"/>
  <c r="J97" i="108"/>
  <c r="T96" i="108"/>
  <c r="T92" i="108"/>
  <c r="V92" i="108"/>
  <c r="T91" i="108"/>
  <c r="V91" i="108"/>
  <c r="T90" i="108"/>
  <c r="V90" i="108"/>
  <c r="V85" i="108"/>
  <c r="V83" i="108"/>
  <c r="I84" i="108"/>
  <c r="J81" i="108"/>
  <c r="Y80" i="108"/>
  <c r="V71" i="108"/>
  <c r="V70" i="108"/>
  <c r="V67" i="108"/>
  <c r="X64" i="108"/>
  <c r="X61" i="108"/>
  <c r="X58" i="108"/>
  <c r="X55" i="108"/>
  <c r="X52" i="108"/>
  <c r="T50" i="108"/>
  <c r="Y49" i="108"/>
  <c r="E49" i="108"/>
  <c r="Y48" i="108"/>
  <c r="E48" i="108"/>
  <c r="Y47" i="108"/>
  <c r="E47" i="108"/>
  <c r="E46" i="108"/>
  <c r="Y45" i="108"/>
  <c r="E45" i="108"/>
  <c r="Y44" i="108"/>
  <c r="E44" i="108"/>
  <c r="Y43" i="108"/>
  <c r="E43" i="108"/>
  <c r="E42" i="108"/>
  <c r="Y41" i="108"/>
  <c r="E41" i="108"/>
  <c r="Y37" i="108"/>
  <c r="J37" i="108"/>
  <c r="Y36" i="108"/>
  <c r="Y38" i="108" s="1"/>
  <c r="J36" i="108"/>
  <c r="J38" i="108" s="1"/>
  <c r="G32" i="108"/>
  <c r="V32" i="108"/>
  <c r="E23" i="108"/>
  <c r="T6" i="108"/>
  <c r="R2" i="108"/>
  <c r="G103" i="107"/>
  <c r="X97" i="107"/>
  <c r="Y97" i="107" s="1"/>
  <c r="E98" i="107"/>
  <c r="T97" i="107"/>
  <c r="T96" i="107"/>
  <c r="T92" i="107"/>
  <c r="V92" i="107"/>
  <c r="T91" i="107"/>
  <c r="V91" i="107"/>
  <c r="T90" i="107"/>
  <c r="V90" i="107"/>
  <c r="V87" i="107"/>
  <c r="V86" i="107"/>
  <c r="V85" i="107"/>
  <c r="V83" i="107"/>
  <c r="Y81" i="107"/>
  <c r="X83" i="107" s="1"/>
  <c r="J81" i="107"/>
  <c r="Y80" i="107"/>
  <c r="V71" i="107"/>
  <c r="V67" i="107"/>
  <c r="X64" i="107"/>
  <c r="X61" i="107"/>
  <c r="X58" i="107"/>
  <c r="X55" i="107"/>
  <c r="X52" i="107"/>
  <c r="T50" i="107"/>
  <c r="D50" i="107"/>
  <c r="E46" i="107" s="1"/>
  <c r="C50" i="107"/>
  <c r="Y49" i="107"/>
  <c r="Y48" i="107"/>
  <c r="Y47" i="107"/>
  <c r="Y46" i="107"/>
  <c r="Y45" i="107"/>
  <c r="Y44" i="107"/>
  <c r="Y43" i="107"/>
  <c r="Y42" i="107"/>
  <c r="Y41" i="107"/>
  <c r="Y37" i="107"/>
  <c r="J37" i="107"/>
  <c r="Y36" i="107"/>
  <c r="J36" i="107"/>
  <c r="G32" i="107"/>
  <c r="V32" i="107"/>
  <c r="E24" i="107"/>
  <c r="T6" i="107"/>
  <c r="D90" i="107"/>
  <c r="R2" i="107"/>
  <c r="J81" i="105"/>
  <c r="J81" i="104"/>
  <c r="J81" i="103"/>
  <c r="J81" i="89"/>
  <c r="J81" i="88"/>
  <c r="J81" i="85"/>
  <c r="J81" i="82"/>
  <c r="J81" i="81"/>
  <c r="J81" i="79"/>
  <c r="J81" i="77"/>
  <c r="J37" i="76"/>
  <c r="J81" i="74"/>
  <c r="E48" i="107" l="1"/>
  <c r="E49" i="107"/>
  <c r="J49" i="107" s="1"/>
  <c r="E43" i="107"/>
  <c r="E44" i="107"/>
  <c r="J44" i="107" s="1"/>
  <c r="E41" i="107"/>
  <c r="J41" i="107" s="1"/>
  <c r="E42" i="107"/>
  <c r="J42" i="107" s="1"/>
  <c r="E45" i="107"/>
  <c r="J45" i="107" s="1"/>
  <c r="E47" i="107"/>
  <c r="J47" i="107" s="1"/>
  <c r="J97" i="107"/>
  <c r="J46" i="108"/>
  <c r="J42" i="108"/>
  <c r="E21" i="108"/>
  <c r="T21" i="108" s="1"/>
  <c r="X21" i="108" s="1"/>
  <c r="Y21" i="108" s="1"/>
  <c r="E20" i="108"/>
  <c r="I20" i="108" s="1"/>
  <c r="J20" i="108" s="1"/>
  <c r="E27" i="108"/>
  <c r="I27" i="108" s="1"/>
  <c r="J27" i="108" s="1"/>
  <c r="E14" i="108"/>
  <c r="I14" i="108" s="1"/>
  <c r="J14" i="108" s="1"/>
  <c r="E17" i="108"/>
  <c r="I17" i="108" s="1"/>
  <c r="J17" i="108" s="1"/>
  <c r="E12" i="108"/>
  <c r="T12" i="108" s="1"/>
  <c r="X12" i="108" s="1"/>
  <c r="E18" i="108"/>
  <c r="T18" i="108" s="1"/>
  <c r="X18" i="108" s="1"/>
  <c r="Y18" i="108" s="1"/>
  <c r="E22" i="108"/>
  <c r="T22" i="108" s="1"/>
  <c r="X22" i="108" s="1"/>
  <c r="Y22" i="108" s="1"/>
  <c r="E24" i="108"/>
  <c r="I24" i="108" s="1"/>
  <c r="J24" i="108" s="1"/>
  <c r="E19" i="108"/>
  <c r="T19" i="108" s="1"/>
  <c r="X19" i="108" s="1"/>
  <c r="Y19" i="108" s="1"/>
  <c r="J31" i="108"/>
  <c r="Y31" i="108" s="1"/>
  <c r="Y32" i="108" s="1"/>
  <c r="X97" i="108"/>
  <c r="Y97" i="108" s="1"/>
  <c r="Y46" i="108"/>
  <c r="X96" i="107"/>
  <c r="Y96" i="107" s="1"/>
  <c r="X96" i="108"/>
  <c r="Y96" i="108" s="1"/>
  <c r="J44" i="108"/>
  <c r="J48" i="107"/>
  <c r="J48" i="108"/>
  <c r="J47" i="108"/>
  <c r="J41" i="108"/>
  <c r="Y42" i="108"/>
  <c r="J43" i="108"/>
  <c r="J102" i="108"/>
  <c r="J43" i="107"/>
  <c r="D90" i="108"/>
  <c r="J45" i="108"/>
  <c r="J49" i="108"/>
  <c r="J46" i="107"/>
  <c r="D92" i="107"/>
  <c r="I84" i="107"/>
  <c r="J84" i="107" s="1"/>
  <c r="J102" i="107"/>
  <c r="D92" i="108"/>
  <c r="E50" i="108"/>
  <c r="E15" i="107"/>
  <c r="I15" i="107" s="1"/>
  <c r="J15" i="107" s="1"/>
  <c r="E17" i="107"/>
  <c r="T17" i="107" s="1"/>
  <c r="X17" i="107" s="1"/>
  <c r="Y17" i="107" s="1"/>
  <c r="E21" i="107"/>
  <c r="I21" i="107" s="1"/>
  <c r="J21" i="107" s="1"/>
  <c r="J84" i="108"/>
  <c r="I23" i="108"/>
  <c r="J23" i="108" s="1"/>
  <c r="T23" i="108"/>
  <c r="X23" i="108" s="1"/>
  <c r="Y23" i="108" s="1"/>
  <c r="Y103" i="108"/>
  <c r="Y102" i="108"/>
  <c r="J103" i="108"/>
  <c r="Y81" i="108"/>
  <c r="X83" i="108" s="1"/>
  <c r="Y83" i="108" s="1"/>
  <c r="T14" i="108"/>
  <c r="X14" i="108" s="1"/>
  <c r="T24" i="108"/>
  <c r="X24" i="108" s="1"/>
  <c r="Y24" i="108" s="1"/>
  <c r="E15" i="108"/>
  <c r="E25" i="108"/>
  <c r="V87" i="108"/>
  <c r="T17" i="108"/>
  <c r="X17" i="108" s="1"/>
  <c r="Y17" i="108" s="1"/>
  <c r="T27" i="108"/>
  <c r="X27" i="108" s="1"/>
  <c r="Y27" i="108" s="1"/>
  <c r="V86" i="108"/>
  <c r="T20" i="108"/>
  <c r="X20" i="108" s="1"/>
  <c r="Y20" i="108" s="1"/>
  <c r="D91" i="108"/>
  <c r="E16" i="108"/>
  <c r="E26" i="108"/>
  <c r="E13" i="108"/>
  <c r="Y50" i="107"/>
  <c r="Y83" i="107"/>
  <c r="I24" i="107"/>
  <c r="J24" i="107" s="1"/>
  <c r="T24" i="107"/>
  <c r="X24" i="107" s="1"/>
  <c r="Y24" i="107" s="1"/>
  <c r="T21" i="107"/>
  <c r="X21" i="107" s="1"/>
  <c r="Y21" i="107" s="1"/>
  <c r="V103" i="107"/>
  <c r="Y103" i="107" s="1"/>
  <c r="J103" i="107"/>
  <c r="E20" i="107"/>
  <c r="E25" i="107"/>
  <c r="E14" i="107"/>
  <c r="J38" i="107"/>
  <c r="J98" i="107"/>
  <c r="T15" i="107"/>
  <c r="X15" i="107" s="1"/>
  <c r="Y15" i="107" s="1"/>
  <c r="V70" i="107"/>
  <c r="J104" i="107"/>
  <c r="J31" i="107"/>
  <c r="D91" i="107"/>
  <c r="Y38" i="107"/>
  <c r="E19" i="107"/>
  <c r="E23" i="107"/>
  <c r="E13" i="107"/>
  <c r="E26" i="107"/>
  <c r="E16" i="107"/>
  <c r="E22" i="107"/>
  <c r="E12" i="107"/>
  <c r="E18" i="107"/>
  <c r="E27" i="107"/>
  <c r="E50" i="107" l="1"/>
  <c r="I12" i="108"/>
  <c r="J12" i="108" s="1"/>
  <c r="I18" i="108"/>
  <c r="J18" i="108" s="1"/>
  <c r="I21" i="108"/>
  <c r="J21" i="108" s="1"/>
  <c r="I19" i="108"/>
  <c r="J19" i="108" s="1"/>
  <c r="I22" i="108"/>
  <c r="J22" i="108" s="1"/>
  <c r="I17" i="107"/>
  <c r="J17" i="107" s="1"/>
  <c r="Y50" i="108"/>
  <c r="J32" i="108"/>
  <c r="J105" i="107"/>
  <c r="J50" i="108"/>
  <c r="J50" i="107"/>
  <c r="J105" i="108"/>
  <c r="Y105" i="108"/>
  <c r="E28" i="108"/>
  <c r="I25" i="108"/>
  <c r="J25" i="108" s="1"/>
  <c r="T25" i="108"/>
  <c r="X25" i="108" s="1"/>
  <c r="Y25" i="108" s="1"/>
  <c r="I15" i="108"/>
  <c r="T15" i="108"/>
  <c r="X15" i="108" s="1"/>
  <c r="Y15" i="108" s="1"/>
  <c r="Y14" i="108"/>
  <c r="I13" i="108"/>
  <c r="J13" i="108" s="1"/>
  <c r="T13" i="108"/>
  <c r="T26" i="108"/>
  <c r="X26" i="108" s="1"/>
  <c r="Y26" i="108" s="1"/>
  <c r="I26" i="108"/>
  <c r="J26" i="108" s="1"/>
  <c r="T16" i="108"/>
  <c r="X16" i="108" s="1"/>
  <c r="I16" i="108"/>
  <c r="Y12" i="108"/>
  <c r="Y31" i="107"/>
  <c r="Y32" i="107" s="1"/>
  <c r="J32" i="107"/>
  <c r="Y102" i="107"/>
  <c r="Y104" i="107"/>
  <c r="T27" i="107"/>
  <c r="X27" i="107" s="1"/>
  <c r="Y27" i="107" s="1"/>
  <c r="I27" i="107"/>
  <c r="J27" i="107" s="1"/>
  <c r="T18" i="107"/>
  <c r="X18" i="107" s="1"/>
  <c r="Y18" i="107" s="1"/>
  <c r="I18" i="107"/>
  <c r="J18" i="107" s="1"/>
  <c r="I14" i="107"/>
  <c r="T14" i="107"/>
  <c r="X14" i="107" s="1"/>
  <c r="T12" i="107"/>
  <c r="I12" i="107"/>
  <c r="E28" i="107"/>
  <c r="O7" i="54" s="1" a="1"/>
  <c r="O7" i="54" s="1"/>
  <c r="T25" i="107"/>
  <c r="X25" i="107" s="1"/>
  <c r="Y25" i="107" s="1"/>
  <c r="I25" i="107"/>
  <c r="J25" i="107" s="1"/>
  <c r="T22" i="107"/>
  <c r="X22" i="107" s="1"/>
  <c r="Y22" i="107" s="1"/>
  <c r="I22" i="107"/>
  <c r="J22" i="107" s="1"/>
  <c r="T16" i="107"/>
  <c r="X16" i="107" s="1"/>
  <c r="I16" i="107"/>
  <c r="T26" i="107"/>
  <c r="X26" i="107" s="1"/>
  <c r="Y26" i="107" s="1"/>
  <c r="I26" i="107"/>
  <c r="J26" i="107" s="1"/>
  <c r="T20" i="107"/>
  <c r="X20" i="107" s="1"/>
  <c r="Y20" i="107" s="1"/>
  <c r="I20" i="107"/>
  <c r="J20" i="107" s="1"/>
  <c r="I19" i="107"/>
  <c r="J19" i="107" s="1"/>
  <c r="T19" i="107"/>
  <c r="X19" i="107" s="1"/>
  <c r="Y19" i="107" s="1"/>
  <c r="I13" i="107"/>
  <c r="J13" i="107" s="1"/>
  <c r="T13" i="107"/>
  <c r="X13" i="107" s="1"/>
  <c r="Y13" i="107" s="1"/>
  <c r="I23" i="107"/>
  <c r="J23" i="107" s="1"/>
  <c r="T23" i="107"/>
  <c r="X23" i="107" s="1"/>
  <c r="Y23" i="107" s="1"/>
  <c r="B2" i="106"/>
  <c r="D473" i="106"/>
  <c r="D464" i="106"/>
  <c r="D454" i="106"/>
  <c r="D446" i="106"/>
  <c r="D437" i="106"/>
  <c r="D427" i="106"/>
  <c r="D417" i="106"/>
  <c r="D408" i="106"/>
  <c r="G401" i="106"/>
  <c r="D401" i="106"/>
  <c r="D392" i="106"/>
  <c r="D383" i="106"/>
  <c r="D376" i="106"/>
  <c r="D365" i="106"/>
  <c r="D355" i="106"/>
  <c r="D345" i="106"/>
  <c r="D336" i="106"/>
  <c r="D327" i="106"/>
  <c r="D319" i="106"/>
  <c r="D309" i="106"/>
  <c r="D300" i="106"/>
  <c r="D292" i="106"/>
  <c r="D284" i="106"/>
  <c r="D274" i="106"/>
  <c r="D264" i="106"/>
  <c r="D255" i="106"/>
  <c r="D245" i="106"/>
  <c r="D234" i="106"/>
  <c r="D226" i="106"/>
  <c r="D215" i="106"/>
  <c r="D207" i="106"/>
  <c r="D200" i="106"/>
  <c r="D192" i="106"/>
  <c r="D184" i="106"/>
  <c r="D174" i="106"/>
  <c r="D165" i="106"/>
  <c r="D156" i="106"/>
  <c r="A200" i="106"/>
  <c r="A207" i="106" s="1"/>
  <c r="A215" i="106" s="1"/>
  <c r="A226" i="106" s="1"/>
  <c r="A234" i="106" s="1"/>
  <c r="A245" i="106" s="1"/>
  <c r="A255" i="106" s="1"/>
  <c r="A264" i="106" s="1"/>
  <c r="A274" i="106" s="1"/>
  <c r="A284" i="106" s="1"/>
  <c r="A292" i="106" s="1"/>
  <c r="A300" i="106" s="1"/>
  <c r="A309" i="106" s="1"/>
  <c r="A319" i="106" s="1"/>
  <c r="A327" i="106" s="1"/>
  <c r="A336" i="106" s="1"/>
  <c r="A345" i="106" s="1"/>
  <c r="A355" i="106" s="1"/>
  <c r="A365" i="106" s="1"/>
  <c r="A376" i="106" s="1"/>
  <c r="A383" i="106" s="1"/>
  <c r="A392" i="106" s="1"/>
  <c r="A401" i="106" s="1"/>
  <c r="A408" i="106" s="1"/>
  <c r="A417" i="106" s="1"/>
  <c r="A427" i="106" s="1"/>
  <c r="A437" i="106" s="1"/>
  <c r="A446" i="106" s="1"/>
  <c r="A454" i="106" s="1"/>
  <c r="A464" i="106" s="1"/>
  <c r="A473" i="106" s="1"/>
  <c r="D147" i="106"/>
  <c r="D139" i="106"/>
  <c r="D131" i="106"/>
  <c r="D122" i="106"/>
  <c r="D111" i="106"/>
  <c r="D101" i="106"/>
  <c r="D93" i="106"/>
  <c r="D81" i="106"/>
  <c r="L61" i="106"/>
  <c r="D56" i="106"/>
  <c r="F512" i="106" s="1"/>
  <c r="A56" i="106"/>
  <c r="A74" i="106" s="1"/>
  <c r="A81" i="106" s="1"/>
  <c r="A93" i="106" s="1"/>
  <c r="A101" i="106" s="1"/>
  <c r="A111" i="106" s="1"/>
  <c r="A122" i="106" s="1"/>
  <c r="A131" i="106" s="1"/>
  <c r="A139" i="106" s="1"/>
  <c r="D10" i="106"/>
  <c r="F504" i="106" l="1"/>
  <c r="G504" i="106" s="1"/>
  <c r="C62" i="108"/>
  <c r="I63" i="108" s="1"/>
  <c r="I68" i="108" s="1"/>
  <c r="J68" i="108" s="1"/>
  <c r="O19" i="54" a="1"/>
  <c r="O19" i="54" s="1"/>
  <c r="C53" i="108"/>
  <c r="I54" i="108" s="1"/>
  <c r="I70" i="108" s="1"/>
  <c r="C65" i="108"/>
  <c r="I66" i="108" s="1"/>
  <c r="I71" i="108" s="1"/>
  <c r="J71" i="108" s="1"/>
  <c r="C59" i="108"/>
  <c r="I60" i="108" s="1"/>
  <c r="I72" i="108" s="1"/>
  <c r="J72" i="108" s="1"/>
  <c r="S91" i="108"/>
  <c r="X91" i="108" s="1"/>
  <c r="Y105" i="107"/>
  <c r="X13" i="108"/>
  <c r="T28" i="108"/>
  <c r="I28" i="108"/>
  <c r="G33" i="108" s="1"/>
  <c r="J15" i="108"/>
  <c r="B91" i="108"/>
  <c r="I91" i="108" s="1"/>
  <c r="J16" i="108"/>
  <c r="B92" i="108"/>
  <c r="I92" i="108" s="1"/>
  <c r="B90" i="108"/>
  <c r="Y16" i="108"/>
  <c r="S92" i="108"/>
  <c r="X92" i="108" s="1"/>
  <c r="Y16" i="107"/>
  <c r="S92" i="107"/>
  <c r="X92" i="107" s="1"/>
  <c r="C59" i="107"/>
  <c r="I60" i="107" s="1"/>
  <c r="I72" i="107" s="1"/>
  <c r="J72" i="107" s="1"/>
  <c r="C65" i="107"/>
  <c r="I66" i="107" s="1"/>
  <c r="I71" i="107" s="1"/>
  <c r="J71" i="107" s="1"/>
  <c r="C62" i="107"/>
  <c r="I63" i="107" s="1"/>
  <c r="I68" i="107" s="1"/>
  <c r="J68" i="107" s="1"/>
  <c r="C53" i="107"/>
  <c r="I54" i="107" s="1"/>
  <c r="J12" i="107"/>
  <c r="I28" i="107"/>
  <c r="G33" i="107" s="1"/>
  <c r="C56" i="107" s="1"/>
  <c r="B90" i="107"/>
  <c r="X12" i="107"/>
  <c r="T28" i="107"/>
  <c r="S91" i="107"/>
  <c r="X91" i="107" s="1"/>
  <c r="Y14" i="107"/>
  <c r="B91" i="107"/>
  <c r="I91" i="107" s="1"/>
  <c r="J14" i="107"/>
  <c r="J16" i="107"/>
  <c r="B92" i="107"/>
  <c r="I92" i="107" s="1"/>
  <c r="G512" i="106"/>
  <c r="F496" i="106"/>
  <c r="G496" i="106" s="1"/>
  <c r="F498" i="106"/>
  <c r="G498" i="106" s="1"/>
  <c r="F508" i="106"/>
  <c r="G508" i="106" s="1"/>
  <c r="F510" i="106"/>
  <c r="G510" i="106" s="1"/>
  <c r="G492" i="106"/>
  <c r="F493" i="106"/>
  <c r="G493" i="106" s="1"/>
  <c r="F495" i="106"/>
  <c r="G495" i="106" s="1"/>
  <c r="F497" i="106"/>
  <c r="G497" i="106" s="1"/>
  <c r="F499" i="106"/>
  <c r="G499" i="106" s="1"/>
  <c r="F501" i="106"/>
  <c r="G501" i="106" s="1"/>
  <c r="F503" i="106"/>
  <c r="G503" i="106" s="1"/>
  <c r="F505" i="106"/>
  <c r="G505" i="106" s="1"/>
  <c r="F507" i="106"/>
  <c r="G507" i="106" s="1"/>
  <c r="F509" i="106"/>
  <c r="G509" i="106" s="1"/>
  <c r="F511" i="106"/>
  <c r="G511" i="106" s="1"/>
  <c r="F513" i="106"/>
  <c r="G513" i="106" s="1"/>
  <c r="F494" i="106"/>
  <c r="G494" i="106" s="1"/>
  <c r="F500" i="106"/>
  <c r="G500" i="106" s="1"/>
  <c r="F502" i="106"/>
  <c r="G502" i="106" s="1"/>
  <c r="F506" i="106"/>
  <c r="G506" i="106" s="1"/>
  <c r="I57" i="107" l="1"/>
  <c r="I85" i="107" s="1"/>
  <c r="J85" i="107" s="1"/>
  <c r="T55" i="107"/>
  <c r="J28" i="107"/>
  <c r="J33" i="107" s="1"/>
  <c r="J28" i="108"/>
  <c r="J33" i="108" s="1"/>
  <c r="I87" i="108"/>
  <c r="J87" i="108" s="1"/>
  <c r="C56" i="108"/>
  <c r="T64" i="108"/>
  <c r="X65" i="108" s="1"/>
  <c r="X70" i="108" s="1"/>
  <c r="Y70" i="108" s="1"/>
  <c r="T52" i="108"/>
  <c r="X53" i="108" s="1"/>
  <c r="T58" i="108"/>
  <c r="X59" i="108" s="1"/>
  <c r="X71" i="108" s="1"/>
  <c r="Y71" i="108" s="1"/>
  <c r="T61" i="108"/>
  <c r="X62" i="108" s="1"/>
  <c r="X67" i="108" s="1"/>
  <c r="Y67" i="108" s="1"/>
  <c r="B93" i="108"/>
  <c r="I90" i="108"/>
  <c r="J93" i="108" s="1"/>
  <c r="Y13" i="108"/>
  <c r="Y28" i="108" s="1"/>
  <c r="Y33" i="108" s="1"/>
  <c r="X28" i="108"/>
  <c r="S90" i="108"/>
  <c r="T58" i="107"/>
  <c r="X59" i="107" s="1"/>
  <c r="X71" i="107" s="1"/>
  <c r="Y71" i="107" s="1"/>
  <c r="T52" i="107"/>
  <c r="X53" i="107" s="1"/>
  <c r="T61" i="107"/>
  <c r="X62" i="107" s="1"/>
  <c r="X67" i="107" s="1"/>
  <c r="Y67" i="107" s="1"/>
  <c r="T64" i="107"/>
  <c r="X65" i="107" s="1"/>
  <c r="X70" i="107" s="1"/>
  <c r="Y70" i="107" s="1"/>
  <c r="X28" i="107"/>
  <c r="V33" i="107" s="1"/>
  <c r="Y12" i="107"/>
  <c r="Y28" i="107" s="1"/>
  <c r="Y33" i="107" s="1"/>
  <c r="S90" i="107"/>
  <c r="B93" i="107"/>
  <c r="I90" i="107"/>
  <c r="J93" i="107" s="1"/>
  <c r="I87" i="107"/>
  <c r="J87" i="107" s="1"/>
  <c r="I70" i="107"/>
  <c r="F515" i="106"/>
  <c r="F517" i="106" s="1"/>
  <c r="V33" i="108" l="1"/>
  <c r="T55" i="108"/>
  <c r="X56" i="108" s="1"/>
  <c r="I86" i="107"/>
  <c r="J86" i="107" s="1"/>
  <c r="X56" i="107"/>
  <c r="X85" i="107" s="1"/>
  <c r="Y85" i="107" s="1"/>
  <c r="I57" i="108"/>
  <c r="X90" i="108"/>
  <c r="Y93" i="108" s="1"/>
  <c r="S93" i="108"/>
  <c r="X87" i="108"/>
  <c r="Y87" i="108" s="1"/>
  <c r="X69" i="108"/>
  <c r="X90" i="107"/>
  <c r="Y93" i="107" s="1"/>
  <c r="S93" i="107"/>
  <c r="X69" i="107"/>
  <c r="X87" i="107"/>
  <c r="Y87" i="107" s="1"/>
  <c r="K53" i="56"/>
  <c r="X85" i="108" l="1"/>
  <c r="Y85" i="108" s="1"/>
  <c r="X86" i="108"/>
  <c r="Y86" i="108" s="1"/>
  <c r="X86" i="107"/>
  <c r="Y86" i="107" s="1"/>
  <c r="I85" i="108"/>
  <c r="J85" i="108" s="1"/>
  <c r="I86" i="108"/>
  <c r="J86" i="108" s="1"/>
  <c r="J103" i="56"/>
  <c r="I106" i="56" s="1"/>
  <c r="J118" i="105" l="1"/>
  <c r="J118" i="104"/>
  <c r="J118" i="103"/>
  <c r="J118" i="102"/>
  <c r="J118" i="101"/>
  <c r="J118" i="100"/>
  <c r="J118" i="99"/>
  <c r="J118" i="98"/>
  <c r="J118" i="97"/>
  <c r="Q115" i="57"/>
  <c r="J118" i="96"/>
  <c r="J118" i="95"/>
  <c r="J118" i="94"/>
  <c r="J118" i="93"/>
  <c r="J118" i="92"/>
  <c r="J118" i="91"/>
  <c r="J118" i="90"/>
  <c r="J118" i="89"/>
  <c r="J118" i="88"/>
  <c r="J118" i="87"/>
  <c r="J118" i="86"/>
  <c r="J118" i="85"/>
  <c r="J118" i="84"/>
  <c r="J118" i="83"/>
  <c r="J118" i="82"/>
  <c r="J118" i="81"/>
  <c r="J118" i="80"/>
  <c r="J118" i="79"/>
  <c r="J118" i="78"/>
  <c r="J118" i="77"/>
  <c r="J118" i="76"/>
  <c r="J118" i="75"/>
  <c r="J118" i="74"/>
  <c r="J118" i="73"/>
  <c r="J118" i="72"/>
  <c r="J118" i="71"/>
  <c r="J118" i="70"/>
  <c r="J118" i="69"/>
  <c r="J118" i="68"/>
  <c r="J118" i="67"/>
  <c r="J118" i="66"/>
  <c r="J118" i="65"/>
  <c r="J118" i="64"/>
  <c r="J118" i="63"/>
  <c r="J118" i="62"/>
  <c r="J118" i="61"/>
  <c r="J118" i="60"/>
  <c r="J118" i="59"/>
  <c r="J118" i="58"/>
  <c r="V103" i="105"/>
  <c r="J104" i="105"/>
  <c r="G103" i="105"/>
  <c r="X97" i="105"/>
  <c r="E98" i="105"/>
  <c r="T97" i="105"/>
  <c r="X96" i="105"/>
  <c r="T96" i="105"/>
  <c r="T92" i="105"/>
  <c r="V92" i="105"/>
  <c r="T91" i="105"/>
  <c r="V91" i="105"/>
  <c r="T90" i="105"/>
  <c r="V90" i="105"/>
  <c r="V87" i="105"/>
  <c r="V85" i="105"/>
  <c r="V83" i="105"/>
  <c r="Y81" i="105"/>
  <c r="X83" i="105" s="1"/>
  <c r="Y80" i="105"/>
  <c r="V71" i="105"/>
  <c r="V70" i="105"/>
  <c r="V67" i="105"/>
  <c r="X64" i="105"/>
  <c r="X61" i="105"/>
  <c r="X58" i="105"/>
  <c r="X55" i="105"/>
  <c r="X52" i="105"/>
  <c r="T50" i="105"/>
  <c r="E47" i="105"/>
  <c r="Y49" i="105"/>
  <c r="Y48" i="105"/>
  <c r="Y47" i="105"/>
  <c r="Y46" i="105"/>
  <c r="Y45" i="105"/>
  <c r="Y44" i="105"/>
  <c r="Y43" i="105"/>
  <c r="Y42" i="105"/>
  <c r="Y41" i="105"/>
  <c r="Y37" i="105"/>
  <c r="J37" i="105"/>
  <c r="Y36" i="105"/>
  <c r="Y38" i="105" s="1"/>
  <c r="J36" i="105"/>
  <c r="J38" i="105" s="1"/>
  <c r="G32" i="105"/>
  <c r="V32" i="105"/>
  <c r="E23" i="105"/>
  <c r="I23" i="105" s="1"/>
  <c r="T27" i="105"/>
  <c r="X27" i="105" s="1"/>
  <c r="E27" i="105"/>
  <c r="I27" i="105" s="1"/>
  <c r="T26" i="105"/>
  <c r="X26" i="105" s="1"/>
  <c r="T25" i="105"/>
  <c r="X25" i="105" s="1"/>
  <c r="T24" i="105"/>
  <c r="X24" i="105" s="1"/>
  <c r="T23" i="105"/>
  <c r="X23" i="105" s="1"/>
  <c r="T22" i="105"/>
  <c r="X22" i="105" s="1"/>
  <c r="T21" i="105"/>
  <c r="X21" i="105" s="1"/>
  <c r="T20" i="105"/>
  <c r="X20" i="105" s="1"/>
  <c r="T19" i="105"/>
  <c r="X19" i="105" s="1"/>
  <c r="T18" i="105"/>
  <c r="X18" i="105" s="1"/>
  <c r="T17" i="105"/>
  <c r="X17" i="105" s="1"/>
  <c r="T16" i="105"/>
  <c r="X16" i="105" s="1"/>
  <c r="T15" i="105"/>
  <c r="X15" i="105" s="1"/>
  <c r="T14" i="105"/>
  <c r="X14" i="105" s="1"/>
  <c r="T13" i="105"/>
  <c r="T12" i="105"/>
  <c r="X12" i="105" s="1"/>
  <c r="T6" i="105"/>
  <c r="R2" i="105"/>
  <c r="J104" i="104"/>
  <c r="G103" i="104"/>
  <c r="X97" i="104"/>
  <c r="E98" i="104"/>
  <c r="T97" i="104"/>
  <c r="X96" i="104"/>
  <c r="T96" i="104"/>
  <c r="T92" i="104"/>
  <c r="V92" i="104"/>
  <c r="T91" i="104"/>
  <c r="V91" i="104"/>
  <c r="T90" i="104"/>
  <c r="V90" i="104"/>
  <c r="V86" i="104"/>
  <c r="V83" i="104"/>
  <c r="Y81" i="104"/>
  <c r="Y80" i="104"/>
  <c r="V70" i="104"/>
  <c r="V67" i="104"/>
  <c r="X64" i="104"/>
  <c r="X61" i="104"/>
  <c r="X58" i="104"/>
  <c r="X55" i="104"/>
  <c r="X52" i="104"/>
  <c r="T50" i="104"/>
  <c r="E46" i="104"/>
  <c r="Y49" i="104"/>
  <c r="Y48" i="104"/>
  <c r="Y47" i="104"/>
  <c r="Y46" i="104"/>
  <c r="Y45" i="104"/>
  <c r="Y44" i="104"/>
  <c r="Y43" i="104"/>
  <c r="Y42" i="104"/>
  <c r="Y41" i="104"/>
  <c r="Y37" i="104"/>
  <c r="J37" i="104"/>
  <c r="Y36" i="104"/>
  <c r="Y38" i="104" s="1"/>
  <c r="J36" i="104"/>
  <c r="J38" i="104" s="1"/>
  <c r="G32" i="104"/>
  <c r="V32" i="104"/>
  <c r="E23" i="104"/>
  <c r="I23" i="104" s="1"/>
  <c r="T27" i="104"/>
  <c r="X27" i="104" s="1"/>
  <c r="T26" i="104"/>
  <c r="X26" i="104" s="1"/>
  <c r="T25" i="104"/>
  <c r="X25" i="104" s="1"/>
  <c r="T24" i="104"/>
  <c r="X24" i="104" s="1"/>
  <c r="T23" i="104"/>
  <c r="X23" i="104" s="1"/>
  <c r="T22" i="104"/>
  <c r="X22" i="104" s="1"/>
  <c r="T21" i="104"/>
  <c r="X21" i="104" s="1"/>
  <c r="T20" i="104"/>
  <c r="X20" i="104" s="1"/>
  <c r="T19" i="104"/>
  <c r="X19" i="104" s="1"/>
  <c r="T18" i="104"/>
  <c r="X18" i="104" s="1"/>
  <c r="T17" i="104"/>
  <c r="X17" i="104" s="1"/>
  <c r="T16" i="104"/>
  <c r="X16" i="104" s="1"/>
  <c r="T15" i="104"/>
  <c r="X15" i="104" s="1"/>
  <c r="T14" i="104"/>
  <c r="X14" i="104" s="1"/>
  <c r="T13" i="104"/>
  <c r="X13" i="104" s="1"/>
  <c r="T12" i="104"/>
  <c r="X12" i="104" s="1"/>
  <c r="T6" i="104"/>
  <c r="R2" i="104"/>
  <c r="G103" i="103"/>
  <c r="J98" i="103"/>
  <c r="E98" i="103"/>
  <c r="T97" i="103"/>
  <c r="J97" i="103"/>
  <c r="T96" i="103"/>
  <c r="T92" i="103"/>
  <c r="V92" i="103"/>
  <c r="T91" i="103"/>
  <c r="V91" i="103"/>
  <c r="T90" i="103"/>
  <c r="V90" i="103"/>
  <c r="V87" i="103"/>
  <c r="V85" i="103"/>
  <c r="V83" i="103"/>
  <c r="Y81" i="103"/>
  <c r="X83" i="103" s="1"/>
  <c r="Y80" i="103"/>
  <c r="V71" i="103"/>
  <c r="V70" i="103"/>
  <c r="V67" i="103"/>
  <c r="X64" i="103"/>
  <c r="X61" i="103"/>
  <c r="X58" i="103"/>
  <c r="X55" i="103"/>
  <c r="X52" i="103"/>
  <c r="T50" i="103"/>
  <c r="E46" i="103"/>
  <c r="Y49" i="103"/>
  <c r="Y48" i="103"/>
  <c r="Y47" i="103"/>
  <c r="Y46" i="103"/>
  <c r="Y45" i="103"/>
  <c r="Y44" i="103"/>
  <c r="Y43" i="103"/>
  <c r="Y42" i="103"/>
  <c r="Y41" i="103"/>
  <c r="Y37" i="103"/>
  <c r="J37" i="103"/>
  <c r="Y36" i="103"/>
  <c r="J36" i="103"/>
  <c r="J38" i="103" s="1"/>
  <c r="G32" i="103"/>
  <c r="V32" i="103"/>
  <c r="E23" i="103"/>
  <c r="I23" i="103" s="1"/>
  <c r="T27" i="103"/>
  <c r="X27" i="103" s="1"/>
  <c r="T26" i="103"/>
  <c r="X26" i="103" s="1"/>
  <c r="T25" i="103"/>
  <c r="X25" i="103" s="1"/>
  <c r="T24" i="103"/>
  <c r="X24" i="103" s="1"/>
  <c r="T23" i="103"/>
  <c r="X23" i="103" s="1"/>
  <c r="T22" i="103"/>
  <c r="X22" i="103" s="1"/>
  <c r="T21" i="103"/>
  <c r="X21" i="103" s="1"/>
  <c r="T20" i="103"/>
  <c r="X20" i="103" s="1"/>
  <c r="T19" i="103"/>
  <c r="X19" i="103" s="1"/>
  <c r="T18" i="103"/>
  <c r="X18" i="103" s="1"/>
  <c r="T17" i="103"/>
  <c r="X17" i="103" s="1"/>
  <c r="T16" i="103"/>
  <c r="X16" i="103" s="1"/>
  <c r="T15" i="103"/>
  <c r="X15" i="103" s="1"/>
  <c r="T14" i="103"/>
  <c r="X14" i="103" s="1"/>
  <c r="T13" i="103"/>
  <c r="T12" i="103"/>
  <c r="X12" i="103" s="1"/>
  <c r="T6" i="103"/>
  <c r="R2" i="103"/>
  <c r="G103" i="102"/>
  <c r="J98" i="102"/>
  <c r="E98" i="102"/>
  <c r="T97" i="102"/>
  <c r="X96" i="102"/>
  <c r="T96" i="102"/>
  <c r="T92" i="102"/>
  <c r="V92" i="102"/>
  <c r="T91" i="102"/>
  <c r="V91" i="102"/>
  <c r="T90" i="102"/>
  <c r="V90" i="102"/>
  <c r="V86" i="102"/>
  <c r="V85" i="102"/>
  <c r="V83" i="102"/>
  <c r="Y81" i="102"/>
  <c r="X83" i="102" s="1"/>
  <c r="J81" i="102"/>
  <c r="Y80" i="102"/>
  <c r="V70" i="102"/>
  <c r="V67" i="102"/>
  <c r="X64" i="102"/>
  <c r="X61" i="102"/>
  <c r="X58" i="102"/>
  <c r="X55" i="102"/>
  <c r="X52" i="102"/>
  <c r="T50" i="102"/>
  <c r="Y49" i="102"/>
  <c r="Y48" i="102"/>
  <c r="Y47" i="102"/>
  <c r="Y46" i="102"/>
  <c r="Y45" i="102"/>
  <c r="Y44" i="102"/>
  <c r="Y43" i="102"/>
  <c r="Y42" i="102"/>
  <c r="Y41" i="102"/>
  <c r="Y37" i="102"/>
  <c r="J37" i="102"/>
  <c r="Y36" i="102"/>
  <c r="J36" i="102"/>
  <c r="J38" i="102" s="1"/>
  <c r="G32" i="102"/>
  <c r="V32" i="102"/>
  <c r="E23" i="102"/>
  <c r="I23" i="102" s="1"/>
  <c r="T23" i="102"/>
  <c r="X23" i="102" s="1"/>
  <c r="T6" i="102"/>
  <c r="D90" i="102"/>
  <c r="R2" i="102"/>
  <c r="V103" i="101"/>
  <c r="G103" i="101"/>
  <c r="X97" i="101"/>
  <c r="E98" i="101"/>
  <c r="T97" i="101"/>
  <c r="X96" i="101"/>
  <c r="T96" i="101"/>
  <c r="T92" i="101"/>
  <c r="V92" i="101"/>
  <c r="T91" i="101"/>
  <c r="V91" i="101"/>
  <c r="T90" i="101"/>
  <c r="V90" i="101"/>
  <c r="V87" i="101"/>
  <c r="V86" i="101"/>
  <c r="V83" i="101"/>
  <c r="Y81" i="101"/>
  <c r="J81" i="101"/>
  <c r="Y80" i="101"/>
  <c r="V71" i="101"/>
  <c r="V70" i="101"/>
  <c r="V67" i="101"/>
  <c r="X64" i="101"/>
  <c r="X61" i="101"/>
  <c r="X58" i="101"/>
  <c r="X55" i="101"/>
  <c r="X52" i="101"/>
  <c r="T50" i="101"/>
  <c r="E46" i="101"/>
  <c r="Y49" i="101"/>
  <c r="Y48" i="101"/>
  <c r="Y47" i="101"/>
  <c r="Y46" i="101"/>
  <c r="Y45" i="101"/>
  <c r="Y44" i="101"/>
  <c r="Y43" i="101"/>
  <c r="Y42" i="101"/>
  <c r="Y41" i="101"/>
  <c r="J37" i="101"/>
  <c r="J36" i="101"/>
  <c r="J38" i="101" s="1"/>
  <c r="G32" i="101"/>
  <c r="E23" i="101"/>
  <c r="I23" i="101" s="1"/>
  <c r="T6" i="101"/>
  <c r="D92" i="101"/>
  <c r="R2" i="101"/>
  <c r="J104" i="100"/>
  <c r="G103" i="100"/>
  <c r="X97" i="100"/>
  <c r="E98" i="100"/>
  <c r="T97" i="100"/>
  <c r="X96" i="100"/>
  <c r="T96" i="100"/>
  <c r="T92" i="100"/>
  <c r="V92" i="100"/>
  <c r="T91" i="100"/>
  <c r="V91" i="100"/>
  <c r="T90" i="100"/>
  <c r="V90" i="100"/>
  <c r="V87" i="100"/>
  <c r="V86" i="100"/>
  <c r="V85" i="100"/>
  <c r="V83" i="100"/>
  <c r="Y81" i="100"/>
  <c r="J81" i="100"/>
  <c r="Y80" i="100"/>
  <c r="V70" i="100"/>
  <c r="V67" i="100"/>
  <c r="X64" i="100"/>
  <c r="X61" i="100"/>
  <c r="X58" i="100"/>
  <c r="X55" i="100"/>
  <c r="X52" i="100"/>
  <c r="T50" i="100"/>
  <c r="E46" i="100"/>
  <c r="Y49" i="100"/>
  <c r="Y48" i="100"/>
  <c r="Y47" i="100"/>
  <c r="Y46" i="100"/>
  <c r="Y45" i="100"/>
  <c r="Y44" i="100"/>
  <c r="Y43" i="100"/>
  <c r="Y42" i="100"/>
  <c r="Y41" i="100"/>
  <c r="Y37" i="100"/>
  <c r="J37" i="100"/>
  <c r="Y36" i="100"/>
  <c r="Y38" i="100" s="1"/>
  <c r="J36" i="100"/>
  <c r="J38" i="100" s="1"/>
  <c r="G32" i="100"/>
  <c r="V32" i="100"/>
  <c r="E26" i="100"/>
  <c r="I26" i="100" s="1"/>
  <c r="T27" i="100"/>
  <c r="X27" i="100" s="1"/>
  <c r="T26" i="100"/>
  <c r="X26" i="100" s="1"/>
  <c r="T25" i="100"/>
  <c r="X25" i="100" s="1"/>
  <c r="T24" i="100"/>
  <c r="X24" i="100" s="1"/>
  <c r="T23" i="100"/>
  <c r="X23" i="100" s="1"/>
  <c r="T22" i="100"/>
  <c r="X22" i="100" s="1"/>
  <c r="T21" i="100"/>
  <c r="X21" i="100" s="1"/>
  <c r="T20" i="100"/>
  <c r="X20" i="100" s="1"/>
  <c r="T19" i="100"/>
  <c r="X19" i="100" s="1"/>
  <c r="T18" i="100"/>
  <c r="X18" i="100" s="1"/>
  <c r="T17" i="100"/>
  <c r="X17" i="100" s="1"/>
  <c r="T16" i="100"/>
  <c r="X16" i="100" s="1"/>
  <c r="T15" i="100"/>
  <c r="X15" i="100" s="1"/>
  <c r="T14" i="100"/>
  <c r="X14" i="100" s="1"/>
  <c r="T13" i="100"/>
  <c r="T12" i="100"/>
  <c r="X12" i="100" s="1"/>
  <c r="T6" i="100"/>
  <c r="D90" i="100"/>
  <c r="R2" i="100"/>
  <c r="V103" i="99"/>
  <c r="J104" i="99"/>
  <c r="G103" i="99"/>
  <c r="X97" i="99"/>
  <c r="E98" i="99"/>
  <c r="T97" i="99"/>
  <c r="X96" i="99"/>
  <c r="T96" i="99"/>
  <c r="T92" i="99"/>
  <c r="V92" i="99"/>
  <c r="T91" i="99"/>
  <c r="V91" i="99"/>
  <c r="T90" i="99"/>
  <c r="V90" i="99"/>
  <c r="V86" i="99"/>
  <c r="V83" i="99"/>
  <c r="Y81" i="99"/>
  <c r="J81" i="99"/>
  <c r="Y80" i="99"/>
  <c r="V70" i="99"/>
  <c r="V67" i="99"/>
  <c r="X64" i="99"/>
  <c r="X61" i="99"/>
  <c r="X58" i="99"/>
  <c r="X55" i="99"/>
  <c r="X52" i="99"/>
  <c r="T50" i="99"/>
  <c r="E46" i="99"/>
  <c r="Y49" i="99"/>
  <c r="Y48" i="99"/>
  <c r="Y47" i="99"/>
  <c r="Y46" i="99"/>
  <c r="Y45" i="99"/>
  <c r="Y44" i="99"/>
  <c r="Y43" i="99"/>
  <c r="Y42" i="99"/>
  <c r="Y41" i="99"/>
  <c r="Y37" i="99"/>
  <c r="J37" i="99"/>
  <c r="Y36" i="99"/>
  <c r="J36" i="99"/>
  <c r="J38" i="99" s="1"/>
  <c r="G32" i="99"/>
  <c r="V32" i="99"/>
  <c r="E23" i="99"/>
  <c r="I23" i="99" s="1"/>
  <c r="T27" i="99"/>
  <c r="X27" i="99" s="1"/>
  <c r="E27" i="99"/>
  <c r="I27" i="99" s="1"/>
  <c r="T26" i="99"/>
  <c r="X26" i="99" s="1"/>
  <c r="T25" i="99"/>
  <c r="X25" i="99" s="1"/>
  <c r="T24" i="99"/>
  <c r="X24" i="99" s="1"/>
  <c r="T23" i="99"/>
  <c r="X23" i="99" s="1"/>
  <c r="T22" i="99"/>
  <c r="X22" i="99" s="1"/>
  <c r="T21" i="99"/>
  <c r="X21" i="99" s="1"/>
  <c r="T20" i="99"/>
  <c r="X20" i="99" s="1"/>
  <c r="T19" i="99"/>
  <c r="X19" i="99" s="1"/>
  <c r="T18" i="99"/>
  <c r="X18" i="99" s="1"/>
  <c r="T17" i="99"/>
  <c r="X17" i="99" s="1"/>
  <c r="T16" i="99"/>
  <c r="X16" i="99" s="1"/>
  <c r="T15" i="99"/>
  <c r="X15" i="99" s="1"/>
  <c r="T14" i="99"/>
  <c r="X14" i="99" s="1"/>
  <c r="T13" i="99"/>
  <c r="X13" i="99" s="1"/>
  <c r="T12" i="99"/>
  <c r="X12" i="99" s="1"/>
  <c r="T6" i="99"/>
  <c r="R2" i="99"/>
  <c r="V103" i="98"/>
  <c r="J104" i="98"/>
  <c r="G103" i="98"/>
  <c r="J98" i="98"/>
  <c r="E98" i="98"/>
  <c r="T97" i="98"/>
  <c r="X96" i="98"/>
  <c r="T96" i="98"/>
  <c r="T92" i="98"/>
  <c r="V92" i="98"/>
  <c r="T91" i="98"/>
  <c r="V91" i="98"/>
  <c r="T90" i="98"/>
  <c r="V90" i="98"/>
  <c r="V86" i="98"/>
  <c r="V83" i="98"/>
  <c r="Y81" i="98"/>
  <c r="X83" i="98" s="1"/>
  <c r="J81" i="98"/>
  <c r="Y80" i="98"/>
  <c r="V71" i="98"/>
  <c r="V70" i="98"/>
  <c r="V67" i="98"/>
  <c r="X64" i="98"/>
  <c r="X61" i="98"/>
  <c r="X58" i="98"/>
  <c r="X55" i="98"/>
  <c r="X52" i="98"/>
  <c r="T50" i="98"/>
  <c r="E46" i="98"/>
  <c r="Y49" i="98"/>
  <c r="Y48" i="98"/>
  <c r="Y47" i="98"/>
  <c r="Y46" i="98"/>
  <c r="Y45" i="98"/>
  <c r="Y44" i="98"/>
  <c r="Y43" i="98"/>
  <c r="Y42" i="98"/>
  <c r="Y41" i="98"/>
  <c r="Y37" i="98"/>
  <c r="J37" i="98"/>
  <c r="Y36" i="98"/>
  <c r="Y38" i="98" s="1"/>
  <c r="J36" i="98"/>
  <c r="J38" i="98" s="1"/>
  <c r="G32" i="98"/>
  <c r="V32" i="98"/>
  <c r="E23" i="98"/>
  <c r="I23" i="98" s="1"/>
  <c r="T27" i="98"/>
  <c r="X27" i="98" s="1"/>
  <c r="E27" i="98"/>
  <c r="I27" i="98" s="1"/>
  <c r="T26" i="98"/>
  <c r="X26" i="98" s="1"/>
  <c r="T25" i="98"/>
  <c r="X25" i="98" s="1"/>
  <c r="T24" i="98"/>
  <c r="X24" i="98" s="1"/>
  <c r="T23" i="98"/>
  <c r="X23" i="98" s="1"/>
  <c r="T22" i="98"/>
  <c r="X22" i="98" s="1"/>
  <c r="T21" i="98"/>
  <c r="X21" i="98" s="1"/>
  <c r="T20" i="98"/>
  <c r="X20" i="98" s="1"/>
  <c r="T19" i="98"/>
  <c r="X19" i="98" s="1"/>
  <c r="T18" i="98"/>
  <c r="X18" i="98" s="1"/>
  <c r="T17" i="98"/>
  <c r="X17" i="98" s="1"/>
  <c r="T16" i="98"/>
  <c r="X16" i="98" s="1"/>
  <c r="T15" i="98"/>
  <c r="X15" i="98" s="1"/>
  <c r="T14" i="98"/>
  <c r="X14" i="98" s="1"/>
  <c r="T13" i="98"/>
  <c r="X13" i="98" s="1"/>
  <c r="T12" i="98"/>
  <c r="X12" i="98" s="1"/>
  <c r="T6" i="98"/>
  <c r="D92" i="98"/>
  <c r="R2" i="98"/>
  <c r="V103" i="97"/>
  <c r="G103" i="97"/>
  <c r="J98" i="97"/>
  <c r="E98" i="97"/>
  <c r="T97" i="97"/>
  <c r="X96" i="97"/>
  <c r="T96" i="97"/>
  <c r="T92" i="97"/>
  <c r="V92" i="97"/>
  <c r="T91" i="97"/>
  <c r="V91" i="97"/>
  <c r="T90" i="97"/>
  <c r="V90" i="97"/>
  <c r="V86" i="97"/>
  <c r="V85" i="97"/>
  <c r="V83" i="97"/>
  <c r="Y81" i="97"/>
  <c r="X83" i="97" s="1"/>
  <c r="J81" i="97"/>
  <c r="Y80" i="97"/>
  <c r="V71" i="97"/>
  <c r="V70" i="97"/>
  <c r="V67" i="97"/>
  <c r="X64" i="97"/>
  <c r="X61" i="97"/>
  <c r="X58" i="97"/>
  <c r="X55" i="97"/>
  <c r="X52" i="97"/>
  <c r="T50" i="97"/>
  <c r="E46" i="97"/>
  <c r="Y49" i="97"/>
  <c r="Y48" i="97"/>
  <c r="Y47" i="97"/>
  <c r="Y46" i="97"/>
  <c r="Y45" i="97"/>
  <c r="Y44" i="97"/>
  <c r="Y43" i="97"/>
  <c r="Y42" i="97"/>
  <c r="Y41" i="97"/>
  <c r="Y37" i="97"/>
  <c r="J37" i="97"/>
  <c r="Y36" i="97"/>
  <c r="Y38" i="97" s="1"/>
  <c r="J36" i="97"/>
  <c r="G32" i="97"/>
  <c r="V32" i="97"/>
  <c r="E23" i="97"/>
  <c r="I23" i="97" s="1"/>
  <c r="T27" i="97"/>
  <c r="X27" i="97" s="1"/>
  <c r="T26" i="97"/>
  <c r="X26" i="97" s="1"/>
  <c r="T25" i="97"/>
  <c r="X25" i="97" s="1"/>
  <c r="T24" i="97"/>
  <c r="X24" i="97" s="1"/>
  <c r="T23" i="97"/>
  <c r="X23" i="97" s="1"/>
  <c r="T22" i="97"/>
  <c r="X22" i="97" s="1"/>
  <c r="T21" i="97"/>
  <c r="X21" i="97" s="1"/>
  <c r="T20" i="97"/>
  <c r="X20" i="97" s="1"/>
  <c r="T19" i="97"/>
  <c r="X19" i="97" s="1"/>
  <c r="T18" i="97"/>
  <c r="X18" i="97" s="1"/>
  <c r="T17" i="97"/>
  <c r="X17" i="97" s="1"/>
  <c r="T16" i="97"/>
  <c r="X16" i="97" s="1"/>
  <c r="T15" i="97"/>
  <c r="X15" i="97" s="1"/>
  <c r="T14" i="97"/>
  <c r="X14" i="97" s="1"/>
  <c r="T13" i="97"/>
  <c r="X13" i="97" s="1"/>
  <c r="T12" i="97"/>
  <c r="X12" i="97" s="1"/>
  <c r="T6" i="97"/>
  <c r="D92" i="97"/>
  <c r="R2" i="97"/>
  <c r="J104" i="96"/>
  <c r="G103" i="96"/>
  <c r="E98" i="96"/>
  <c r="T97" i="96"/>
  <c r="X96" i="96"/>
  <c r="T96" i="96"/>
  <c r="T92" i="96"/>
  <c r="V92" i="96"/>
  <c r="T91" i="96"/>
  <c r="V91" i="96"/>
  <c r="T90" i="96"/>
  <c r="V90" i="96"/>
  <c r="V87" i="96"/>
  <c r="V86" i="96"/>
  <c r="V85" i="96"/>
  <c r="V83" i="96"/>
  <c r="Y81" i="96"/>
  <c r="X83" i="96" s="1"/>
  <c r="J81" i="96"/>
  <c r="Y80" i="96"/>
  <c r="V70" i="96"/>
  <c r="V67" i="96"/>
  <c r="X64" i="96"/>
  <c r="X61" i="96"/>
  <c r="X58" i="96"/>
  <c r="X55" i="96"/>
  <c r="X52" i="96"/>
  <c r="T50" i="96"/>
  <c r="E46" i="96"/>
  <c r="Y49" i="96"/>
  <c r="Y48" i="96"/>
  <c r="Y47" i="96"/>
  <c r="Y46" i="96"/>
  <c r="Y45" i="96"/>
  <c r="Y44" i="96"/>
  <c r="Y43" i="96"/>
  <c r="Y42" i="96"/>
  <c r="Y41" i="96"/>
  <c r="Y37" i="96"/>
  <c r="J37" i="96"/>
  <c r="Y36" i="96"/>
  <c r="Y38" i="96" s="1"/>
  <c r="J36" i="96"/>
  <c r="G32" i="96"/>
  <c r="V32" i="96"/>
  <c r="E23" i="96"/>
  <c r="I23" i="96" s="1"/>
  <c r="T27" i="96"/>
  <c r="X27" i="96" s="1"/>
  <c r="T26" i="96"/>
  <c r="X26" i="96" s="1"/>
  <c r="T25" i="96"/>
  <c r="X25" i="96" s="1"/>
  <c r="T24" i="96"/>
  <c r="X24" i="96" s="1"/>
  <c r="T23" i="96"/>
  <c r="X23" i="96" s="1"/>
  <c r="T22" i="96"/>
  <c r="X22" i="96" s="1"/>
  <c r="T21" i="96"/>
  <c r="X21" i="96" s="1"/>
  <c r="T20" i="96"/>
  <c r="X20" i="96" s="1"/>
  <c r="T19" i="96"/>
  <c r="X19" i="96" s="1"/>
  <c r="T18" i="96"/>
  <c r="X18" i="96" s="1"/>
  <c r="T17" i="96"/>
  <c r="X17" i="96" s="1"/>
  <c r="T16" i="96"/>
  <c r="X16" i="96" s="1"/>
  <c r="T15" i="96"/>
  <c r="X15" i="96" s="1"/>
  <c r="T14" i="96"/>
  <c r="X14" i="96" s="1"/>
  <c r="T13" i="96"/>
  <c r="T12" i="96"/>
  <c r="X12" i="96" s="1"/>
  <c r="T6" i="96"/>
  <c r="R2" i="96"/>
  <c r="V103" i="95"/>
  <c r="J104" i="95"/>
  <c r="G103" i="95"/>
  <c r="X97" i="95"/>
  <c r="Y97" i="95" s="1"/>
  <c r="E98" i="95"/>
  <c r="T97" i="95"/>
  <c r="X96" i="95"/>
  <c r="Y96" i="95" s="1"/>
  <c r="T96" i="95"/>
  <c r="T92" i="95"/>
  <c r="V92" i="95"/>
  <c r="T91" i="95"/>
  <c r="V91" i="95"/>
  <c r="T90" i="95"/>
  <c r="V90" i="95"/>
  <c r="V86" i="95"/>
  <c r="V83" i="95"/>
  <c r="Y81" i="95"/>
  <c r="J81" i="95"/>
  <c r="Y80" i="95"/>
  <c r="V67" i="95"/>
  <c r="X64" i="95"/>
  <c r="X61" i="95"/>
  <c r="X58" i="95"/>
  <c r="X55" i="95"/>
  <c r="X52" i="95"/>
  <c r="T50" i="95"/>
  <c r="E46" i="95"/>
  <c r="Y49" i="95"/>
  <c r="Y48" i="95"/>
  <c r="Y47" i="95"/>
  <c r="Y46" i="95"/>
  <c r="Y45" i="95"/>
  <c r="Y44" i="95"/>
  <c r="Y43" i="95"/>
  <c r="Y42" i="95"/>
  <c r="Y41" i="95"/>
  <c r="Y37" i="95"/>
  <c r="J37" i="95"/>
  <c r="Y36" i="95"/>
  <c r="Y38" i="95" s="1"/>
  <c r="J36" i="95"/>
  <c r="J38" i="95" s="1"/>
  <c r="G32" i="95"/>
  <c r="V32" i="95"/>
  <c r="E23" i="95"/>
  <c r="I23" i="95" s="1"/>
  <c r="T27" i="95"/>
  <c r="X27" i="95" s="1"/>
  <c r="T26" i="95"/>
  <c r="X26" i="95" s="1"/>
  <c r="T25" i="95"/>
  <c r="X25" i="95" s="1"/>
  <c r="T24" i="95"/>
  <c r="X24" i="95" s="1"/>
  <c r="T23" i="95"/>
  <c r="X23" i="95" s="1"/>
  <c r="T22" i="95"/>
  <c r="X22" i="95" s="1"/>
  <c r="T21" i="95"/>
  <c r="X21" i="95" s="1"/>
  <c r="T20" i="95"/>
  <c r="X20" i="95" s="1"/>
  <c r="T19" i="95"/>
  <c r="X19" i="95" s="1"/>
  <c r="T18" i="95"/>
  <c r="X18" i="95" s="1"/>
  <c r="T17" i="95"/>
  <c r="X17" i="95" s="1"/>
  <c r="T16" i="95"/>
  <c r="X16" i="95" s="1"/>
  <c r="T15" i="95"/>
  <c r="X15" i="95" s="1"/>
  <c r="T14" i="95"/>
  <c r="X14" i="95" s="1"/>
  <c r="T13" i="95"/>
  <c r="T12" i="95"/>
  <c r="X12" i="95" s="1"/>
  <c r="T6" i="95"/>
  <c r="R2" i="95"/>
  <c r="J104" i="94"/>
  <c r="G103" i="94"/>
  <c r="X97" i="94"/>
  <c r="E98" i="94"/>
  <c r="T97" i="94"/>
  <c r="X96" i="94"/>
  <c r="T96" i="94"/>
  <c r="T92" i="94"/>
  <c r="V92" i="94"/>
  <c r="T91" i="94"/>
  <c r="V91" i="94"/>
  <c r="T90" i="94"/>
  <c r="V90" i="94"/>
  <c r="V86" i="94"/>
  <c r="V83" i="94"/>
  <c r="Y81" i="94"/>
  <c r="J81" i="94"/>
  <c r="Y80" i="94"/>
  <c r="V71" i="94"/>
  <c r="V70" i="94"/>
  <c r="V67" i="94"/>
  <c r="X64" i="94"/>
  <c r="X61" i="94"/>
  <c r="X58" i="94"/>
  <c r="X55" i="94"/>
  <c r="X52" i="94"/>
  <c r="T50" i="94"/>
  <c r="E46" i="94"/>
  <c r="Y49" i="94"/>
  <c r="Y48" i="94"/>
  <c r="Y47" i="94"/>
  <c r="Y46" i="94"/>
  <c r="Y45" i="94"/>
  <c r="Y44" i="94"/>
  <c r="Y43" i="94"/>
  <c r="Y42" i="94"/>
  <c r="Y41" i="94"/>
  <c r="Y37" i="94"/>
  <c r="J37" i="94"/>
  <c r="Y36" i="94"/>
  <c r="Y38" i="94" s="1"/>
  <c r="J36" i="94"/>
  <c r="G32" i="94"/>
  <c r="V32" i="94"/>
  <c r="E23" i="94"/>
  <c r="I23" i="94" s="1"/>
  <c r="T27" i="94"/>
  <c r="X27" i="94" s="1"/>
  <c r="T26" i="94"/>
  <c r="X26" i="94" s="1"/>
  <c r="T25" i="94"/>
  <c r="X25" i="94" s="1"/>
  <c r="T24" i="94"/>
  <c r="X24" i="94" s="1"/>
  <c r="T23" i="94"/>
  <c r="X23" i="94" s="1"/>
  <c r="T22" i="94"/>
  <c r="X22" i="94" s="1"/>
  <c r="T21" i="94"/>
  <c r="X21" i="94" s="1"/>
  <c r="T20" i="94"/>
  <c r="X20" i="94" s="1"/>
  <c r="T19" i="94"/>
  <c r="X19" i="94" s="1"/>
  <c r="T18" i="94"/>
  <c r="X18" i="94" s="1"/>
  <c r="T17" i="94"/>
  <c r="X17" i="94" s="1"/>
  <c r="T16" i="94"/>
  <c r="X16" i="94" s="1"/>
  <c r="T15" i="94"/>
  <c r="X15" i="94" s="1"/>
  <c r="T14" i="94"/>
  <c r="X14" i="94" s="1"/>
  <c r="T13" i="94"/>
  <c r="T12" i="94"/>
  <c r="X12" i="94" s="1"/>
  <c r="T6" i="94"/>
  <c r="R2" i="94"/>
  <c r="G103" i="93"/>
  <c r="X97" i="93"/>
  <c r="Y97" i="93" s="1"/>
  <c r="E98" i="93"/>
  <c r="T97" i="93"/>
  <c r="X96" i="93"/>
  <c r="T96" i="93"/>
  <c r="T92" i="93"/>
  <c r="V92" i="93"/>
  <c r="T91" i="93"/>
  <c r="V91" i="93"/>
  <c r="T90" i="93"/>
  <c r="V90" i="93"/>
  <c r="V86" i="93"/>
  <c r="V83" i="93"/>
  <c r="Y81" i="93"/>
  <c r="X83" i="93" s="1"/>
  <c r="J81" i="93"/>
  <c r="Y80" i="93"/>
  <c r="V67" i="93"/>
  <c r="X64" i="93"/>
  <c r="X61" i="93"/>
  <c r="X58" i="93"/>
  <c r="X55" i="93"/>
  <c r="X52" i="93"/>
  <c r="T50" i="93"/>
  <c r="E46" i="93"/>
  <c r="Y49" i="93"/>
  <c r="Y48" i="93"/>
  <c r="Y47" i="93"/>
  <c r="Y46" i="93"/>
  <c r="Y45" i="93"/>
  <c r="Y44" i="93"/>
  <c r="Y43" i="93"/>
  <c r="Y42" i="93"/>
  <c r="Y41" i="93"/>
  <c r="Y37" i="93"/>
  <c r="J37" i="93"/>
  <c r="Y36" i="93"/>
  <c r="Y38" i="93" s="1"/>
  <c r="J36" i="93"/>
  <c r="J38" i="93" s="1"/>
  <c r="G32" i="93"/>
  <c r="V32" i="93"/>
  <c r="E23" i="93"/>
  <c r="I23" i="93" s="1"/>
  <c r="T27" i="93"/>
  <c r="X27" i="93" s="1"/>
  <c r="T26" i="93"/>
  <c r="X26" i="93" s="1"/>
  <c r="T25" i="93"/>
  <c r="X25" i="93" s="1"/>
  <c r="T24" i="93"/>
  <c r="X24" i="93" s="1"/>
  <c r="T23" i="93"/>
  <c r="X23" i="93" s="1"/>
  <c r="T22" i="93"/>
  <c r="X22" i="93" s="1"/>
  <c r="T21" i="93"/>
  <c r="X21" i="93" s="1"/>
  <c r="T20" i="93"/>
  <c r="X20" i="93" s="1"/>
  <c r="T19" i="93"/>
  <c r="X19" i="93" s="1"/>
  <c r="T18" i="93"/>
  <c r="X18" i="93" s="1"/>
  <c r="T17" i="93"/>
  <c r="X17" i="93" s="1"/>
  <c r="T16" i="93"/>
  <c r="X16" i="93" s="1"/>
  <c r="T15" i="93"/>
  <c r="X15" i="93" s="1"/>
  <c r="T14" i="93"/>
  <c r="X14" i="93" s="1"/>
  <c r="T13" i="93"/>
  <c r="X13" i="93" s="1"/>
  <c r="T12" i="93"/>
  <c r="X12" i="93" s="1"/>
  <c r="T6" i="93"/>
  <c r="R2" i="93"/>
  <c r="V103" i="92"/>
  <c r="G103" i="92"/>
  <c r="J98" i="92"/>
  <c r="E98" i="92"/>
  <c r="T97" i="92"/>
  <c r="X96" i="92"/>
  <c r="T96" i="92"/>
  <c r="T92" i="92"/>
  <c r="V92" i="92"/>
  <c r="T91" i="92"/>
  <c r="V91" i="92"/>
  <c r="T90" i="92"/>
  <c r="V90" i="92"/>
  <c r="V87" i="92"/>
  <c r="V86" i="92"/>
  <c r="Y81" i="92"/>
  <c r="X83" i="92" s="1"/>
  <c r="J81" i="92"/>
  <c r="Y80" i="92"/>
  <c r="V67" i="92"/>
  <c r="X64" i="92"/>
  <c r="X61" i="92"/>
  <c r="X58" i="92"/>
  <c r="X55" i="92"/>
  <c r="X52" i="92"/>
  <c r="T50" i="92"/>
  <c r="E46" i="92"/>
  <c r="Y49" i="92"/>
  <c r="Y48" i="92"/>
  <c r="Y47" i="92"/>
  <c r="Y46" i="92"/>
  <c r="Y45" i="92"/>
  <c r="Y44" i="92"/>
  <c r="Y43" i="92"/>
  <c r="Y42" i="92"/>
  <c r="Y41" i="92"/>
  <c r="Y37" i="92"/>
  <c r="J37" i="92"/>
  <c r="Y36" i="92"/>
  <c r="Y38" i="92" s="1"/>
  <c r="J36" i="92"/>
  <c r="J38" i="92" s="1"/>
  <c r="G32" i="92"/>
  <c r="V32" i="92"/>
  <c r="E23" i="92"/>
  <c r="I23" i="92" s="1"/>
  <c r="T27" i="92"/>
  <c r="X27" i="92" s="1"/>
  <c r="T26" i="92"/>
  <c r="X26" i="92" s="1"/>
  <c r="T25" i="92"/>
  <c r="X25" i="92" s="1"/>
  <c r="T24" i="92"/>
  <c r="X24" i="92" s="1"/>
  <c r="T23" i="92"/>
  <c r="X23" i="92" s="1"/>
  <c r="T22" i="92"/>
  <c r="X22" i="92" s="1"/>
  <c r="T21" i="92"/>
  <c r="X21" i="92" s="1"/>
  <c r="T20" i="92"/>
  <c r="X20" i="92" s="1"/>
  <c r="T19" i="92"/>
  <c r="X19" i="92" s="1"/>
  <c r="T18" i="92"/>
  <c r="X18" i="92" s="1"/>
  <c r="T17" i="92"/>
  <c r="X17" i="92" s="1"/>
  <c r="T16" i="92"/>
  <c r="X16" i="92" s="1"/>
  <c r="T15" i="92"/>
  <c r="X15" i="92" s="1"/>
  <c r="T14" i="92"/>
  <c r="X14" i="92" s="1"/>
  <c r="T13" i="92"/>
  <c r="T12" i="92"/>
  <c r="X12" i="92" s="1"/>
  <c r="T6" i="92"/>
  <c r="R2" i="92"/>
  <c r="V103" i="91"/>
  <c r="J104" i="91"/>
  <c r="G103" i="91"/>
  <c r="E98" i="91"/>
  <c r="T97" i="91"/>
  <c r="X96" i="91"/>
  <c r="T96" i="91"/>
  <c r="T92" i="91"/>
  <c r="V92" i="91"/>
  <c r="T91" i="91"/>
  <c r="V91" i="91"/>
  <c r="T90" i="91"/>
  <c r="V90" i="91"/>
  <c r="V87" i="91"/>
  <c r="V86" i="91"/>
  <c r="V83" i="91"/>
  <c r="Y81" i="91"/>
  <c r="J81" i="91"/>
  <c r="Y80" i="91"/>
  <c r="V67" i="91"/>
  <c r="X64" i="91"/>
  <c r="X61" i="91"/>
  <c r="X58" i="91"/>
  <c r="X55" i="91"/>
  <c r="X52" i="91"/>
  <c r="T50" i="91"/>
  <c r="E49" i="91"/>
  <c r="Y49" i="91"/>
  <c r="Y48" i="91"/>
  <c r="Y47" i="91"/>
  <c r="E47" i="91"/>
  <c r="Y46" i="91"/>
  <c r="Y45" i="91"/>
  <c r="Y44" i="91"/>
  <c r="Y43" i="91"/>
  <c r="Y42" i="91"/>
  <c r="Y41" i="91"/>
  <c r="Y37" i="91"/>
  <c r="J37" i="91"/>
  <c r="Y36" i="91"/>
  <c r="Y38" i="91" s="1"/>
  <c r="J36" i="91"/>
  <c r="J38" i="91" s="1"/>
  <c r="G32" i="91"/>
  <c r="V32" i="91"/>
  <c r="E26" i="91"/>
  <c r="I26" i="91" s="1"/>
  <c r="T27" i="91"/>
  <c r="X27" i="91" s="1"/>
  <c r="T26" i="91"/>
  <c r="X26" i="91" s="1"/>
  <c r="T25" i="91"/>
  <c r="X25" i="91" s="1"/>
  <c r="T24" i="91"/>
  <c r="X24" i="91" s="1"/>
  <c r="T23" i="91"/>
  <c r="X23" i="91" s="1"/>
  <c r="T22" i="91"/>
  <c r="X22" i="91" s="1"/>
  <c r="T21" i="91"/>
  <c r="X21" i="91" s="1"/>
  <c r="T20" i="91"/>
  <c r="X20" i="91" s="1"/>
  <c r="T19" i="91"/>
  <c r="X19" i="91" s="1"/>
  <c r="T18" i="91"/>
  <c r="X18" i="91" s="1"/>
  <c r="T17" i="91"/>
  <c r="X17" i="91" s="1"/>
  <c r="T16" i="91"/>
  <c r="X16" i="91" s="1"/>
  <c r="T15" i="91"/>
  <c r="X15" i="91" s="1"/>
  <c r="T14" i="91"/>
  <c r="X14" i="91" s="1"/>
  <c r="T13" i="91"/>
  <c r="T12" i="91"/>
  <c r="X12" i="91" s="1"/>
  <c r="T6" i="91"/>
  <c r="R2" i="91"/>
  <c r="V103" i="90"/>
  <c r="J104" i="90"/>
  <c r="G103" i="90"/>
  <c r="J98" i="90"/>
  <c r="E98" i="90"/>
  <c r="T97" i="90"/>
  <c r="X96" i="90"/>
  <c r="T96" i="90"/>
  <c r="T92" i="90"/>
  <c r="V92" i="90"/>
  <c r="T91" i="90"/>
  <c r="V91" i="90"/>
  <c r="T90" i="90"/>
  <c r="V90" i="90"/>
  <c r="V87" i="90"/>
  <c r="V86" i="90"/>
  <c r="V85" i="90"/>
  <c r="V83" i="90"/>
  <c r="Y81" i="90"/>
  <c r="X83" i="90" s="1"/>
  <c r="J81" i="90"/>
  <c r="Y80" i="90"/>
  <c r="V71" i="90"/>
  <c r="V70" i="90"/>
  <c r="V67" i="90"/>
  <c r="X64" i="90"/>
  <c r="X61" i="90"/>
  <c r="X58" i="90"/>
  <c r="X55" i="90"/>
  <c r="X52" i="90"/>
  <c r="T50" i="90"/>
  <c r="E46" i="90"/>
  <c r="Y49" i="90"/>
  <c r="Y48" i="90"/>
  <c r="Y47" i="90"/>
  <c r="Y46" i="90"/>
  <c r="Y45" i="90"/>
  <c r="Y44" i="90"/>
  <c r="Y43" i="90"/>
  <c r="Y42" i="90"/>
  <c r="Y41" i="90"/>
  <c r="Y37" i="90"/>
  <c r="J37" i="90"/>
  <c r="Y36" i="90"/>
  <c r="Y38" i="90" s="1"/>
  <c r="J36" i="90"/>
  <c r="G32" i="90"/>
  <c r="V32" i="90"/>
  <c r="E23" i="90"/>
  <c r="I23" i="90" s="1"/>
  <c r="T27" i="90"/>
  <c r="X27" i="90" s="1"/>
  <c r="T26" i="90"/>
  <c r="X26" i="90" s="1"/>
  <c r="T25" i="90"/>
  <c r="X25" i="90" s="1"/>
  <c r="T24" i="90"/>
  <c r="X24" i="90" s="1"/>
  <c r="T23" i="90"/>
  <c r="X23" i="90" s="1"/>
  <c r="T22" i="90"/>
  <c r="X22" i="90" s="1"/>
  <c r="T21" i="90"/>
  <c r="X21" i="90" s="1"/>
  <c r="T20" i="90"/>
  <c r="X20" i="90" s="1"/>
  <c r="T19" i="90"/>
  <c r="X19" i="90" s="1"/>
  <c r="T18" i="90"/>
  <c r="X18" i="90" s="1"/>
  <c r="T17" i="90"/>
  <c r="X17" i="90" s="1"/>
  <c r="T16" i="90"/>
  <c r="X16" i="90" s="1"/>
  <c r="T15" i="90"/>
  <c r="X15" i="90" s="1"/>
  <c r="T14" i="90"/>
  <c r="X14" i="90" s="1"/>
  <c r="T13" i="90"/>
  <c r="X13" i="90" s="1"/>
  <c r="T12" i="90"/>
  <c r="X12" i="90" s="1"/>
  <c r="T6" i="90"/>
  <c r="R2" i="90"/>
  <c r="V103" i="89"/>
  <c r="J104" i="89"/>
  <c r="G103" i="89"/>
  <c r="X97" i="89"/>
  <c r="E98" i="89"/>
  <c r="T97" i="89"/>
  <c r="X96" i="89"/>
  <c r="T96" i="89"/>
  <c r="T92" i="89"/>
  <c r="V92" i="89"/>
  <c r="T91" i="89"/>
  <c r="V91" i="89"/>
  <c r="T90" i="89"/>
  <c r="V90" i="89"/>
  <c r="V87" i="89"/>
  <c r="V86" i="89"/>
  <c r="V83" i="89"/>
  <c r="Y80" i="89"/>
  <c r="V70" i="89"/>
  <c r="V67" i="89"/>
  <c r="X64" i="89"/>
  <c r="X61" i="89"/>
  <c r="X58" i="89"/>
  <c r="X55" i="89"/>
  <c r="X52" i="89"/>
  <c r="T50" i="89"/>
  <c r="E46" i="89"/>
  <c r="Y49" i="89"/>
  <c r="Y48" i="89"/>
  <c r="Y47" i="89"/>
  <c r="Y46" i="89"/>
  <c r="Y45" i="89"/>
  <c r="Y44" i="89"/>
  <c r="Y43" i="89"/>
  <c r="E43" i="89"/>
  <c r="Y42" i="89"/>
  <c r="Y41" i="89"/>
  <c r="Y37" i="89"/>
  <c r="J37" i="89"/>
  <c r="I54" i="56" s="1"/>
  <c r="Y36" i="89"/>
  <c r="J36" i="89"/>
  <c r="G32" i="89"/>
  <c r="V32" i="89"/>
  <c r="E23" i="89"/>
  <c r="I23" i="89" s="1"/>
  <c r="T27" i="89"/>
  <c r="X27" i="89" s="1"/>
  <c r="T26" i="89"/>
  <c r="X26" i="89" s="1"/>
  <c r="T25" i="89"/>
  <c r="X25" i="89" s="1"/>
  <c r="T24" i="89"/>
  <c r="X24" i="89" s="1"/>
  <c r="T23" i="89"/>
  <c r="X23" i="89" s="1"/>
  <c r="T22" i="89"/>
  <c r="X22" i="89" s="1"/>
  <c r="T21" i="89"/>
  <c r="X21" i="89" s="1"/>
  <c r="T20" i="89"/>
  <c r="X20" i="89" s="1"/>
  <c r="T19" i="89"/>
  <c r="X19" i="89" s="1"/>
  <c r="T18" i="89"/>
  <c r="X18" i="89" s="1"/>
  <c r="T17" i="89"/>
  <c r="X17" i="89" s="1"/>
  <c r="T16" i="89"/>
  <c r="X16" i="89" s="1"/>
  <c r="T15" i="89"/>
  <c r="X15" i="89" s="1"/>
  <c r="T14" i="89"/>
  <c r="X14" i="89" s="1"/>
  <c r="T13" i="89"/>
  <c r="T12" i="89"/>
  <c r="X12" i="89" s="1"/>
  <c r="T6" i="89"/>
  <c r="R2" i="89"/>
  <c r="G103" i="88"/>
  <c r="X97" i="88"/>
  <c r="Y97" i="88" s="1"/>
  <c r="E98" i="88"/>
  <c r="T97" i="88"/>
  <c r="X96" i="88"/>
  <c r="T96" i="88"/>
  <c r="T92" i="88"/>
  <c r="V92" i="88"/>
  <c r="T91" i="88"/>
  <c r="V91" i="88"/>
  <c r="T90" i="88"/>
  <c r="V90" i="88"/>
  <c r="V87" i="88"/>
  <c r="V86" i="88"/>
  <c r="V85" i="88"/>
  <c r="V83" i="88"/>
  <c r="Y81" i="88"/>
  <c r="Y80" i="88"/>
  <c r="V70" i="88"/>
  <c r="V67" i="88"/>
  <c r="X64" i="88"/>
  <c r="X61" i="88"/>
  <c r="X58" i="88"/>
  <c r="X55" i="88"/>
  <c r="X52" i="88"/>
  <c r="T50" i="88"/>
  <c r="E46" i="88"/>
  <c r="Y49" i="88"/>
  <c r="Y48" i="88"/>
  <c r="Y47" i="88"/>
  <c r="Y46" i="88"/>
  <c r="Y45" i="88"/>
  <c r="Y44" i="88"/>
  <c r="Y43" i="88"/>
  <c r="Y42" i="88"/>
  <c r="Y41" i="88"/>
  <c r="Y37" i="88"/>
  <c r="J37" i="88"/>
  <c r="Y36" i="88"/>
  <c r="J36" i="88"/>
  <c r="J38" i="88" s="1"/>
  <c r="G32" i="88"/>
  <c r="V32" i="88"/>
  <c r="E23" i="88"/>
  <c r="I23" i="88" s="1"/>
  <c r="T27" i="88"/>
  <c r="X27" i="88" s="1"/>
  <c r="T26" i="88"/>
  <c r="X26" i="88" s="1"/>
  <c r="T25" i="88"/>
  <c r="X25" i="88" s="1"/>
  <c r="T24" i="88"/>
  <c r="X24" i="88" s="1"/>
  <c r="T23" i="88"/>
  <c r="X23" i="88" s="1"/>
  <c r="T22" i="88"/>
  <c r="X22" i="88" s="1"/>
  <c r="T21" i="88"/>
  <c r="X21" i="88" s="1"/>
  <c r="T20" i="88"/>
  <c r="X20" i="88" s="1"/>
  <c r="T19" i="88"/>
  <c r="X19" i="88" s="1"/>
  <c r="T18" i="88"/>
  <c r="X18" i="88" s="1"/>
  <c r="T17" i="88"/>
  <c r="X17" i="88" s="1"/>
  <c r="T16" i="88"/>
  <c r="X16" i="88" s="1"/>
  <c r="T15" i="88"/>
  <c r="X15" i="88" s="1"/>
  <c r="T14" i="88"/>
  <c r="X14" i="88" s="1"/>
  <c r="T13" i="88"/>
  <c r="T12" i="88"/>
  <c r="X12" i="88" s="1"/>
  <c r="T6" i="88"/>
  <c r="R2" i="88"/>
  <c r="G103" i="87"/>
  <c r="E98" i="87"/>
  <c r="T97" i="87"/>
  <c r="X96" i="87"/>
  <c r="T96" i="87"/>
  <c r="T92" i="87"/>
  <c r="V92" i="87"/>
  <c r="T91" i="87"/>
  <c r="V91" i="87"/>
  <c r="T90" i="87"/>
  <c r="V90" i="87"/>
  <c r="V87" i="87"/>
  <c r="V86" i="87"/>
  <c r="Y81" i="87"/>
  <c r="J81" i="87"/>
  <c r="Y80" i="87"/>
  <c r="V71" i="87"/>
  <c r="V67" i="87"/>
  <c r="X64" i="87"/>
  <c r="X61" i="87"/>
  <c r="X58" i="87"/>
  <c r="X55" i="87"/>
  <c r="X52" i="87"/>
  <c r="T50" i="87"/>
  <c r="E46" i="87"/>
  <c r="Y49" i="87"/>
  <c r="Y48" i="87"/>
  <c r="Y47" i="87"/>
  <c r="E47" i="87"/>
  <c r="Y46" i="87"/>
  <c r="Y45" i="87"/>
  <c r="Y44" i="87"/>
  <c r="Y43" i="87"/>
  <c r="Y42" i="87"/>
  <c r="Y41" i="87"/>
  <c r="Y37" i="87"/>
  <c r="J37" i="87"/>
  <c r="Y36" i="87"/>
  <c r="Y38" i="87" s="1"/>
  <c r="J36" i="87"/>
  <c r="G32" i="87"/>
  <c r="V32" i="87"/>
  <c r="E23" i="87"/>
  <c r="I23" i="87" s="1"/>
  <c r="T27" i="87"/>
  <c r="X27" i="87" s="1"/>
  <c r="T26" i="87"/>
  <c r="X26" i="87" s="1"/>
  <c r="T25" i="87"/>
  <c r="X25" i="87" s="1"/>
  <c r="T24" i="87"/>
  <c r="X24" i="87" s="1"/>
  <c r="T23" i="87"/>
  <c r="X23" i="87" s="1"/>
  <c r="T22" i="87"/>
  <c r="X22" i="87" s="1"/>
  <c r="T21" i="87"/>
  <c r="X21" i="87" s="1"/>
  <c r="T20" i="87"/>
  <c r="X20" i="87" s="1"/>
  <c r="T19" i="87"/>
  <c r="X19" i="87" s="1"/>
  <c r="T18" i="87"/>
  <c r="X18" i="87" s="1"/>
  <c r="T17" i="87"/>
  <c r="X17" i="87" s="1"/>
  <c r="T16" i="87"/>
  <c r="X16" i="87" s="1"/>
  <c r="T15" i="87"/>
  <c r="X15" i="87" s="1"/>
  <c r="T14" i="87"/>
  <c r="T13" i="87"/>
  <c r="X13" i="87" s="1"/>
  <c r="T12" i="87"/>
  <c r="X12" i="87" s="1"/>
  <c r="T6" i="87"/>
  <c r="R2" i="87"/>
  <c r="V103" i="86"/>
  <c r="G103" i="86"/>
  <c r="J98" i="86"/>
  <c r="E98" i="86"/>
  <c r="T97" i="86"/>
  <c r="X96" i="86"/>
  <c r="T96" i="86"/>
  <c r="T92" i="86"/>
  <c r="V92" i="86"/>
  <c r="T91" i="86"/>
  <c r="V91" i="86"/>
  <c r="T90" i="86"/>
  <c r="V90" i="86"/>
  <c r="V87" i="86"/>
  <c r="V86" i="86"/>
  <c r="V83" i="86"/>
  <c r="Y81" i="86"/>
  <c r="J81" i="86"/>
  <c r="Y80" i="86"/>
  <c r="V71" i="86"/>
  <c r="V70" i="86"/>
  <c r="V67" i="86"/>
  <c r="X64" i="86"/>
  <c r="X61" i="86"/>
  <c r="X58" i="86"/>
  <c r="X55" i="86"/>
  <c r="X52" i="86"/>
  <c r="T50" i="86"/>
  <c r="E48" i="86"/>
  <c r="Y49" i="86"/>
  <c r="Y48" i="86"/>
  <c r="Y47" i="86"/>
  <c r="Y46" i="86"/>
  <c r="Y45" i="86"/>
  <c r="Y44" i="86"/>
  <c r="Y43" i="86"/>
  <c r="Y42" i="86"/>
  <c r="Y41" i="86"/>
  <c r="Y37" i="86"/>
  <c r="J37" i="86"/>
  <c r="Y36" i="86"/>
  <c r="Y38" i="86" s="1"/>
  <c r="J36" i="86"/>
  <c r="J38" i="86" s="1"/>
  <c r="G32" i="86"/>
  <c r="V32" i="86"/>
  <c r="E25" i="86"/>
  <c r="I25" i="86" s="1"/>
  <c r="T27" i="86"/>
  <c r="X27" i="86" s="1"/>
  <c r="T26" i="86"/>
  <c r="X26" i="86" s="1"/>
  <c r="T25" i="86"/>
  <c r="X25" i="86" s="1"/>
  <c r="T24" i="86"/>
  <c r="X24" i="86" s="1"/>
  <c r="T23" i="86"/>
  <c r="X23" i="86" s="1"/>
  <c r="T22" i="86"/>
  <c r="X22" i="86" s="1"/>
  <c r="T21" i="86"/>
  <c r="X21" i="86" s="1"/>
  <c r="T20" i="86"/>
  <c r="X20" i="86" s="1"/>
  <c r="T19" i="86"/>
  <c r="X19" i="86" s="1"/>
  <c r="T18" i="86"/>
  <c r="X18" i="86" s="1"/>
  <c r="T17" i="86"/>
  <c r="X17" i="86" s="1"/>
  <c r="T16" i="86"/>
  <c r="X16" i="86" s="1"/>
  <c r="T15" i="86"/>
  <c r="X15" i="86" s="1"/>
  <c r="T14" i="86"/>
  <c r="X14" i="86" s="1"/>
  <c r="T13" i="86"/>
  <c r="T12" i="86"/>
  <c r="X12" i="86" s="1"/>
  <c r="T6" i="86"/>
  <c r="R2" i="86"/>
  <c r="V103" i="85"/>
  <c r="J104" i="85"/>
  <c r="G103" i="85"/>
  <c r="E98" i="85"/>
  <c r="T97" i="85"/>
  <c r="X96" i="85"/>
  <c r="T96" i="85"/>
  <c r="T92" i="85"/>
  <c r="V92" i="85"/>
  <c r="T91" i="85"/>
  <c r="V91" i="85"/>
  <c r="T90" i="85"/>
  <c r="V90" i="85"/>
  <c r="V87" i="85"/>
  <c r="V83" i="85"/>
  <c r="Y81" i="85"/>
  <c r="Y80" i="85"/>
  <c r="V71" i="85"/>
  <c r="V70" i="85"/>
  <c r="V67" i="85"/>
  <c r="X64" i="85"/>
  <c r="X61" i="85"/>
  <c r="X58" i="85"/>
  <c r="X55" i="85"/>
  <c r="X52" i="85"/>
  <c r="T50" i="85"/>
  <c r="E46" i="85"/>
  <c r="Y49" i="85"/>
  <c r="Y48" i="85"/>
  <c r="Y47" i="85"/>
  <c r="Y46" i="85"/>
  <c r="Y45" i="85"/>
  <c r="Y44" i="85"/>
  <c r="Y43" i="85"/>
  <c r="Y42" i="85"/>
  <c r="Y41" i="85"/>
  <c r="Y37" i="85"/>
  <c r="J37" i="85"/>
  <c r="Y36" i="85"/>
  <c r="J36" i="85"/>
  <c r="G32" i="85"/>
  <c r="V32" i="85"/>
  <c r="E23" i="85"/>
  <c r="I23" i="85" s="1"/>
  <c r="T27" i="85"/>
  <c r="X27" i="85" s="1"/>
  <c r="T26" i="85"/>
  <c r="X26" i="85" s="1"/>
  <c r="T25" i="85"/>
  <c r="X25" i="85" s="1"/>
  <c r="T24" i="85"/>
  <c r="X24" i="85" s="1"/>
  <c r="T23" i="85"/>
  <c r="X23" i="85" s="1"/>
  <c r="T22" i="85"/>
  <c r="X22" i="85" s="1"/>
  <c r="T21" i="85"/>
  <c r="X21" i="85" s="1"/>
  <c r="T20" i="85"/>
  <c r="X20" i="85" s="1"/>
  <c r="T19" i="85"/>
  <c r="X19" i="85" s="1"/>
  <c r="T18" i="85"/>
  <c r="X18" i="85" s="1"/>
  <c r="T17" i="85"/>
  <c r="X17" i="85" s="1"/>
  <c r="T16" i="85"/>
  <c r="X16" i="85" s="1"/>
  <c r="T15" i="85"/>
  <c r="X15" i="85" s="1"/>
  <c r="T14" i="85"/>
  <c r="X14" i="85" s="1"/>
  <c r="T13" i="85"/>
  <c r="T12" i="85"/>
  <c r="X12" i="85" s="1"/>
  <c r="T6" i="85"/>
  <c r="R2" i="85"/>
  <c r="G103" i="84"/>
  <c r="J98" i="84"/>
  <c r="E98" i="84"/>
  <c r="T97" i="84"/>
  <c r="X96" i="84"/>
  <c r="T96" i="84"/>
  <c r="T92" i="84"/>
  <c r="V92" i="84"/>
  <c r="T91" i="84"/>
  <c r="V91" i="84"/>
  <c r="T90" i="84"/>
  <c r="V90" i="84"/>
  <c r="V86" i="84"/>
  <c r="Y81" i="84"/>
  <c r="X83" i="84" s="1"/>
  <c r="J81" i="84"/>
  <c r="Y80" i="84"/>
  <c r="V71" i="84"/>
  <c r="V70" i="84"/>
  <c r="V67" i="84"/>
  <c r="X64" i="84"/>
  <c r="X61" i="84"/>
  <c r="X58" i="84"/>
  <c r="X55" i="84"/>
  <c r="X52" i="84"/>
  <c r="T50" i="84"/>
  <c r="Y49" i="84"/>
  <c r="Y48" i="84"/>
  <c r="Y47" i="84"/>
  <c r="Y46" i="84"/>
  <c r="Y45" i="84"/>
  <c r="Y44" i="84"/>
  <c r="Y43" i="84"/>
  <c r="Y42" i="84"/>
  <c r="Y41" i="84"/>
  <c r="Y37" i="84"/>
  <c r="J37" i="84"/>
  <c r="Y36" i="84"/>
  <c r="J36" i="84"/>
  <c r="G32" i="84"/>
  <c r="V32" i="84"/>
  <c r="E23" i="84"/>
  <c r="I23" i="84" s="1"/>
  <c r="T27" i="84"/>
  <c r="X27" i="84" s="1"/>
  <c r="E27" i="84"/>
  <c r="I27" i="84" s="1"/>
  <c r="T26" i="84"/>
  <c r="X26" i="84" s="1"/>
  <c r="T25" i="84"/>
  <c r="X25" i="84" s="1"/>
  <c r="T24" i="84"/>
  <c r="X24" i="84" s="1"/>
  <c r="E24" i="84"/>
  <c r="I24" i="84" s="1"/>
  <c r="T23" i="84"/>
  <c r="X23" i="84" s="1"/>
  <c r="T22" i="84"/>
  <c r="X22" i="84" s="1"/>
  <c r="T21" i="84"/>
  <c r="X21" i="84" s="1"/>
  <c r="E21" i="84"/>
  <c r="I21" i="84" s="1"/>
  <c r="T20" i="84"/>
  <c r="X20" i="84" s="1"/>
  <c r="E20" i="84"/>
  <c r="I20" i="84" s="1"/>
  <c r="T19" i="84"/>
  <c r="X19" i="84" s="1"/>
  <c r="T18" i="84"/>
  <c r="X18" i="84" s="1"/>
  <c r="T17" i="84"/>
  <c r="X17" i="84" s="1"/>
  <c r="T16" i="84"/>
  <c r="X16" i="84" s="1"/>
  <c r="T15" i="84"/>
  <c r="X15" i="84" s="1"/>
  <c r="T14" i="84"/>
  <c r="X14" i="84" s="1"/>
  <c r="E14" i="84"/>
  <c r="I14" i="84" s="1"/>
  <c r="T13" i="84"/>
  <c r="T12" i="84"/>
  <c r="X12" i="84" s="1"/>
  <c r="T6" i="84"/>
  <c r="R2" i="84"/>
  <c r="J104" i="83"/>
  <c r="G103" i="83"/>
  <c r="X97" i="83"/>
  <c r="E98" i="83"/>
  <c r="T97" i="83"/>
  <c r="X96" i="83"/>
  <c r="T96" i="83"/>
  <c r="T92" i="83"/>
  <c r="V92" i="83"/>
  <c r="T91" i="83"/>
  <c r="V91" i="83"/>
  <c r="T90" i="83"/>
  <c r="V90" i="83"/>
  <c r="V85" i="83"/>
  <c r="V83" i="83"/>
  <c r="Y81" i="83"/>
  <c r="J81" i="83"/>
  <c r="Y80" i="83"/>
  <c r="V71" i="83"/>
  <c r="V70" i="83"/>
  <c r="V67" i="83"/>
  <c r="X64" i="83"/>
  <c r="X61" i="83"/>
  <c r="X58" i="83"/>
  <c r="X55" i="83"/>
  <c r="X52" i="83"/>
  <c r="T50" i="83"/>
  <c r="Y49" i="83"/>
  <c r="Y48" i="83"/>
  <c r="Y47" i="83"/>
  <c r="E47" i="83"/>
  <c r="Y46" i="83"/>
  <c r="Y45" i="83"/>
  <c r="Y44" i="83"/>
  <c r="Y43" i="83"/>
  <c r="Y42" i="83"/>
  <c r="Y41" i="83"/>
  <c r="Y37" i="83"/>
  <c r="J37" i="83"/>
  <c r="Y36" i="83"/>
  <c r="J36" i="83"/>
  <c r="G32" i="83"/>
  <c r="V32" i="83"/>
  <c r="E23" i="83"/>
  <c r="I23" i="83" s="1"/>
  <c r="T27" i="83"/>
  <c r="X27" i="83" s="1"/>
  <c r="T26" i="83"/>
  <c r="X26" i="83" s="1"/>
  <c r="T25" i="83"/>
  <c r="X25" i="83" s="1"/>
  <c r="T24" i="83"/>
  <c r="X24" i="83" s="1"/>
  <c r="T23" i="83"/>
  <c r="X23" i="83" s="1"/>
  <c r="T22" i="83"/>
  <c r="X22" i="83" s="1"/>
  <c r="T21" i="83"/>
  <c r="X21" i="83" s="1"/>
  <c r="T20" i="83"/>
  <c r="X20" i="83" s="1"/>
  <c r="T19" i="83"/>
  <c r="X19" i="83" s="1"/>
  <c r="T18" i="83"/>
  <c r="X18" i="83" s="1"/>
  <c r="T17" i="83"/>
  <c r="X17" i="83" s="1"/>
  <c r="T16" i="83"/>
  <c r="X16" i="83" s="1"/>
  <c r="T15" i="83"/>
  <c r="X15" i="83" s="1"/>
  <c r="T14" i="83"/>
  <c r="X14" i="83" s="1"/>
  <c r="T13" i="83"/>
  <c r="T12" i="83"/>
  <c r="X12" i="83" s="1"/>
  <c r="T6" i="83"/>
  <c r="D92" i="83"/>
  <c r="R2" i="83"/>
  <c r="V103" i="82"/>
  <c r="G103" i="82"/>
  <c r="X97" i="82"/>
  <c r="Y97" i="82" s="1"/>
  <c r="E98" i="82"/>
  <c r="T97" i="82"/>
  <c r="X96" i="82"/>
  <c r="T96" i="82"/>
  <c r="T92" i="82"/>
  <c r="V92" i="82"/>
  <c r="T91" i="82"/>
  <c r="V91" i="82"/>
  <c r="T90" i="82"/>
  <c r="V90" i="82"/>
  <c r="V86" i="82"/>
  <c r="V85" i="82"/>
  <c r="Y81" i="82"/>
  <c r="X83" i="82" s="1"/>
  <c r="Y80" i="82"/>
  <c r="V70" i="82"/>
  <c r="V67" i="82"/>
  <c r="X64" i="82"/>
  <c r="X61" i="82"/>
  <c r="X58" i="82"/>
  <c r="X55" i="82"/>
  <c r="X52" i="82"/>
  <c r="T50" i="82"/>
  <c r="E46" i="82"/>
  <c r="Y49" i="82"/>
  <c r="Y48" i="82"/>
  <c r="Y47" i="82"/>
  <c r="Y46" i="82"/>
  <c r="Y45" i="82"/>
  <c r="Y44" i="82"/>
  <c r="Y43" i="82"/>
  <c r="Y42" i="82"/>
  <c r="Y41" i="82"/>
  <c r="Y37" i="82"/>
  <c r="J37" i="82"/>
  <c r="Y36" i="82"/>
  <c r="Y38" i="82" s="1"/>
  <c r="J36" i="82"/>
  <c r="G32" i="82"/>
  <c r="V32" i="82"/>
  <c r="E23" i="82"/>
  <c r="I23" i="82" s="1"/>
  <c r="T27" i="82"/>
  <c r="X27" i="82" s="1"/>
  <c r="T26" i="82"/>
  <c r="X26" i="82" s="1"/>
  <c r="T25" i="82"/>
  <c r="X25" i="82" s="1"/>
  <c r="T24" i="82"/>
  <c r="X24" i="82" s="1"/>
  <c r="T23" i="82"/>
  <c r="X23" i="82" s="1"/>
  <c r="T22" i="82"/>
  <c r="X22" i="82" s="1"/>
  <c r="T21" i="82"/>
  <c r="X21" i="82" s="1"/>
  <c r="T20" i="82"/>
  <c r="X20" i="82" s="1"/>
  <c r="T19" i="82"/>
  <c r="X19" i="82" s="1"/>
  <c r="T18" i="82"/>
  <c r="X18" i="82" s="1"/>
  <c r="T17" i="82"/>
  <c r="X17" i="82" s="1"/>
  <c r="T16" i="82"/>
  <c r="X16" i="82" s="1"/>
  <c r="T15" i="82"/>
  <c r="X15" i="82" s="1"/>
  <c r="T14" i="82"/>
  <c r="X14" i="82" s="1"/>
  <c r="T13" i="82"/>
  <c r="T12" i="82"/>
  <c r="X12" i="82" s="1"/>
  <c r="T6" i="82"/>
  <c r="R2" i="82"/>
  <c r="V103" i="81"/>
  <c r="J104" i="81"/>
  <c r="G103" i="81"/>
  <c r="J98" i="81"/>
  <c r="E98" i="81"/>
  <c r="T97" i="81"/>
  <c r="X96" i="81"/>
  <c r="T96" i="81"/>
  <c r="T92" i="81"/>
  <c r="V92" i="81"/>
  <c r="T91" i="81"/>
  <c r="V91" i="81"/>
  <c r="T90" i="81"/>
  <c r="V90" i="81"/>
  <c r="V87" i="81"/>
  <c r="V86" i="81"/>
  <c r="Y81" i="81"/>
  <c r="Y80" i="81"/>
  <c r="V70" i="81"/>
  <c r="V67" i="81"/>
  <c r="X64" i="81"/>
  <c r="X61" i="81"/>
  <c r="X58" i="81"/>
  <c r="X55" i="81"/>
  <c r="X52" i="81"/>
  <c r="T50" i="81"/>
  <c r="E46" i="81"/>
  <c r="Y49" i="81"/>
  <c r="Y48" i="81"/>
  <c r="Y47" i="81"/>
  <c r="Y46" i="81"/>
  <c r="Y45" i="81"/>
  <c r="Y44" i="81"/>
  <c r="Y43" i="81"/>
  <c r="Y42" i="81"/>
  <c r="Y41" i="81"/>
  <c r="Y37" i="81"/>
  <c r="J37" i="81"/>
  <c r="Y36" i="81"/>
  <c r="Y38" i="81" s="1"/>
  <c r="J36" i="81"/>
  <c r="J38" i="81" s="1"/>
  <c r="G32" i="81"/>
  <c r="V32" i="81"/>
  <c r="E23" i="81"/>
  <c r="I23" i="81" s="1"/>
  <c r="T27" i="81"/>
  <c r="X27" i="81" s="1"/>
  <c r="T26" i="81"/>
  <c r="X26" i="81" s="1"/>
  <c r="T25" i="81"/>
  <c r="X25" i="81" s="1"/>
  <c r="T24" i="81"/>
  <c r="X24" i="81" s="1"/>
  <c r="T23" i="81"/>
  <c r="X23" i="81" s="1"/>
  <c r="T22" i="81"/>
  <c r="X22" i="81" s="1"/>
  <c r="T21" i="81"/>
  <c r="X21" i="81" s="1"/>
  <c r="T20" i="81"/>
  <c r="X20" i="81" s="1"/>
  <c r="T19" i="81"/>
  <c r="X19" i="81" s="1"/>
  <c r="T18" i="81"/>
  <c r="X18" i="81" s="1"/>
  <c r="T17" i="81"/>
  <c r="X17" i="81" s="1"/>
  <c r="T16" i="81"/>
  <c r="X16" i="81" s="1"/>
  <c r="T15" i="81"/>
  <c r="X15" i="81" s="1"/>
  <c r="T14" i="81"/>
  <c r="X14" i="81" s="1"/>
  <c r="T13" i="81"/>
  <c r="T12" i="81"/>
  <c r="X12" i="81" s="1"/>
  <c r="T6" i="81"/>
  <c r="R2" i="81"/>
  <c r="J104" i="80"/>
  <c r="G103" i="80"/>
  <c r="J98" i="80"/>
  <c r="E98" i="80"/>
  <c r="T97" i="80"/>
  <c r="X96" i="80"/>
  <c r="T96" i="80"/>
  <c r="T92" i="80"/>
  <c r="V92" i="80"/>
  <c r="T91" i="80"/>
  <c r="V91" i="80"/>
  <c r="T90" i="80"/>
  <c r="V90" i="80"/>
  <c r="V86" i="80"/>
  <c r="V85" i="80"/>
  <c r="Y81" i="80"/>
  <c r="J81" i="80"/>
  <c r="Y80" i="80"/>
  <c r="V70" i="80"/>
  <c r="V67" i="80"/>
  <c r="X64" i="80"/>
  <c r="X61" i="80"/>
  <c r="X58" i="80"/>
  <c r="X55" i="80"/>
  <c r="X52" i="80"/>
  <c r="T50" i="80"/>
  <c r="E46" i="80"/>
  <c r="Y49" i="80"/>
  <c r="Y48" i="80"/>
  <c r="Y47" i="80"/>
  <c r="Y46" i="80"/>
  <c r="Y45" i="80"/>
  <c r="Y44" i="80"/>
  <c r="Y43" i="80"/>
  <c r="Y42" i="80"/>
  <c r="Y41" i="80"/>
  <c r="Y37" i="80"/>
  <c r="J37" i="80"/>
  <c r="Y36" i="80"/>
  <c r="J36" i="80"/>
  <c r="G32" i="80"/>
  <c r="V32" i="80"/>
  <c r="E23" i="80"/>
  <c r="I23" i="80" s="1"/>
  <c r="T27" i="80"/>
  <c r="X27" i="80" s="1"/>
  <c r="T26" i="80"/>
  <c r="X26" i="80" s="1"/>
  <c r="T25" i="80"/>
  <c r="X25" i="80" s="1"/>
  <c r="T24" i="80"/>
  <c r="X24" i="80" s="1"/>
  <c r="T23" i="80"/>
  <c r="X23" i="80" s="1"/>
  <c r="T22" i="80"/>
  <c r="X22" i="80" s="1"/>
  <c r="T21" i="80"/>
  <c r="X21" i="80" s="1"/>
  <c r="T20" i="80"/>
  <c r="X20" i="80" s="1"/>
  <c r="T19" i="80"/>
  <c r="X19" i="80" s="1"/>
  <c r="T18" i="80"/>
  <c r="X18" i="80" s="1"/>
  <c r="T17" i="80"/>
  <c r="X17" i="80" s="1"/>
  <c r="T16" i="80"/>
  <c r="X16" i="80" s="1"/>
  <c r="T15" i="80"/>
  <c r="X15" i="80" s="1"/>
  <c r="T14" i="80"/>
  <c r="X14" i="80" s="1"/>
  <c r="T13" i="80"/>
  <c r="T12" i="80"/>
  <c r="X12" i="80" s="1"/>
  <c r="T6" i="80"/>
  <c r="D90" i="80"/>
  <c r="R2" i="80"/>
  <c r="V103" i="79"/>
  <c r="J104" i="79"/>
  <c r="G103" i="79"/>
  <c r="J98" i="79"/>
  <c r="E98" i="79"/>
  <c r="T97" i="79"/>
  <c r="X96" i="79"/>
  <c r="T96" i="79"/>
  <c r="T92" i="79"/>
  <c r="V92" i="79"/>
  <c r="T91" i="79"/>
  <c r="V91" i="79"/>
  <c r="T90" i="79"/>
  <c r="V90" i="79"/>
  <c r="V87" i="79"/>
  <c r="V86" i="79"/>
  <c r="V85" i="79"/>
  <c r="V83" i="79"/>
  <c r="Y81" i="79"/>
  <c r="X83" i="79" s="1"/>
  <c r="Y80" i="79"/>
  <c r="V71" i="79"/>
  <c r="V70" i="79"/>
  <c r="V67" i="79"/>
  <c r="X64" i="79"/>
  <c r="X61" i="79"/>
  <c r="X58" i="79"/>
  <c r="X55" i="79"/>
  <c r="X52" i="79"/>
  <c r="T50" i="79"/>
  <c r="Y49" i="79"/>
  <c r="Y48" i="79"/>
  <c r="Y47" i="79"/>
  <c r="Y46" i="79"/>
  <c r="Y45" i="79"/>
  <c r="Y44" i="79"/>
  <c r="Y43" i="79"/>
  <c r="Y42" i="79"/>
  <c r="Y41" i="79"/>
  <c r="Y37" i="79"/>
  <c r="J37" i="79"/>
  <c r="Y36" i="79"/>
  <c r="Y38" i="79" s="1"/>
  <c r="J36" i="79"/>
  <c r="G32" i="79"/>
  <c r="V32" i="79"/>
  <c r="E23" i="79"/>
  <c r="I23" i="79" s="1"/>
  <c r="T27" i="79"/>
  <c r="X27" i="79" s="1"/>
  <c r="T26" i="79"/>
  <c r="X26" i="79" s="1"/>
  <c r="T25" i="79"/>
  <c r="X25" i="79" s="1"/>
  <c r="T24" i="79"/>
  <c r="X24" i="79" s="1"/>
  <c r="T23" i="79"/>
  <c r="X23" i="79" s="1"/>
  <c r="T22" i="79"/>
  <c r="X22" i="79" s="1"/>
  <c r="T21" i="79"/>
  <c r="X21" i="79" s="1"/>
  <c r="T20" i="79"/>
  <c r="X20" i="79" s="1"/>
  <c r="T19" i="79"/>
  <c r="X19" i="79" s="1"/>
  <c r="T18" i="79"/>
  <c r="X18" i="79" s="1"/>
  <c r="T17" i="79"/>
  <c r="X17" i="79" s="1"/>
  <c r="T16" i="79"/>
  <c r="X16" i="79" s="1"/>
  <c r="T15" i="79"/>
  <c r="X15" i="79" s="1"/>
  <c r="T14" i="79"/>
  <c r="X14" i="79" s="1"/>
  <c r="T13" i="79"/>
  <c r="T12" i="79"/>
  <c r="X12" i="79" s="1"/>
  <c r="T6" i="79"/>
  <c r="R2" i="79"/>
  <c r="V103" i="78"/>
  <c r="G103" i="78"/>
  <c r="E98" i="78"/>
  <c r="T97" i="78"/>
  <c r="X96" i="78"/>
  <c r="T96" i="78"/>
  <c r="T92" i="78"/>
  <c r="V92" i="78"/>
  <c r="T91" i="78"/>
  <c r="V91" i="78"/>
  <c r="T90" i="78"/>
  <c r="V90" i="78"/>
  <c r="V86" i="78"/>
  <c r="V85" i="78"/>
  <c r="V83" i="78"/>
  <c r="Y81" i="78"/>
  <c r="X83" i="78" s="1"/>
  <c r="J81" i="78"/>
  <c r="Y80" i="78"/>
  <c r="V70" i="78"/>
  <c r="V67" i="78"/>
  <c r="X64" i="78"/>
  <c r="X61" i="78"/>
  <c r="X58" i="78"/>
  <c r="X55" i="78"/>
  <c r="X52" i="78"/>
  <c r="T50" i="78"/>
  <c r="E46" i="78"/>
  <c r="Y49" i="78"/>
  <c r="Y48" i="78"/>
  <c r="Y47" i="78"/>
  <c r="Y46" i="78"/>
  <c r="Y45" i="78"/>
  <c r="Y44" i="78"/>
  <c r="Y43" i="78"/>
  <c r="Y42" i="78"/>
  <c r="Y41" i="78"/>
  <c r="Y37" i="78"/>
  <c r="J37" i="78"/>
  <c r="Y36" i="78"/>
  <c r="Y38" i="78" s="1"/>
  <c r="J36" i="78"/>
  <c r="J38" i="78" s="1"/>
  <c r="G32" i="78"/>
  <c r="V32" i="78"/>
  <c r="E23" i="78"/>
  <c r="I23" i="78" s="1"/>
  <c r="T27" i="78"/>
  <c r="X27" i="78" s="1"/>
  <c r="T26" i="78"/>
  <c r="X26" i="78" s="1"/>
  <c r="T25" i="78"/>
  <c r="X25" i="78" s="1"/>
  <c r="T24" i="78"/>
  <c r="X24" i="78" s="1"/>
  <c r="T23" i="78"/>
  <c r="X23" i="78" s="1"/>
  <c r="T22" i="78"/>
  <c r="X22" i="78" s="1"/>
  <c r="T21" i="78"/>
  <c r="X21" i="78" s="1"/>
  <c r="T20" i="78"/>
  <c r="X20" i="78" s="1"/>
  <c r="T19" i="78"/>
  <c r="X19" i="78" s="1"/>
  <c r="T18" i="78"/>
  <c r="X18" i="78" s="1"/>
  <c r="T17" i="78"/>
  <c r="X17" i="78" s="1"/>
  <c r="T16" i="78"/>
  <c r="X16" i="78" s="1"/>
  <c r="T15" i="78"/>
  <c r="X15" i="78" s="1"/>
  <c r="T14" i="78"/>
  <c r="X14" i="78" s="1"/>
  <c r="T13" i="78"/>
  <c r="X13" i="78" s="1"/>
  <c r="T12" i="78"/>
  <c r="X12" i="78" s="1"/>
  <c r="T6" i="78"/>
  <c r="D92" i="78"/>
  <c r="R2" i="78"/>
  <c r="J104" i="77"/>
  <c r="G103" i="77"/>
  <c r="J98" i="77"/>
  <c r="E98" i="77"/>
  <c r="T97" i="77"/>
  <c r="X96" i="77"/>
  <c r="T92" i="77"/>
  <c r="V92" i="77"/>
  <c r="T91" i="77"/>
  <c r="V91" i="77"/>
  <c r="T90" i="77"/>
  <c r="V90" i="77"/>
  <c r="V87" i="77"/>
  <c r="V86" i="77"/>
  <c r="V85" i="77"/>
  <c r="Y81" i="77"/>
  <c r="X83" i="77" s="1"/>
  <c r="Y80" i="77"/>
  <c r="V71" i="77"/>
  <c r="V67" i="77"/>
  <c r="X64" i="77"/>
  <c r="X61" i="77"/>
  <c r="X58" i="77"/>
  <c r="X55" i="77"/>
  <c r="X52" i="77"/>
  <c r="T50" i="77"/>
  <c r="E46" i="77"/>
  <c r="Y49" i="77"/>
  <c r="Y48" i="77"/>
  <c r="Y47" i="77"/>
  <c r="Y46" i="77"/>
  <c r="Y45" i="77"/>
  <c r="Y44" i="77"/>
  <c r="Y43" i="77"/>
  <c r="Y42" i="77"/>
  <c r="Y41" i="77"/>
  <c r="Y37" i="77"/>
  <c r="J37" i="77"/>
  <c r="Y36" i="77"/>
  <c r="J36" i="77"/>
  <c r="G32" i="77"/>
  <c r="V32" i="77"/>
  <c r="E23" i="77"/>
  <c r="T6" i="77"/>
  <c r="R2" i="77"/>
  <c r="V103" i="76"/>
  <c r="J104" i="76"/>
  <c r="G103" i="76"/>
  <c r="J98" i="76"/>
  <c r="E98" i="76"/>
  <c r="T97" i="76"/>
  <c r="X96" i="76"/>
  <c r="T96" i="76"/>
  <c r="T92" i="76"/>
  <c r="V92" i="76"/>
  <c r="T91" i="76"/>
  <c r="V91" i="76"/>
  <c r="T90" i="76"/>
  <c r="V90" i="76"/>
  <c r="V87" i="76"/>
  <c r="V86" i="76"/>
  <c r="V83" i="76"/>
  <c r="Y81" i="76"/>
  <c r="X83" i="76" s="1"/>
  <c r="J81" i="76"/>
  <c r="Y80" i="76"/>
  <c r="V67" i="76"/>
  <c r="X64" i="76"/>
  <c r="X61" i="76"/>
  <c r="X58" i="76"/>
  <c r="X55" i="76"/>
  <c r="X52" i="76"/>
  <c r="T50" i="76"/>
  <c r="E46" i="76"/>
  <c r="Y49" i="76"/>
  <c r="Y48" i="76"/>
  <c r="Y47" i="76"/>
  <c r="Y46" i="76"/>
  <c r="Y45" i="76"/>
  <c r="Y44" i="76"/>
  <c r="Y43" i="76"/>
  <c r="Y42" i="76"/>
  <c r="Y41" i="76"/>
  <c r="Y38" i="76"/>
  <c r="J36" i="76"/>
  <c r="J38" i="76" s="1"/>
  <c r="G32" i="76"/>
  <c r="V32" i="76"/>
  <c r="E23" i="76"/>
  <c r="I23" i="76" s="1"/>
  <c r="T6" i="76"/>
  <c r="R2" i="76"/>
  <c r="V103" i="75"/>
  <c r="G103" i="75"/>
  <c r="X97" i="75"/>
  <c r="E98" i="75"/>
  <c r="T97" i="75"/>
  <c r="X96" i="75"/>
  <c r="T96" i="75"/>
  <c r="T92" i="75"/>
  <c r="V92" i="75"/>
  <c r="T91" i="75"/>
  <c r="V91" i="75"/>
  <c r="T90" i="75"/>
  <c r="V90" i="75"/>
  <c r="V86" i="75"/>
  <c r="J81" i="75"/>
  <c r="Y80" i="75"/>
  <c r="V67" i="75"/>
  <c r="X64" i="75"/>
  <c r="X61" i="75"/>
  <c r="X58" i="75"/>
  <c r="X55" i="75"/>
  <c r="X52" i="75"/>
  <c r="T50" i="75"/>
  <c r="E46" i="75"/>
  <c r="Y49" i="75"/>
  <c r="Y48" i="75"/>
  <c r="Y47" i="75"/>
  <c r="Y46" i="75"/>
  <c r="Y45" i="75"/>
  <c r="Y44" i="75"/>
  <c r="Y43" i="75"/>
  <c r="Y42" i="75"/>
  <c r="Y41" i="75"/>
  <c r="Y37" i="75"/>
  <c r="J37" i="75"/>
  <c r="Y36" i="75"/>
  <c r="Y38" i="75" s="1"/>
  <c r="J36" i="75"/>
  <c r="J38" i="75" s="1"/>
  <c r="G32" i="75"/>
  <c r="V32" i="75"/>
  <c r="E23" i="75"/>
  <c r="I23" i="75" s="1"/>
  <c r="T27" i="75"/>
  <c r="X27" i="75" s="1"/>
  <c r="T26" i="75"/>
  <c r="X26" i="75" s="1"/>
  <c r="T25" i="75"/>
  <c r="X25" i="75" s="1"/>
  <c r="T24" i="75"/>
  <c r="X24" i="75" s="1"/>
  <c r="T23" i="75"/>
  <c r="X23" i="75" s="1"/>
  <c r="T22" i="75"/>
  <c r="X22" i="75" s="1"/>
  <c r="T21" i="75"/>
  <c r="X21" i="75" s="1"/>
  <c r="T20" i="75"/>
  <c r="X20" i="75" s="1"/>
  <c r="T19" i="75"/>
  <c r="X19" i="75" s="1"/>
  <c r="T18" i="75"/>
  <c r="X18" i="75" s="1"/>
  <c r="T17" i="75"/>
  <c r="X17" i="75" s="1"/>
  <c r="T16" i="75"/>
  <c r="X16" i="75" s="1"/>
  <c r="T15" i="75"/>
  <c r="X15" i="75" s="1"/>
  <c r="T14" i="75"/>
  <c r="X14" i="75" s="1"/>
  <c r="T13" i="75"/>
  <c r="T12" i="75"/>
  <c r="X12" i="75" s="1"/>
  <c r="T6" i="75"/>
  <c r="R2" i="75"/>
  <c r="J104" i="74"/>
  <c r="G103" i="74"/>
  <c r="X97" i="74"/>
  <c r="Y97" i="74" s="1"/>
  <c r="E98" i="74"/>
  <c r="T97" i="74"/>
  <c r="X96" i="74"/>
  <c r="T96" i="74"/>
  <c r="T92" i="74"/>
  <c r="V92" i="74"/>
  <c r="T91" i="74"/>
  <c r="V91" i="74"/>
  <c r="T90" i="74"/>
  <c r="V90" i="74"/>
  <c r="V86" i="74"/>
  <c r="V85" i="74"/>
  <c r="Y81" i="74"/>
  <c r="Y80" i="74"/>
  <c r="V67" i="74"/>
  <c r="X64" i="74"/>
  <c r="X61" i="74"/>
  <c r="X58" i="74"/>
  <c r="X55" i="74"/>
  <c r="X52" i="74"/>
  <c r="T50" i="74"/>
  <c r="E46" i="74"/>
  <c r="Y49" i="74"/>
  <c r="Y48" i="74"/>
  <c r="Y47" i="74"/>
  <c r="Y46" i="74"/>
  <c r="Y45" i="74"/>
  <c r="Y44" i="74"/>
  <c r="Y43" i="74"/>
  <c r="Y42" i="74"/>
  <c r="Y41" i="74"/>
  <c r="Y37" i="74"/>
  <c r="J37" i="74"/>
  <c r="Y36" i="74"/>
  <c r="J36" i="74"/>
  <c r="G32" i="74"/>
  <c r="V32" i="74"/>
  <c r="E23" i="74"/>
  <c r="I23" i="74" s="1"/>
  <c r="T27" i="74"/>
  <c r="X27" i="74" s="1"/>
  <c r="T26" i="74"/>
  <c r="X26" i="74" s="1"/>
  <c r="T25" i="74"/>
  <c r="X25" i="74" s="1"/>
  <c r="T24" i="74"/>
  <c r="X24" i="74" s="1"/>
  <c r="T23" i="74"/>
  <c r="X23" i="74" s="1"/>
  <c r="T22" i="74"/>
  <c r="X22" i="74" s="1"/>
  <c r="T21" i="74"/>
  <c r="X21" i="74" s="1"/>
  <c r="T20" i="74"/>
  <c r="X20" i="74" s="1"/>
  <c r="T19" i="74"/>
  <c r="X19" i="74" s="1"/>
  <c r="T18" i="74"/>
  <c r="X18" i="74" s="1"/>
  <c r="T17" i="74"/>
  <c r="X17" i="74" s="1"/>
  <c r="T16" i="74"/>
  <c r="X16" i="74" s="1"/>
  <c r="T15" i="74"/>
  <c r="X15" i="74" s="1"/>
  <c r="T14" i="74"/>
  <c r="X14" i="74" s="1"/>
  <c r="T13" i="74"/>
  <c r="T12" i="74"/>
  <c r="X12" i="74" s="1"/>
  <c r="T6" i="74"/>
  <c r="R2" i="74"/>
  <c r="V103" i="73"/>
  <c r="J104" i="73"/>
  <c r="G103" i="73"/>
  <c r="J98" i="73"/>
  <c r="E98" i="73"/>
  <c r="T97" i="73"/>
  <c r="X96" i="73"/>
  <c r="T96" i="73"/>
  <c r="T92" i="73"/>
  <c r="V92" i="73"/>
  <c r="T91" i="73"/>
  <c r="V91" i="73"/>
  <c r="T90" i="73"/>
  <c r="V90" i="73"/>
  <c r="V87" i="73"/>
  <c r="V85" i="73"/>
  <c r="Y81" i="73"/>
  <c r="J81" i="73"/>
  <c r="Y80" i="73"/>
  <c r="V67" i="73"/>
  <c r="X64" i="73"/>
  <c r="X61" i="73"/>
  <c r="X58" i="73"/>
  <c r="X55" i="73"/>
  <c r="X52" i="73"/>
  <c r="T50" i="73"/>
  <c r="E46" i="73"/>
  <c r="Y49" i="73"/>
  <c r="Y48" i="73"/>
  <c r="Y47" i="73"/>
  <c r="Y46" i="73"/>
  <c r="Y45" i="73"/>
  <c r="Y44" i="73"/>
  <c r="Y43" i="73"/>
  <c r="Y42" i="73"/>
  <c r="Y41" i="73"/>
  <c r="Y37" i="73"/>
  <c r="J37" i="73"/>
  <c r="Y36" i="73"/>
  <c r="Y38" i="73" s="1"/>
  <c r="J36" i="73"/>
  <c r="G32" i="73"/>
  <c r="V32" i="73"/>
  <c r="E23" i="73"/>
  <c r="I23" i="73" s="1"/>
  <c r="T27" i="73"/>
  <c r="X27" i="73" s="1"/>
  <c r="T26" i="73"/>
  <c r="X26" i="73" s="1"/>
  <c r="T25" i="73"/>
  <c r="X25" i="73" s="1"/>
  <c r="T24" i="73"/>
  <c r="X24" i="73" s="1"/>
  <c r="T23" i="73"/>
  <c r="X23" i="73" s="1"/>
  <c r="T22" i="73"/>
  <c r="X22" i="73" s="1"/>
  <c r="T21" i="73"/>
  <c r="X21" i="73" s="1"/>
  <c r="T20" i="73"/>
  <c r="X20" i="73" s="1"/>
  <c r="T19" i="73"/>
  <c r="X19" i="73" s="1"/>
  <c r="T18" i="73"/>
  <c r="X18" i="73" s="1"/>
  <c r="T17" i="73"/>
  <c r="X17" i="73" s="1"/>
  <c r="T16" i="73"/>
  <c r="X16" i="73" s="1"/>
  <c r="T15" i="73"/>
  <c r="T14" i="73"/>
  <c r="X14" i="73" s="1"/>
  <c r="T13" i="73"/>
  <c r="X13" i="73" s="1"/>
  <c r="T12" i="73"/>
  <c r="X12" i="73" s="1"/>
  <c r="T6" i="73"/>
  <c r="R2" i="73"/>
  <c r="V103" i="72"/>
  <c r="J104" i="72"/>
  <c r="G103" i="72"/>
  <c r="X97" i="72"/>
  <c r="Y97" i="72" s="1"/>
  <c r="E98" i="72"/>
  <c r="T97" i="72"/>
  <c r="X96" i="72"/>
  <c r="T96" i="72"/>
  <c r="T92" i="72"/>
  <c r="V92" i="72"/>
  <c r="T91" i="72"/>
  <c r="V91" i="72"/>
  <c r="T90" i="72"/>
  <c r="V90" i="72"/>
  <c r="V86" i="72"/>
  <c r="V83" i="72"/>
  <c r="Y81" i="72"/>
  <c r="J81" i="72"/>
  <c r="Y80" i="72"/>
  <c r="V70" i="72"/>
  <c r="V67" i="72"/>
  <c r="X64" i="72"/>
  <c r="X61" i="72"/>
  <c r="X58" i="72"/>
  <c r="X55" i="72"/>
  <c r="X52" i="72"/>
  <c r="T50" i="72"/>
  <c r="E46" i="72"/>
  <c r="Y49" i="72"/>
  <c r="Y48" i="72"/>
  <c r="Y47" i="72"/>
  <c r="Y46" i="72"/>
  <c r="Y45" i="72"/>
  <c r="Y44" i="72"/>
  <c r="Y43" i="72"/>
  <c r="Y42" i="72"/>
  <c r="Y41" i="72"/>
  <c r="Y37" i="72"/>
  <c r="J37" i="72"/>
  <c r="Y36" i="72"/>
  <c r="Y38" i="72" s="1"/>
  <c r="J36" i="72"/>
  <c r="J38" i="72" s="1"/>
  <c r="G32" i="72"/>
  <c r="V32" i="72"/>
  <c r="E23" i="72"/>
  <c r="I23" i="72" s="1"/>
  <c r="T27" i="72"/>
  <c r="X27" i="72" s="1"/>
  <c r="T26" i="72"/>
  <c r="X26" i="72" s="1"/>
  <c r="T25" i="72"/>
  <c r="X25" i="72" s="1"/>
  <c r="T24" i="72"/>
  <c r="X24" i="72" s="1"/>
  <c r="T23" i="72"/>
  <c r="X23" i="72" s="1"/>
  <c r="T22" i="72"/>
  <c r="X22" i="72" s="1"/>
  <c r="T21" i="72"/>
  <c r="X21" i="72" s="1"/>
  <c r="T20" i="72"/>
  <c r="X20" i="72" s="1"/>
  <c r="T19" i="72"/>
  <c r="X19" i="72" s="1"/>
  <c r="T18" i="72"/>
  <c r="X18" i="72" s="1"/>
  <c r="T17" i="72"/>
  <c r="X17" i="72" s="1"/>
  <c r="T16" i="72"/>
  <c r="X16" i="72" s="1"/>
  <c r="T15" i="72"/>
  <c r="X15" i="72" s="1"/>
  <c r="T14" i="72"/>
  <c r="X14" i="72" s="1"/>
  <c r="T13" i="72"/>
  <c r="T12" i="72"/>
  <c r="X12" i="72" s="1"/>
  <c r="T6" i="72"/>
  <c r="R2" i="72"/>
  <c r="V103" i="71"/>
  <c r="J104" i="71"/>
  <c r="G103" i="71"/>
  <c r="X97" i="71"/>
  <c r="E98" i="71"/>
  <c r="T97" i="71"/>
  <c r="X96" i="71"/>
  <c r="T96" i="71"/>
  <c r="T92" i="71"/>
  <c r="V92" i="71"/>
  <c r="T91" i="71"/>
  <c r="V91" i="71"/>
  <c r="T90" i="71"/>
  <c r="V90" i="71"/>
  <c r="V86" i="71"/>
  <c r="V83" i="71"/>
  <c r="Y81" i="71"/>
  <c r="X83" i="71" s="1"/>
  <c r="J81" i="71"/>
  <c r="Y80" i="71"/>
  <c r="V71" i="71"/>
  <c r="V70" i="71"/>
  <c r="V67" i="71"/>
  <c r="X64" i="71"/>
  <c r="X61" i="71"/>
  <c r="X58" i="71"/>
  <c r="X55" i="71"/>
  <c r="X52" i="71"/>
  <c r="T50" i="71"/>
  <c r="Y49" i="71"/>
  <c r="Y48" i="71"/>
  <c r="Y47" i="71"/>
  <c r="Y46" i="71"/>
  <c r="Y45" i="71"/>
  <c r="Y44" i="71"/>
  <c r="Y43" i="71"/>
  <c r="Y42" i="71"/>
  <c r="Y41" i="71"/>
  <c r="Y37" i="71"/>
  <c r="J37" i="71"/>
  <c r="Y36" i="71"/>
  <c r="Y38" i="71" s="1"/>
  <c r="J36" i="71"/>
  <c r="G32" i="71"/>
  <c r="V32" i="71"/>
  <c r="E23" i="71"/>
  <c r="I23" i="71" s="1"/>
  <c r="T27" i="71"/>
  <c r="X27" i="71" s="1"/>
  <c r="T26" i="71"/>
  <c r="X26" i="71" s="1"/>
  <c r="T25" i="71"/>
  <c r="X25" i="71" s="1"/>
  <c r="T24" i="71"/>
  <c r="X24" i="71" s="1"/>
  <c r="T23" i="71"/>
  <c r="X23" i="71" s="1"/>
  <c r="T22" i="71"/>
  <c r="X22" i="71" s="1"/>
  <c r="T21" i="71"/>
  <c r="X21" i="71" s="1"/>
  <c r="T20" i="71"/>
  <c r="X20" i="71" s="1"/>
  <c r="T19" i="71"/>
  <c r="X19" i="71" s="1"/>
  <c r="T18" i="71"/>
  <c r="X18" i="71" s="1"/>
  <c r="T17" i="71"/>
  <c r="X17" i="71" s="1"/>
  <c r="E17" i="71"/>
  <c r="I17" i="71" s="1"/>
  <c r="T16" i="71"/>
  <c r="X16" i="71" s="1"/>
  <c r="T15" i="71"/>
  <c r="X15" i="71" s="1"/>
  <c r="T14" i="71"/>
  <c r="X14" i="71" s="1"/>
  <c r="T13" i="71"/>
  <c r="T12" i="71"/>
  <c r="X12" i="71" s="1"/>
  <c r="T6" i="71"/>
  <c r="D92" i="71"/>
  <c r="R2" i="71"/>
  <c r="J104" i="70"/>
  <c r="G103" i="70"/>
  <c r="J98" i="70"/>
  <c r="E98" i="70"/>
  <c r="T97" i="70"/>
  <c r="X96" i="70"/>
  <c r="T96" i="70"/>
  <c r="T92" i="70"/>
  <c r="V92" i="70"/>
  <c r="T91" i="70"/>
  <c r="V91" i="70"/>
  <c r="T90" i="70"/>
  <c r="V90" i="70"/>
  <c r="V86" i="70"/>
  <c r="V83" i="70"/>
  <c r="Y81" i="70"/>
  <c r="J81" i="70"/>
  <c r="Y80" i="70"/>
  <c r="V70" i="70"/>
  <c r="V67" i="70"/>
  <c r="X64" i="70"/>
  <c r="X61" i="70"/>
  <c r="X58" i="70"/>
  <c r="X55" i="70"/>
  <c r="X52" i="70"/>
  <c r="T50" i="70"/>
  <c r="E46" i="70"/>
  <c r="Y49" i="70"/>
  <c r="Y48" i="70"/>
  <c r="Y47" i="70"/>
  <c r="Y46" i="70"/>
  <c r="Y45" i="70"/>
  <c r="Y44" i="70"/>
  <c r="Y43" i="70"/>
  <c r="Y42" i="70"/>
  <c r="Y41" i="70"/>
  <c r="Y37" i="70"/>
  <c r="J37" i="70"/>
  <c r="Y36" i="70"/>
  <c r="J36" i="70"/>
  <c r="G32" i="70"/>
  <c r="V32" i="70"/>
  <c r="E23" i="70"/>
  <c r="I23" i="70" s="1"/>
  <c r="T27" i="70"/>
  <c r="X27" i="70" s="1"/>
  <c r="T26" i="70"/>
  <c r="X26" i="70" s="1"/>
  <c r="T25" i="70"/>
  <c r="X25" i="70" s="1"/>
  <c r="T24" i="70"/>
  <c r="X24" i="70" s="1"/>
  <c r="T23" i="70"/>
  <c r="X23" i="70" s="1"/>
  <c r="T22" i="70"/>
  <c r="X22" i="70" s="1"/>
  <c r="T21" i="70"/>
  <c r="X21" i="70" s="1"/>
  <c r="T20" i="70"/>
  <c r="X20" i="70" s="1"/>
  <c r="T19" i="70"/>
  <c r="X19" i="70" s="1"/>
  <c r="T18" i="70"/>
  <c r="X18" i="70" s="1"/>
  <c r="T17" i="70"/>
  <c r="X17" i="70" s="1"/>
  <c r="T16" i="70"/>
  <c r="X16" i="70" s="1"/>
  <c r="T15" i="70"/>
  <c r="X15" i="70" s="1"/>
  <c r="T14" i="70"/>
  <c r="X14" i="70" s="1"/>
  <c r="T13" i="70"/>
  <c r="T12" i="70"/>
  <c r="X12" i="70" s="1"/>
  <c r="T6" i="70"/>
  <c r="R2" i="70"/>
  <c r="V103" i="69"/>
  <c r="J104" i="69"/>
  <c r="G103" i="69"/>
  <c r="X97" i="69"/>
  <c r="Y97" i="69" s="1"/>
  <c r="E98" i="69"/>
  <c r="T97" i="69"/>
  <c r="X96" i="69"/>
  <c r="T96" i="69"/>
  <c r="T92" i="69"/>
  <c r="V92" i="69"/>
  <c r="T91" i="69"/>
  <c r="V91" i="69"/>
  <c r="T90" i="69"/>
  <c r="V90" i="69"/>
  <c r="V86" i="69"/>
  <c r="V83" i="69"/>
  <c r="Y81" i="69"/>
  <c r="X83" i="69" s="1"/>
  <c r="J81" i="69"/>
  <c r="Y80" i="69"/>
  <c r="V71" i="69"/>
  <c r="V70" i="69"/>
  <c r="V67" i="69"/>
  <c r="X64" i="69"/>
  <c r="X61" i="69"/>
  <c r="X58" i="69"/>
  <c r="X55" i="69"/>
  <c r="X52" i="69"/>
  <c r="T50" i="69"/>
  <c r="Y49" i="69"/>
  <c r="Y48" i="69"/>
  <c r="Y47" i="69"/>
  <c r="Y46" i="69"/>
  <c r="Y45" i="69"/>
  <c r="Y44" i="69"/>
  <c r="Y43" i="69"/>
  <c r="Y42" i="69"/>
  <c r="Y41" i="69"/>
  <c r="Y37" i="69"/>
  <c r="J37" i="69"/>
  <c r="Y36" i="69"/>
  <c r="Y38" i="69" s="1"/>
  <c r="J36" i="69"/>
  <c r="G32" i="69"/>
  <c r="V32" i="69"/>
  <c r="E23" i="69"/>
  <c r="T23" i="69" s="1"/>
  <c r="X23" i="69" s="1"/>
  <c r="E27" i="69"/>
  <c r="T27" i="69" s="1"/>
  <c r="X27" i="69" s="1"/>
  <c r="E21" i="69"/>
  <c r="I21" i="69" s="1"/>
  <c r="T6" i="69"/>
  <c r="R2" i="69"/>
  <c r="J104" i="68"/>
  <c r="G103" i="68"/>
  <c r="X97" i="68"/>
  <c r="Y97" i="68" s="1"/>
  <c r="E98" i="68"/>
  <c r="X96" i="68"/>
  <c r="T96" i="68"/>
  <c r="T92" i="68"/>
  <c r="V92" i="68"/>
  <c r="T91" i="68"/>
  <c r="V91" i="68"/>
  <c r="T90" i="68"/>
  <c r="V90" i="68"/>
  <c r="V86" i="68"/>
  <c r="V85" i="68"/>
  <c r="Y81" i="68"/>
  <c r="X83" i="68" s="1"/>
  <c r="J81" i="68"/>
  <c r="Y80" i="68"/>
  <c r="V67" i="68"/>
  <c r="X64" i="68"/>
  <c r="X61" i="68"/>
  <c r="X58" i="68"/>
  <c r="X55" i="68"/>
  <c r="X52" i="68"/>
  <c r="T50" i="68"/>
  <c r="E46" i="68"/>
  <c r="Y49" i="68"/>
  <c r="Y48" i="68"/>
  <c r="Y47" i="68"/>
  <c r="Y46" i="68"/>
  <c r="Y45" i="68"/>
  <c r="Y44" i="68"/>
  <c r="Y43" i="68"/>
  <c r="Y42" i="68"/>
  <c r="Y41" i="68"/>
  <c r="J37" i="68"/>
  <c r="Y38" i="68"/>
  <c r="J36" i="68"/>
  <c r="J38" i="68" s="1"/>
  <c r="G32" i="68"/>
  <c r="V32" i="68"/>
  <c r="E23" i="68"/>
  <c r="T6" i="68"/>
  <c r="R2" i="68"/>
  <c r="J104" i="67"/>
  <c r="G103" i="67"/>
  <c r="X97" i="67"/>
  <c r="X96" i="67"/>
  <c r="T96" i="67"/>
  <c r="T92" i="67"/>
  <c r="V92" i="67"/>
  <c r="T91" i="67"/>
  <c r="V91" i="67"/>
  <c r="T90" i="67"/>
  <c r="V90" i="67"/>
  <c r="V87" i="67"/>
  <c r="V86" i="67"/>
  <c r="V83" i="67"/>
  <c r="Y81" i="67"/>
  <c r="X83" i="67" s="1"/>
  <c r="J81" i="67"/>
  <c r="Y80" i="67"/>
  <c r="V71" i="67"/>
  <c r="V70" i="67"/>
  <c r="V67" i="67"/>
  <c r="X64" i="67"/>
  <c r="X61" i="67"/>
  <c r="X58" i="67"/>
  <c r="X55" i="67"/>
  <c r="X52" i="67"/>
  <c r="T50" i="67"/>
  <c r="Y49" i="67"/>
  <c r="Y48" i="67"/>
  <c r="Y47" i="67"/>
  <c r="Y46" i="67"/>
  <c r="Y45" i="67"/>
  <c r="Y44" i="67"/>
  <c r="Y43" i="67"/>
  <c r="Y42" i="67"/>
  <c r="Y41" i="67"/>
  <c r="J37" i="67"/>
  <c r="Y38" i="67"/>
  <c r="J36" i="67"/>
  <c r="J38" i="67" s="1"/>
  <c r="G32" i="67"/>
  <c r="V32" i="67"/>
  <c r="E23" i="67"/>
  <c r="T23" i="67" s="1"/>
  <c r="X23" i="67" s="1"/>
  <c r="T6" i="67"/>
  <c r="D90" i="67"/>
  <c r="R2" i="67"/>
  <c r="G103" i="66"/>
  <c r="X97" i="66"/>
  <c r="X96" i="66"/>
  <c r="T92" i="66"/>
  <c r="V92" i="66"/>
  <c r="T91" i="66"/>
  <c r="V91" i="66"/>
  <c r="T90" i="66"/>
  <c r="V90" i="66"/>
  <c r="V85" i="66"/>
  <c r="V83" i="66"/>
  <c r="Y81" i="66"/>
  <c r="X83" i="66" s="1"/>
  <c r="J81" i="66"/>
  <c r="Y80" i="66"/>
  <c r="V71" i="66"/>
  <c r="V70" i="66"/>
  <c r="V67" i="66"/>
  <c r="X64" i="66"/>
  <c r="X61" i="66"/>
  <c r="X58" i="66"/>
  <c r="X55" i="66"/>
  <c r="X52" i="66"/>
  <c r="T50" i="66"/>
  <c r="Y49" i="66"/>
  <c r="Y48" i="66"/>
  <c r="Y47" i="66"/>
  <c r="Y46" i="66"/>
  <c r="Y45" i="66"/>
  <c r="Y44" i="66"/>
  <c r="Y43" i="66"/>
  <c r="Y42" i="66"/>
  <c r="Y41" i="66"/>
  <c r="J37" i="66"/>
  <c r="J36" i="66"/>
  <c r="J38" i="66" s="1"/>
  <c r="G32" i="66"/>
  <c r="V32" i="66"/>
  <c r="E23" i="66"/>
  <c r="I23" i="66" s="1"/>
  <c r="T6" i="66"/>
  <c r="D92" i="66"/>
  <c r="R2" i="66"/>
  <c r="E98" i="65"/>
  <c r="V103" i="65"/>
  <c r="G103" i="65"/>
  <c r="X97" i="65"/>
  <c r="T97" i="65"/>
  <c r="X96" i="65"/>
  <c r="T96" i="65"/>
  <c r="T92" i="65"/>
  <c r="V92" i="65"/>
  <c r="T91" i="65"/>
  <c r="V91" i="65"/>
  <c r="T90" i="65"/>
  <c r="V90" i="65"/>
  <c r="V86" i="65"/>
  <c r="V83" i="65"/>
  <c r="Y81" i="65"/>
  <c r="J81" i="65"/>
  <c r="Y80" i="65"/>
  <c r="V71" i="65"/>
  <c r="V70" i="65"/>
  <c r="V67" i="65"/>
  <c r="X64" i="65"/>
  <c r="X61" i="65"/>
  <c r="X58" i="65"/>
  <c r="X55" i="65"/>
  <c r="X52" i="65"/>
  <c r="T50" i="65"/>
  <c r="E46" i="65"/>
  <c r="Y49" i="65"/>
  <c r="Y48" i="65"/>
  <c r="Y47" i="65"/>
  <c r="Y46" i="65"/>
  <c r="Y45" i="65"/>
  <c r="Y44" i="65"/>
  <c r="Y43" i="65"/>
  <c r="Y42" i="65"/>
  <c r="Y41" i="65"/>
  <c r="Y37" i="65"/>
  <c r="J37" i="65"/>
  <c r="Y36" i="65"/>
  <c r="Y38" i="65" s="1"/>
  <c r="J36" i="65"/>
  <c r="G32" i="65"/>
  <c r="V32" i="65"/>
  <c r="E23" i="65"/>
  <c r="I23" i="65" s="1"/>
  <c r="T27" i="65"/>
  <c r="X27" i="65" s="1"/>
  <c r="T26" i="65"/>
  <c r="X26" i="65" s="1"/>
  <c r="T25" i="65"/>
  <c r="X25" i="65" s="1"/>
  <c r="T24" i="65"/>
  <c r="X24" i="65" s="1"/>
  <c r="T23" i="65"/>
  <c r="X23" i="65" s="1"/>
  <c r="T22" i="65"/>
  <c r="X22" i="65" s="1"/>
  <c r="T21" i="65"/>
  <c r="X21" i="65" s="1"/>
  <c r="T20" i="65"/>
  <c r="X20" i="65" s="1"/>
  <c r="T19" i="65"/>
  <c r="X19" i="65" s="1"/>
  <c r="T18" i="65"/>
  <c r="X18" i="65" s="1"/>
  <c r="T17" i="65"/>
  <c r="X17" i="65" s="1"/>
  <c r="T16" i="65"/>
  <c r="X16" i="65" s="1"/>
  <c r="T15" i="65"/>
  <c r="X15" i="65" s="1"/>
  <c r="T14" i="65"/>
  <c r="X14" i="65" s="1"/>
  <c r="T13" i="65"/>
  <c r="T12" i="65"/>
  <c r="X12" i="65" s="1"/>
  <c r="T6" i="65"/>
  <c r="R2" i="65"/>
  <c r="V103" i="64"/>
  <c r="J104" i="64"/>
  <c r="G103" i="64"/>
  <c r="X97" i="64"/>
  <c r="Y97" i="64" s="1"/>
  <c r="E98" i="64"/>
  <c r="T97" i="64"/>
  <c r="X96" i="64"/>
  <c r="T96" i="64"/>
  <c r="T92" i="64"/>
  <c r="V92" i="64"/>
  <c r="T91" i="64"/>
  <c r="V91" i="64"/>
  <c r="T90" i="64"/>
  <c r="V90" i="64"/>
  <c r="V87" i="64"/>
  <c r="V86" i="64"/>
  <c r="Y81" i="64"/>
  <c r="X83" i="64" s="1"/>
  <c r="J81" i="64"/>
  <c r="Y80" i="64"/>
  <c r="V67" i="64"/>
  <c r="X64" i="64"/>
  <c r="X61" i="64"/>
  <c r="X58" i="64"/>
  <c r="X55" i="64"/>
  <c r="X52" i="64"/>
  <c r="T50" i="64"/>
  <c r="E46" i="64"/>
  <c r="Y49" i="64"/>
  <c r="Y48" i="64"/>
  <c r="Y47" i="64"/>
  <c r="Y46" i="64"/>
  <c r="Y45" i="64"/>
  <c r="Y44" i="64"/>
  <c r="Y43" i="64"/>
  <c r="Y42" i="64"/>
  <c r="Y41" i="64"/>
  <c r="Y37" i="64"/>
  <c r="J37" i="64"/>
  <c r="Y36" i="64"/>
  <c r="J36" i="64"/>
  <c r="G32" i="64"/>
  <c r="V32" i="64"/>
  <c r="E23" i="64"/>
  <c r="T6" i="64"/>
  <c r="R2" i="64"/>
  <c r="T96" i="63"/>
  <c r="J104" i="63"/>
  <c r="G103" i="63"/>
  <c r="X97" i="63"/>
  <c r="E98" i="63"/>
  <c r="T97" i="63"/>
  <c r="X96" i="63"/>
  <c r="T92" i="63"/>
  <c r="V92" i="63"/>
  <c r="T91" i="63"/>
  <c r="V91" i="63"/>
  <c r="T90" i="63"/>
  <c r="V90" i="63"/>
  <c r="V85" i="63"/>
  <c r="V83" i="63"/>
  <c r="Y81" i="63"/>
  <c r="X83" i="63" s="1"/>
  <c r="J81" i="63"/>
  <c r="Y80" i="63"/>
  <c r="V71" i="63"/>
  <c r="V67" i="63"/>
  <c r="X64" i="63"/>
  <c r="X61" i="63"/>
  <c r="X58" i="63"/>
  <c r="X55" i="63"/>
  <c r="X52" i="63"/>
  <c r="T50" i="63"/>
  <c r="Y49" i="63"/>
  <c r="Y48" i="63"/>
  <c r="Y47" i="63"/>
  <c r="Y46" i="63"/>
  <c r="Y45" i="63"/>
  <c r="Y44" i="63"/>
  <c r="Y43" i="63"/>
  <c r="Y42" i="63"/>
  <c r="Y41" i="63"/>
  <c r="J37" i="63"/>
  <c r="J38" i="63" s="1"/>
  <c r="J36" i="63"/>
  <c r="G32" i="63"/>
  <c r="V32" i="63"/>
  <c r="E23" i="63"/>
  <c r="T23" i="63" s="1"/>
  <c r="X23" i="63" s="1"/>
  <c r="T6" i="63"/>
  <c r="R2" i="63"/>
  <c r="J104" i="62"/>
  <c r="G103" i="62"/>
  <c r="X97" i="62"/>
  <c r="X96" i="62"/>
  <c r="T96" i="62"/>
  <c r="T92" i="62"/>
  <c r="V92" i="62"/>
  <c r="T91" i="62"/>
  <c r="V91" i="62"/>
  <c r="T90" i="62"/>
  <c r="V90" i="62"/>
  <c r="V86" i="62"/>
  <c r="V83" i="62"/>
  <c r="Y81" i="62"/>
  <c r="X83" i="62" s="1"/>
  <c r="J81" i="62"/>
  <c r="Y80" i="62"/>
  <c r="V71" i="62"/>
  <c r="V70" i="62"/>
  <c r="V67" i="62"/>
  <c r="X64" i="62"/>
  <c r="X61" i="62"/>
  <c r="X58" i="62"/>
  <c r="X55" i="62"/>
  <c r="X52" i="62"/>
  <c r="T50" i="62"/>
  <c r="Y49" i="62"/>
  <c r="Y48" i="62"/>
  <c r="Y47" i="62"/>
  <c r="Y46" i="62"/>
  <c r="Y45" i="62"/>
  <c r="Y44" i="62"/>
  <c r="Y43" i="62"/>
  <c r="Y42" i="62"/>
  <c r="Y41" i="62"/>
  <c r="J37" i="62"/>
  <c r="J36" i="62"/>
  <c r="J38" i="62" s="1"/>
  <c r="G32" i="62"/>
  <c r="V32" i="62"/>
  <c r="E23" i="62"/>
  <c r="T23" i="62" s="1"/>
  <c r="X23" i="62" s="1"/>
  <c r="T6" i="62"/>
  <c r="R2" i="62"/>
  <c r="T97" i="2"/>
  <c r="T96" i="2"/>
  <c r="T97" i="58"/>
  <c r="T97" i="59"/>
  <c r="T96" i="59"/>
  <c r="T97" i="60"/>
  <c r="T96" i="60"/>
  <c r="T96" i="61"/>
  <c r="T97" i="61"/>
  <c r="V103" i="61"/>
  <c r="G103" i="61"/>
  <c r="J98" i="61"/>
  <c r="E98" i="61"/>
  <c r="X96" i="61"/>
  <c r="T92" i="61"/>
  <c r="V92" i="61"/>
  <c r="T91" i="61"/>
  <c r="V91" i="61"/>
  <c r="T90" i="61"/>
  <c r="V90" i="61"/>
  <c r="V87" i="61"/>
  <c r="V86" i="61"/>
  <c r="Y81" i="61"/>
  <c r="J81" i="61"/>
  <c r="Y80" i="61"/>
  <c r="V71" i="61"/>
  <c r="V70" i="61"/>
  <c r="V67" i="61"/>
  <c r="X64" i="61"/>
  <c r="X61" i="61"/>
  <c r="X58" i="61"/>
  <c r="X55" i="61"/>
  <c r="X52" i="61"/>
  <c r="T50" i="61"/>
  <c r="E46" i="61"/>
  <c r="Y49" i="61"/>
  <c r="Y48" i="61"/>
  <c r="Y47" i="61"/>
  <c r="Y46" i="61"/>
  <c r="Y45" i="61"/>
  <c r="Y44" i="61"/>
  <c r="Y43" i="61"/>
  <c r="Y42" i="61"/>
  <c r="Y41" i="61"/>
  <c r="J37" i="61"/>
  <c r="Y38" i="61"/>
  <c r="J36" i="61"/>
  <c r="J38" i="61" s="1"/>
  <c r="G32" i="61"/>
  <c r="V32" i="61"/>
  <c r="E23" i="61"/>
  <c r="I23" i="61" s="1"/>
  <c r="E24" i="61"/>
  <c r="I24" i="61" s="1"/>
  <c r="T6" i="61"/>
  <c r="R2" i="61"/>
  <c r="V103" i="60"/>
  <c r="G103" i="60"/>
  <c r="E98" i="60"/>
  <c r="T92" i="60"/>
  <c r="V92" i="60"/>
  <c r="T91" i="60"/>
  <c r="V91" i="60"/>
  <c r="T90" i="60"/>
  <c r="V90" i="60"/>
  <c r="V87" i="60"/>
  <c r="V86" i="60"/>
  <c r="V85" i="60"/>
  <c r="V83" i="60"/>
  <c r="Y81" i="60"/>
  <c r="J81" i="60"/>
  <c r="Y80" i="60"/>
  <c r="V70" i="60"/>
  <c r="V67" i="60"/>
  <c r="X64" i="60"/>
  <c r="X61" i="60"/>
  <c r="X58" i="60"/>
  <c r="X55" i="60"/>
  <c r="X52" i="60"/>
  <c r="T50" i="60"/>
  <c r="E46" i="60"/>
  <c r="Y49" i="60"/>
  <c r="Y48" i="60"/>
  <c r="Y47" i="60"/>
  <c r="Y46" i="60"/>
  <c r="Y45" i="60"/>
  <c r="Y44" i="60"/>
  <c r="Y43" i="60"/>
  <c r="Y42" i="60"/>
  <c r="Y41" i="60"/>
  <c r="Y37" i="60"/>
  <c r="J37" i="60"/>
  <c r="Y36" i="60"/>
  <c r="Y38" i="60" s="1"/>
  <c r="J36" i="60"/>
  <c r="J38" i="60" s="1"/>
  <c r="G32" i="60"/>
  <c r="V32" i="60"/>
  <c r="E23" i="60"/>
  <c r="I23" i="60" s="1"/>
  <c r="T27" i="60"/>
  <c r="X27" i="60" s="1"/>
  <c r="T26" i="60"/>
  <c r="X26" i="60" s="1"/>
  <c r="T25" i="60"/>
  <c r="X25" i="60" s="1"/>
  <c r="T24" i="60"/>
  <c r="X24" i="60" s="1"/>
  <c r="T23" i="60"/>
  <c r="X23" i="60" s="1"/>
  <c r="T22" i="60"/>
  <c r="X22" i="60" s="1"/>
  <c r="T21" i="60"/>
  <c r="X21" i="60" s="1"/>
  <c r="T20" i="60"/>
  <c r="X20" i="60" s="1"/>
  <c r="T19" i="60"/>
  <c r="X19" i="60" s="1"/>
  <c r="T18" i="60"/>
  <c r="X18" i="60" s="1"/>
  <c r="T17" i="60"/>
  <c r="X17" i="60" s="1"/>
  <c r="T16" i="60"/>
  <c r="X16" i="60" s="1"/>
  <c r="T15" i="60"/>
  <c r="X15" i="60" s="1"/>
  <c r="T14" i="60"/>
  <c r="X14" i="60" s="1"/>
  <c r="T13" i="60"/>
  <c r="T12" i="60"/>
  <c r="X12" i="60" s="1"/>
  <c r="T6" i="60"/>
  <c r="R2" i="60"/>
  <c r="G103" i="59"/>
  <c r="J98" i="59"/>
  <c r="E98" i="59"/>
  <c r="X96" i="59"/>
  <c r="T92" i="59"/>
  <c r="V92" i="59"/>
  <c r="T91" i="59"/>
  <c r="V91" i="59"/>
  <c r="T90" i="59"/>
  <c r="V90" i="59"/>
  <c r="V87" i="59"/>
  <c r="V85" i="59"/>
  <c r="V83" i="59"/>
  <c r="Y81" i="59"/>
  <c r="X83" i="59" s="1"/>
  <c r="J81" i="59"/>
  <c r="Y80" i="59"/>
  <c r="V71" i="59"/>
  <c r="V70" i="59"/>
  <c r="V67" i="59"/>
  <c r="X64" i="59"/>
  <c r="X61" i="59"/>
  <c r="X58" i="59"/>
  <c r="X55" i="59"/>
  <c r="X52" i="59"/>
  <c r="T50" i="59"/>
  <c r="Y49" i="59"/>
  <c r="Y48" i="59"/>
  <c r="Y47" i="59"/>
  <c r="Y46" i="59"/>
  <c r="Y45" i="59"/>
  <c r="Y44" i="59"/>
  <c r="Y43" i="59"/>
  <c r="Y42" i="59"/>
  <c r="Y41" i="59"/>
  <c r="Y37" i="59"/>
  <c r="J37" i="59"/>
  <c r="Y36" i="59"/>
  <c r="J36" i="59"/>
  <c r="J38" i="59" s="1"/>
  <c r="G32" i="59"/>
  <c r="V32" i="59"/>
  <c r="E23" i="59"/>
  <c r="T23" i="59" s="1"/>
  <c r="X23" i="59" s="1"/>
  <c r="T6" i="59"/>
  <c r="R2" i="59"/>
  <c r="V103" i="58"/>
  <c r="J104" i="58"/>
  <c r="G103" i="58"/>
  <c r="X97" i="58"/>
  <c r="Y97" i="58" s="1"/>
  <c r="E98" i="58"/>
  <c r="X96" i="58"/>
  <c r="T92" i="58"/>
  <c r="V92" i="58"/>
  <c r="T91" i="58"/>
  <c r="V91" i="58"/>
  <c r="T90" i="58"/>
  <c r="V90" i="58"/>
  <c r="V87" i="58"/>
  <c r="V86" i="58"/>
  <c r="V85" i="58"/>
  <c r="V83" i="58"/>
  <c r="Y81" i="58"/>
  <c r="J81" i="58"/>
  <c r="Y80" i="58"/>
  <c r="V70" i="58"/>
  <c r="V67" i="58"/>
  <c r="X64" i="58"/>
  <c r="X61" i="58"/>
  <c r="X58" i="58"/>
  <c r="X55" i="58"/>
  <c r="X52" i="58"/>
  <c r="T50" i="58"/>
  <c r="E46" i="58"/>
  <c r="Y49" i="58"/>
  <c r="Y48" i="58"/>
  <c r="Y47" i="58"/>
  <c r="Y46" i="58"/>
  <c r="Y45" i="58"/>
  <c r="Y44" i="58"/>
  <c r="Y43" i="58"/>
  <c r="Y42" i="58"/>
  <c r="Y41" i="58"/>
  <c r="J37" i="58"/>
  <c r="J36" i="58"/>
  <c r="G32" i="58"/>
  <c r="V32" i="58"/>
  <c r="T6" i="58"/>
  <c r="R2" i="58"/>
  <c r="E127" i="57"/>
  <c r="Q123" i="57"/>
  <c r="Q122" i="57"/>
  <c r="Q121" i="57"/>
  <c r="Q120" i="57"/>
  <c r="Q119" i="57"/>
  <c r="Q118" i="57"/>
  <c r="Q117" i="57"/>
  <c r="Q116" i="57"/>
  <c r="Q114" i="57"/>
  <c r="Q113" i="57"/>
  <c r="Q112" i="57"/>
  <c r="Q111" i="57"/>
  <c r="Q110" i="57"/>
  <c r="Q109" i="57"/>
  <c r="Q108" i="57"/>
  <c r="Q107" i="57"/>
  <c r="Q106" i="57"/>
  <c r="Q105" i="57"/>
  <c r="Q104" i="57"/>
  <c r="Q103" i="57"/>
  <c r="Q102" i="57"/>
  <c r="Q101" i="57"/>
  <c r="Q100" i="57"/>
  <c r="Q99" i="57"/>
  <c r="Q98" i="57"/>
  <c r="Q97" i="57"/>
  <c r="Q96" i="57"/>
  <c r="Q95" i="57"/>
  <c r="Q94" i="57"/>
  <c r="Q93" i="57"/>
  <c r="Q92" i="57"/>
  <c r="Q91" i="57"/>
  <c r="Q90" i="57"/>
  <c r="Q89" i="57"/>
  <c r="Q88" i="57"/>
  <c r="Q87" i="57"/>
  <c r="Q85" i="57"/>
  <c r="Q84" i="57"/>
  <c r="Q83" i="57"/>
  <c r="Q82" i="57"/>
  <c r="Q81" i="57"/>
  <c r="Q80" i="57"/>
  <c r="Q79" i="57"/>
  <c r="Q78" i="57"/>
  <c r="Q77" i="57"/>
  <c r="Q76" i="57"/>
  <c r="Q75" i="57"/>
  <c r="R127" i="57"/>
  <c r="P58" i="57"/>
  <c r="O58" i="57"/>
  <c r="N58" i="57"/>
  <c r="L58" i="57"/>
  <c r="F58" i="57"/>
  <c r="R57" i="57"/>
  <c r="Q55" i="57"/>
  <c r="Q54" i="57"/>
  <c r="Q53" i="57"/>
  <c r="Q52" i="57"/>
  <c r="Q51" i="57"/>
  <c r="Q50" i="57"/>
  <c r="Q49" i="57"/>
  <c r="Q48" i="57"/>
  <c r="Q47" i="57"/>
  <c r="Q46" i="57"/>
  <c r="Q45" i="57"/>
  <c r="Q44" i="57"/>
  <c r="Q43" i="57"/>
  <c r="Q42" i="57"/>
  <c r="Q41" i="57"/>
  <c r="Q40" i="57"/>
  <c r="Q39" i="57"/>
  <c r="Q38" i="57"/>
  <c r="Q37" i="57"/>
  <c r="Q36" i="57"/>
  <c r="Q35" i="57"/>
  <c r="Q34" i="57"/>
  <c r="Q33" i="57"/>
  <c r="Q32" i="57"/>
  <c r="Q31" i="57"/>
  <c r="Q30" i="57"/>
  <c r="Q29" i="57"/>
  <c r="Q28" i="57"/>
  <c r="Q27" i="57"/>
  <c r="Q26" i="57"/>
  <c r="Q25" i="57"/>
  <c r="Q24" i="57"/>
  <c r="Q23" i="57"/>
  <c r="Q22" i="57"/>
  <c r="Q21" i="57"/>
  <c r="Q20" i="57"/>
  <c r="Q19" i="57"/>
  <c r="Q17" i="57"/>
  <c r="Q16" i="57"/>
  <c r="Q15" i="57"/>
  <c r="Q14" i="57"/>
  <c r="Q13" i="57"/>
  <c r="Q12" i="57"/>
  <c r="Q11" i="57"/>
  <c r="Q10" i="57"/>
  <c r="Q9" i="57"/>
  <c r="Q8" i="57"/>
  <c r="Q7" i="57"/>
  <c r="E137" i="56"/>
  <c r="H136" i="56"/>
  <c r="F136" i="56"/>
  <c r="H135" i="56"/>
  <c r="H137" i="56" s="1"/>
  <c r="D133" i="56"/>
  <c r="C133" i="56"/>
  <c r="K92" i="56"/>
  <c r="L92" i="56" s="1"/>
  <c r="K54" i="56"/>
  <c r="E135" i="56"/>
  <c r="D58" i="56"/>
  <c r="C58" i="56"/>
  <c r="D37" i="56"/>
  <c r="C37" i="56"/>
  <c r="V56" i="54"/>
  <c r="U56" i="54"/>
  <c r="V55" i="54"/>
  <c r="U55" i="54"/>
  <c r="V54" i="54"/>
  <c r="U54" i="54"/>
  <c r="V53" i="54"/>
  <c r="U53" i="54"/>
  <c r="U52" i="54"/>
  <c r="U51" i="54"/>
  <c r="V51" i="54"/>
  <c r="V50" i="54"/>
  <c r="U50" i="54"/>
  <c r="V49" i="54"/>
  <c r="U49" i="54"/>
  <c r="V47" i="54"/>
  <c r="U47" i="54"/>
  <c r="V46" i="54"/>
  <c r="U46" i="54"/>
  <c r="V45" i="54"/>
  <c r="U45" i="54"/>
  <c r="V44" i="54"/>
  <c r="V43" i="54"/>
  <c r="U43" i="54"/>
  <c r="V42" i="54"/>
  <c r="U42" i="54"/>
  <c r="V41" i="54"/>
  <c r="U41" i="54"/>
  <c r="V40" i="54"/>
  <c r="V39" i="54"/>
  <c r="V38" i="54"/>
  <c r="U38" i="54"/>
  <c r="U37" i="54"/>
  <c r="V37" i="54"/>
  <c r="V36" i="54"/>
  <c r="U36" i="54"/>
  <c r="V34" i="54"/>
  <c r="V33" i="54"/>
  <c r="U33" i="54"/>
  <c r="V32" i="54"/>
  <c r="V31" i="54"/>
  <c r="V30" i="54"/>
  <c r="U30" i="54"/>
  <c r="V29" i="54"/>
  <c r="V28" i="54"/>
  <c r="U28" i="54"/>
  <c r="U27" i="54"/>
  <c r="V26" i="54"/>
  <c r="U26" i="54"/>
  <c r="V25" i="54"/>
  <c r="V24" i="54"/>
  <c r="U24" i="54"/>
  <c r="V23" i="54"/>
  <c r="U23" i="54"/>
  <c r="V21" i="54"/>
  <c r="U21" i="54"/>
  <c r="V20" i="54"/>
  <c r="U18" i="54"/>
  <c r="U17" i="54"/>
  <c r="U16" i="54"/>
  <c r="V15" i="54"/>
  <c r="V14" i="54"/>
  <c r="U14" i="54"/>
  <c r="U13" i="54"/>
  <c r="U12" i="54"/>
  <c r="U11" i="54"/>
  <c r="V10" i="54"/>
  <c r="V9" i="54"/>
  <c r="U8" i="54"/>
  <c r="V6" i="54"/>
  <c r="U6" i="54"/>
  <c r="Y81" i="2"/>
  <c r="J38" i="89" l="1"/>
  <c r="I53" i="56"/>
  <c r="I153" i="56"/>
  <c r="Y96" i="93"/>
  <c r="Y96" i="105"/>
  <c r="W53" i="54"/>
  <c r="R58" i="57"/>
  <c r="I135" i="56"/>
  <c r="E129" i="57"/>
  <c r="Q58" i="57"/>
  <c r="E20" i="104"/>
  <c r="I20" i="104" s="1"/>
  <c r="J20" i="104" s="1"/>
  <c r="E21" i="104"/>
  <c r="I21" i="104" s="1"/>
  <c r="J21" i="104" s="1"/>
  <c r="E12" i="103"/>
  <c r="I12" i="103" s="1"/>
  <c r="J12" i="103" s="1"/>
  <c r="E14" i="103"/>
  <c r="I14" i="103" s="1"/>
  <c r="J14" i="103" s="1"/>
  <c r="E27" i="103"/>
  <c r="I27" i="103" s="1"/>
  <c r="J27" i="103" s="1"/>
  <c r="E24" i="102"/>
  <c r="I24" i="102" s="1"/>
  <c r="J24" i="102" s="1"/>
  <c r="E27" i="102"/>
  <c r="I27" i="102" s="1"/>
  <c r="J27" i="102" s="1"/>
  <c r="E27" i="100"/>
  <c r="I27" i="100" s="1"/>
  <c r="J27" i="100" s="1"/>
  <c r="E25" i="98"/>
  <c r="I25" i="98" s="1"/>
  <c r="J25" i="98" s="1"/>
  <c r="E24" i="98"/>
  <c r="I24" i="98" s="1"/>
  <c r="J24" i="98" s="1"/>
  <c r="E47" i="95"/>
  <c r="J47" i="95" s="1"/>
  <c r="E24" i="95"/>
  <c r="I24" i="95" s="1"/>
  <c r="J24" i="95" s="1"/>
  <c r="E27" i="95"/>
  <c r="I27" i="95" s="1"/>
  <c r="J27" i="95" s="1"/>
  <c r="E20" i="95"/>
  <c r="I20" i="95" s="1"/>
  <c r="J20" i="95" s="1"/>
  <c r="E20" i="94"/>
  <c r="I20" i="94" s="1"/>
  <c r="J20" i="94" s="1"/>
  <c r="E21" i="94"/>
  <c r="I21" i="94" s="1"/>
  <c r="J21" i="94" s="1"/>
  <c r="E24" i="94"/>
  <c r="I24" i="94" s="1"/>
  <c r="J24" i="94" s="1"/>
  <c r="E43" i="93"/>
  <c r="J43" i="93" s="1"/>
  <c r="E20" i="93"/>
  <c r="I20" i="93" s="1"/>
  <c r="J20" i="93" s="1"/>
  <c r="E42" i="91"/>
  <c r="J42" i="91" s="1"/>
  <c r="E27" i="91"/>
  <c r="I27" i="91" s="1"/>
  <c r="J27" i="91" s="1"/>
  <c r="E20" i="91"/>
  <c r="I20" i="91" s="1"/>
  <c r="J20" i="91" s="1"/>
  <c r="E14" i="91"/>
  <c r="I14" i="91" s="1"/>
  <c r="J14" i="91" s="1"/>
  <c r="E27" i="90"/>
  <c r="I27" i="90" s="1"/>
  <c r="J27" i="90" s="1"/>
  <c r="E47" i="89"/>
  <c r="J47" i="89" s="1"/>
  <c r="E14" i="89"/>
  <c r="I14" i="89" s="1"/>
  <c r="J14" i="89" s="1"/>
  <c r="E27" i="89"/>
  <c r="I27" i="89" s="1"/>
  <c r="J27" i="89" s="1"/>
  <c r="E21" i="89"/>
  <c r="I21" i="89" s="1"/>
  <c r="J21" i="89" s="1"/>
  <c r="E24" i="89"/>
  <c r="I24" i="89" s="1"/>
  <c r="J24" i="89" s="1"/>
  <c r="E21" i="88"/>
  <c r="I21" i="88" s="1"/>
  <c r="J21" i="88" s="1"/>
  <c r="E20" i="88"/>
  <c r="I20" i="88" s="1"/>
  <c r="J20" i="88" s="1"/>
  <c r="E24" i="87"/>
  <c r="I24" i="87" s="1"/>
  <c r="J24" i="87" s="1"/>
  <c r="E42" i="86"/>
  <c r="J42" i="86" s="1"/>
  <c r="E21" i="86"/>
  <c r="I21" i="86" s="1"/>
  <c r="J21" i="86" s="1"/>
  <c r="E27" i="83"/>
  <c r="I27" i="83" s="1"/>
  <c r="J27" i="83" s="1"/>
  <c r="E27" i="79"/>
  <c r="I27" i="79" s="1"/>
  <c r="J27" i="79" s="1"/>
  <c r="E18" i="78"/>
  <c r="I18" i="78" s="1"/>
  <c r="J18" i="78" s="1"/>
  <c r="E20" i="78"/>
  <c r="I20" i="78" s="1"/>
  <c r="J20" i="78" s="1"/>
  <c r="E21" i="78"/>
  <c r="I21" i="78" s="1"/>
  <c r="J21" i="78" s="1"/>
  <c r="E24" i="77"/>
  <c r="T24" i="77" s="1"/>
  <c r="X24" i="77" s="1"/>
  <c r="Y24" i="77" s="1"/>
  <c r="E43" i="75"/>
  <c r="J43" i="75" s="1"/>
  <c r="E20" i="75"/>
  <c r="I20" i="75" s="1"/>
  <c r="J20" i="75" s="1"/>
  <c r="E20" i="74"/>
  <c r="I20" i="74" s="1"/>
  <c r="J20" i="74" s="1"/>
  <c r="E24" i="73"/>
  <c r="I24" i="73" s="1"/>
  <c r="J24" i="73" s="1"/>
  <c r="E24" i="72"/>
  <c r="I24" i="72" s="1"/>
  <c r="J24" i="72" s="1"/>
  <c r="E27" i="72"/>
  <c r="I27" i="72" s="1"/>
  <c r="J27" i="72" s="1"/>
  <c r="E21" i="72"/>
  <c r="I21" i="72" s="1"/>
  <c r="J21" i="72" s="1"/>
  <c r="E20" i="70"/>
  <c r="I20" i="70" s="1"/>
  <c r="J20" i="70" s="1"/>
  <c r="E21" i="70"/>
  <c r="I21" i="70" s="1"/>
  <c r="J21" i="70" s="1"/>
  <c r="E24" i="70"/>
  <c r="I24" i="70" s="1"/>
  <c r="J24" i="70" s="1"/>
  <c r="E14" i="70"/>
  <c r="I14" i="70" s="1"/>
  <c r="J14" i="70" s="1"/>
  <c r="E17" i="69"/>
  <c r="T17" i="69" s="1"/>
  <c r="X17" i="69" s="1"/>
  <c r="Y17" i="69" s="1"/>
  <c r="E20" i="69"/>
  <c r="I20" i="69" s="1"/>
  <c r="J20" i="69" s="1"/>
  <c r="E24" i="69"/>
  <c r="T24" i="69" s="1"/>
  <c r="X24" i="69" s="1"/>
  <c r="Y24" i="69" s="1"/>
  <c r="E14" i="69"/>
  <c r="T14" i="69" s="1"/>
  <c r="X14" i="69" s="1"/>
  <c r="Y14" i="69" s="1"/>
  <c r="E14" i="66"/>
  <c r="I14" i="66" s="1"/>
  <c r="J14" i="66" s="1"/>
  <c r="E27" i="66"/>
  <c r="I27" i="66" s="1"/>
  <c r="J27" i="66" s="1"/>
  <c r="E27" i="65"/>
  <c r="I27" i="65" s="1"/>
  <c r="J27" i="65" s="1"/>
  <c r="E17" i="63"/>
  <c r="I17" i="63" s="1"/>
  <c r="J17" i="63" s="1"/>
  <c r="E27" i="63"/>
  <c r="I27" i="63" s="1"/>
  <c r="J27" i="63" s="1"/>
  <c r="E14" i="61"/>
  <c r="I14" i="61" s="1"/>
  <c r="J14" i="61" s="1"/>
  <c r="T23" i="61"/>
  <c r="X23" i="61" s="1"/>
  <c r="Y23" i="61" s="1"/>
  <c r="X96" i="60"/>
  <c r="Y96" i="60" s="1"/>
  <c r="J97" i="60"/>
  <c r="J31" i="70"/>
  <c r="Y31" i="70" s="1"/>
  <c r="Y32" i="70" s="1"/>
  <c r="J31" i="63"/>
  <c r="Y31" i="63" s="1"/>
  <c r="Y32" i="63" s="1"/>
  <c r="J97" i="70"/>
  <c r="J97" i="67"/>
  <c r="J102" i="101"/>
  <c r="Y50" i="96"/>
  <c r="Y103" i="65"/>
  <c r="I84" i="65"/>
  <c r="J84" i="65" s="1"/>
  <c r="J31" i="59"/>
  <c r="Y31" i="59" s="1"/>
  <c r="Y32" i="59" s="1"/>
  <c r="X83" i="61"/>
  <c r="J31" i="73"/>
  <c r="Y31" i="73" s="1"/>
  <c r="Y32" i="73" s="1"/>
  <c r="Y23" i="75"/>
  <c r="J31" i="65"/>
  <c r="Y31" i="65" s="1"/>
  <c r="Y32" i="65" s="1"/>
  <c r="Y24" i="99"/>
  <c r="J97" i="101"/>
  <c r="J31" i="74"/>
  <c r="Y31" i="74" s="1"/>
  <c r="Y32" i="74" s="1"/>
  <c r="J31" i="99"/>
  <c r="Y31" i="99" s="1"/>
  <c r="Y32" i="99" s="1"/>
  <c r="X97" i="98"/>
  <c r="Y97" i="98" s="1"/>
  <c r="J31" i="105"/>
  <c r="Y31" i="105" s="1"/>
  <c r="Y32" i="105" s="1"/>
  <c r="I84" i="80"/>
  <c r="J84" i="80" s="1"/>
  <c r="I84" i="86"/>
  <c r="J84" i="86" s="1"/>
  <c r="D92" i="67"/>
  <c r="Y23" i="74"/>
  <c r="Y26" i="79"/>
  <c r="J31" i="92"/>
  <c r="Y31" i="92" s="1"/>
  <c r="Y32" i="92" s="1"/>
  <c r="Y24" i="74"/>
  <c r="I84" i="103"/>
  <c r="J84" i="103" s="1"/>
  <c r="J97" i="100"/>
  <c r="Y21" i="72"/>
  <c r="Y22" i="72"/>
  <c r="J31" i="91"/>
  <c r="J32" i="91" s="1"/>
  <c r="Y24" i="93"/>
  <c r="J97" i="98"/>
  <c r="J31" i="94"/>
  <c r="J32" i="94" s="1"/>
  <c r="Y20" i="70"/>
  <c r="Y20" i="104"/>
  <c r="J47" i="105"/>
  <c r="J31" i="58"/>
  <c r="J32" i="58" s="1"/>
  <c r="Y21" i="70"/>
  <c r="Y17" i="71"/>
  <c r="J97" i="69"/>
  <c r="E12" i="66"/>
  <c r="I12" i="66" s="1"/>
  <c r="J12" i="66" s="1"/>
  <c r="X83" i="58"/>
  <c r="I84" i="68"/>
  <c r="J84" i="68" s="1"/>
  <c r="I84" i="70"/>
  <c r="J84" i="70" s="1"/>
  <c r="J97" i="80"/>
  <c r="J31" i="60"/>
  <c r="J32" i="60" s="1"/>
  <c r="Y26" i="71"/>
  <c r="J20" i="84"/>
  <c r="J31" i="86"/>
  <c r="Y31" i="86" s="1"/>
  <c r="Y32" i="86" s="1"/>
  <c r="Y23" i="91"/>
  <c r="J31" i="104"/>
  <c r="Y31" i="104" s="1"/>
  <c r="Y32" i="104" s="1"/>
  <c r="J26" i="100"/>
  <c r="Y18" i="73"/>
  <c r="Y20" i="84"/>
  <c r="Y24" i="91"/>
  <c r="D92" i="100"/>
  <c r="Y19" i="73"/>
  <c r="Y22" i="84"/>
  <c r="Y24" i="78"/>
  <c r="Y22" i="73"/>
  <c r="J103" i="83"/>
  <c r="J23" i="84"/>
  <c r="Y21" i="65"/>
  <c r="Y23" i="73"/>
  <c r="J46" i="68"/>
  <c r="Y22" i="83"/>
  <c r="Y24" i="89"/>
  <c r="Y26" i="100"/>
  <c r="Y50" i="60"/>
  <c r="Y22" i="65"/>
  <c r="Y15" i="71"/>
  <c r="J97" i="76"/>
  <c r="Y23" i="83"/>
  <c r="J31" i="90"/>
  <c r="Y31" i="90" s="1"/>
  <c r="Y32" i="90" s="1"/>
  <c r="J46" i="100"/>
  <c r="Y50" i="65"/>
  <c r="Y103" i="64"/>
  <c r="Y21" i="88"/>
  <c r="Y19" i="71"/>
  <c r="D90" i="98"/>
  <c r="Y22" i="86"/>
  <c r="Y21" i="71"/>
  <c r="Y23" i="86"/>
  <c r="X97" i="90"/>
  <c r="Y97" i="90" s="1"/>
  <c r="Y22" i="104"/>
  <c r="J97" i="65"/>
  <c r="Y22" i="71"/>
  <c r="Y26" i="87"/>
  <c r="Y15" i="100"/>
  <c r="Y23" i="82"/>
  <c r="J46" i="87"/>
  <c r="Y19" i="103"/>
  <c r="J102" i="86"/>
  <c r="J46" i="61"/>
  <c r="Y19" i="70"/>
  <c r="Y23" i="71"/>
  <c r="J31" i="72"/>
  <c r="Y31" i="72" s="1"/>
  <c r="Y32" i="72" s="1"/>
  <c r="Y50" i="81"/>
  <c r="Y24" i="71"/>
  <c r="J31" i="75"/>
  <c r="Y31" i="75" s="1"/>
  <c r="Y32" i="75" s="1"/>
  <c r="J23" i="80"/>
  <c r="J31" i="87"/>
  <c r="Y31" i="87" s="1"/>
  <c r="Y32" i="87" s="1"/>
  <c r="J31" i="93"/>
  <c r="Y31" i="93" s="1"/>
  <c r="Y32" i="93" s="1"/>
  <c r="Y17" i="100"/>
  <c r="Y20" i="103"/>
  <c r="Y103" i="91"/>
  <c r="Y102" i="69"/>
  <c r="Y19" i="97"/>
  <c r="Y23" i="60"/>
  <c r="J31" i="61"/>
  <c r="J32" i="61" s="1"/>
  <c r="Y27" i="80"/>
  <c r="J31" i="81"/>
  <c r="Y31" i="81" s="1"/>
  <c r="Y32" i="81" s="1"/>
  <c r="Y20" i="83"/>
  <c r="X83" i="87"/>
  <c r="Y22" i="89"/>
  <c r="Y25" i="96"/>
  <c r="J31" i="98"/>
  <c r="Y31" i="98" s="1"/>
  <c r="Y32" i="98" s="1"/>
  <c r="Y22" i="99"/>
  <c r="Y17" i="103"/>
  <c r="Y18" i="104"/>
  <c r="D90" i="59"/>
  <c r="Y103" i="71"/>
  <c r="Y20" i="81"/>
  <c r="Y17" i="94"/>
  <c r="Y24" i="60"/>
  <c r="J31" i="64"/>
  <c r="Y31" i="64" s="1"/>
  <c r="Y32" i="64" s="1"/>
  <c r="Y21" i="75"/>
  <c r="Y21" i="87"/>
  <c r="Y21" i="91"/>
  <c r="X83" i="91"/>
  <c r="Y23" i="95"/>
  <c r="Y23" i="67"/>
  <c r="J31" i="68"/>
  <c r="Y31" i="68" s="1"/>
  <c r="Y32" i="68" s="1"/>
  <c r="D90" i="68"/>
  <c r="J17" i="71"/>
  <c r="Y17" i="73"/>
  <c r="Y22" i="75"/>
  <c r="Y21" i="83"/>
  <c r="J97" i="84"/>
  <c r="Y21" i="86"/>
  <c r="Y103" i="86"/>
  <c r="I84" i="87"/>
  <c r="J84" i="87" s="1"/>
  <c r="Y20" i="88"/>
  <c r="Y23" i="89"/>
  <c r="Y22" i="91"/>
  <c r="I84" i="91"/>
  <c r="J84" i="91" s="1"/>
  <c r="Y26" i="96"/>
  <c r="J31" i="97"/>
  <c r="J32" i="97" s="1"/>
  <c r="J23" i="97"/>
  <c r="Y23" i="99"/>
  <c r="Y25" i="100"/>
  <c r="Y18" i="103"/>
  <c r="Y19" i="104"/>
  <c r="Y50" i="104"/>
  <c r="D92" i="80"/>
  <c r="J31" i="69"/>
  <c r="Y31" i="69" s="1"/>
  <c r="Y32" i="69" s="1"/>
  <c r="Y20" i="73"/>
  <c r="X83" i="73"/>
  <c r="J31" i="78"/>
  <c r="Y31" i="78" s="1"/>
  <c r="Y32" i="78" s="1"/>
  <c r="Y24" i="83"/>
  <c r="J21" i="84"/>
  <c r="Y24" i="86"/>
  <c r="Y24" i="87"/>
  <c r="Y22" i="88"/>
  <c r="Y26" i="90"/>
  <c r="J31" i="96"/>
  <c r="J32" i="96" s="1"/>
  <c r="J23" i="96"/>
  <c r="Y27" i="100"/>
  <c r="Y21" i="103"/>
  <c r="V103" i="103"/>
  <c r="Y103" i="103" s="1"/>
  <c r="Y50" i="70"/>
  <c r="Y21" i="73"/>
  <c r="J31" i="76"/>
  <c r="J32" i="76" s="1"/>
  <c r="J46" i="76"/>
  <c r="J31" i="77"/>
  <c r="J31" i="79"/>
  <c r="Y31" i="79" s="1"/>
  <c r="Y32" i="79" s="1"/>
  <c r="Y21" i="84"/>
  <c r="Y25" i="86"/>
  <c r="Y25" i="87"/>
  <c r="Y23" i="88"/>
  <c r="J31" i="89"/>
  <c r="Y31" i="89" s="1"/>
  <c r="Y32" i="89" s="1"/>
  <c r="J46" i="90"/>
  <c r="Y26" i="91"/>
  <c r="J31" i="95"/>
  <c r="Y31" i="95" s="1"/>
  <c r="Y32" i="95" s="1"/>
  <c r="Y13" i="97"/>
  <c r="J31" i="100"/>
  <c r="Y31" i="100" s="1"/>
  <c r="Y32" i="100" s="1"/>
  <c r="J31" i="101"/>
  <c r="J32" i="101" s="1"/>
  <c r="Y22" i="103"/>
  <c r="Y21" i="104"/>
  <c r="Y15" i="97"/>
  <c r="Y23" i="104"/>
  <c r="Y103" i="69"/>
  <c r="J31" i="83"/>
  <c r="Y31" i="83" s="1"/>
  <c r="Y32" i="83" s="1"/>
  <c r="J31" i="88"/>
  <c r="Y31" i="88" s="1"/>
  <c r="Y32" i="88" s="1"/>
  <c r="Y17" i="97"/>
  <c r="Y18" i="98"/>
  <c r="J31" i="62"/>
  <c r="J32" i="62" s="1"/>
  <c r="J102" i="63"/>
  <c r="Y20" i="65"/>
  <c r="Y22" i="70"/>
  <c r="Y25" i="71"/>
  <c r="Y23" i="72"/>
  <c r="Y17" i="80"/>
  <c r="J31" i="84"/>
  <c r="Y31" i="84" s="1"/>
  <c r="Y32" i="84" s="1"/>
  <c r="D92" i="86"/>
  <c r="Y15" i="96"/>
  <c r="Y18" i="97"/>
  <c r="Y19" i="98"/>
  <c r="J31" i="103"/>
  <c r="Y31" i="103" s="1"/>
  <c r="Y32" i="103" s="1"/>
  <c r="Y17" i="78"/>
  <c r="Y17" i="96"/>
  <c r="Y17" i="60"/>
  <c r="Y23" i="65"/>
  <c r="Y21" i="97"/>
  <c r="D92" i="60"/>
  <c r="J24" i="61"/>
  <c r="J103" i="62"/>
  <c r="Y20" i="98"/>
  <c r="Y19" i="80"/>
  <c r="Y18" i="60"/>
  <c r="Y50" i="94"/>
  <c r="Y19" i="96"/>
  <c r="Y22" i="97"/>
  <c r="J103" i="97"/>
  <c r="Y23" i="98"/>
  <c r="Y18" i="100"/>
  <c r="D92" i="104"/>
  <c r="D90" i="87"/>
  <c r="Y17" i="98"/>
  <c r="Y15" i="60"/>
  <c r="D92" i="91"/>
  <c r="Y23" i="81"/>
  <c r="Y17" i="75"/>
  <c r="Y50" i="75"/>
  <c r="Y19" i="78"/>
  <c r="Y50" i="78"/>
  <c r="Y22" i="80"/>
  <c r="J31" i="82"/>
  <c r="Y31" i="82" s="1"/>
  <c r="Y32" i="82" s="1"/>
  <c r="Y17" i="91"/>
  <c r="Y20" i="94"/>
  <c r="Y20" i="96"/>
  <c r="Y23" i="97"/>
  <c r="Y19" i="100"/>
  <c r="Y15" i="80"/>
  <c r="Y21" i="81"/>
  <c r="J102" i="97"/>
  <c r="Y21" i="98"/>
  <c r="Y15" i="75"/>
  <c r="Y20" i="80"/>
  <c r="Y15" i="91"/>
  <c r="Y18" i="96"/>
  <c r="Y15" i="87"/>
  <c r="Y104" i="61"/>
  <c r="Y25" i="65"/>
  <c r="J102" i="68"/>
  <c r="D92" i="73"/>
  <c r="Y20" i="60"/>
  <c r="Y18" i="75"/>
  <c r="Y23" i="80"/>
  <c r="Y17" i="86"/>
  <c r="Y17" i="87"/>
  <c r="J97" i="87"/>
  <c r="Y18" i="91"/>
  <c r="Y21" i="96"/>
  <c r="Y24" i="97"/>
  <c r="J104" i="97"/>
  <c r="Y24" i="98"/>
  <c r="Y20" i="100"/>
  <c r="I84" i="100"/>
  <c r="J84" i="100" s="1"/>
  <c r="Y50" i="101"/>
  <c r="Y20" i="78"/>
  <c r="D92" i="84"/>
  <c r="Y18" i="86"/>
  <c r="Y50" i="86"/>
  <c r="Y18" i="87"/>
  <c r="Y19" i="91"/>
  <c r="Y50" i="91"/>
  <c r="Y21" i="94"/>
  <c r="Y20" i="95"/>
  <c r="Y22" i="96"/>
  <c r="D90" i="97"/>
  <c r="Y19" i="99"/>
  <c r="Y21" i="100"/>
  <c r="J102" i="62"/>
  <c r="D92" i="75"/>
  <c r="Y18" i="94"/>
  <c r="Y20" i="97"/>
  <c r="Y22" i="81"/>
  <c r="Y19" i="94"/>
  <c r="Y22" i="98"/>
  <c r="Y24" i="65"/>
  <c r="J23" i="71"/>
  <c r="Y18" i="78"/>
  <c r="Y21" i="80"/>
  <c r="Y15" i="86"/>
  <c r="Y19" i="60"/>
  <c r="Y21" i="60"/>
  <c r="J31" i="67"/>
  <c r="Y31" i="67" s="1"/>
  <c r="Y32" i="67" s="1"/>
  <c r="Y19" i="75"/>
  <c r="Y22" i="60"/>
  <c r="J102" i="75"/>
  <c r="J102" i="78"/>
  <c r="Y19" i="86"/>
  <c r="Y19" i="87"/>
  <c r="Y50" i="88"/>
  <c r="J103" i="92"/>
  <c r="Y22" i="94"/>
  <c r="Y21" i="95"/>
  <c r="Y23" i="96"/>
  <c r="Y20" i="99"/>
  <c r="I84" i="99"/>
  <c r="J84" i="99" s="1"/>
  <c r="Y22" i="100"/>
  <c r="D92" i="94"/>
  <c r="J103" i="74"/>
  <c r="Y20" i="75"/>
  <c r="Y21" i="78"/>
  <c r="Y26" i="80"/>
  <c r="J46" i="80"/>
  <c r="Y20" i="86"/>
  <c r="Y20" i="87"/>
  <c r="Y21" i="89"/>
  <c r="I84" i="90"/>
  <c r="J84" i="90" s="1"/>
  <c r="Y20" i="91"/>
  <c r="Y23" i="94"/>
  <c r="Y22" i="95"/>
  <c r="Y24" i="96"/>
  <c r="Y21" i="99"/>
  <c r="E24" i="104"/>
  <c r="I24" i="104" s="1"/>
  <c r="J24" i="104" s="1"/>
  <c r="E27" i="104"/>
  <c r="I27" i="104" s="1"/>
  <c r="J27" i="104" s="1"/>
  <c r="E14" i="104"/>
  <c r="I14" i="104" s="1"/>
  <c r="J14" i="104" s="1"/>
  <c r="E18" i="104"/>
  <c r="I18" i="104" s="1"/>
  <c r="J18" i="104" s="1"/>
  <c r="E19" i="104"/>
  <c r="I19" i="104" s="1"/>
  <c r="J19" i="104" s="1"/>
  <c r="E15" i="103"/>
  <c r="I15" i="103" s="1"/>
  <c r="J15" i="103" s="1"/>
  <c r="E17" i="103"/>
  <c r="I17" i="103" s="1"/>
  <c r="J17" i="103" s="1"/>
  <c r="E22" i="103"/>
  <c r="I22" i="103" s="1"/>
  <c r="J22" i="103" s="1"/>
  <c r="E25" i="103"/>
  <c r="I25" i="103" s="1"/>
  <c r="J25" i="103" s="1"/>
  <c r="E14" i="102"/>
  <c r="I14" i="102" s="1"/>
  <c r="J14" i="102" s="1"/>
  <c r="E17" i="102"/>
  <c r="I17" i="102" s="1"/>
  <c r="J17" i="102" s="1"/>
  <c r="E18" i="102"/>
  <c r="T18" i="102" s="1"/>
  <c r="X18" i="102" s="1"/>
  <c r="Y18" i="102" s="1"/>
  <c r="E20" i="102"/>
  <c r="T20" i="102" s="1"/>
  <c r="X20" i="102" s="1"/>
  <c r="Y20" i="102" s="1"/>
  <c r="E21" i="102"/>
  <c r="T21" i="102" s="1"/>
  <c r="X21" i="102" s="1"/>
  <c r="Y21" i="102" s="1"/>
  <c r="E14" i="101"/>
  <c r="I14" i="101" s="1"/>
  <c r="J14" i="101" s="1"/>
  <c r="E20" i="101"/>
  <c r="I20" i="101" s="1"/>
  <c r="J20" i="101" s="1"/>
  <c r="E21" i="101"/>
  <c r="I21" i="101" s="1"/>
  <c r="J21" i="101" s="1"/>
  <c r="E24" i="101"/>
  <c r="I24" i="101" s="1"/>
  <c r="J24" i="101" s="1"/>
  <c r="T23" i="101"/>
  <c r="X23" i="101" s="1"/>
  <c r="Y23" i="101" s="1"/>
  <c r="E13" i="100"/>
  <c r="I13" i="100" s="1"/>
  <c r="J13" i="100" s="1"/>
  <c r="E14" i="100"/>
  <c r="I14" i="100" s="1"/>
  <c r="J14" i="100" s="1"/>
  <c r="E14" i="99"/>
  <c r="I14" i="99" s="1"/>
  <c r="J14" i="99" s="1"/>
  <c r="E18" i="99"/>
  <c r="I18" i="99" s="1"/>
  <c r="J18" i="99" s="1"/>
  <c r="E20" i="99"/>
  <c r="I20" i="99" s="1"/>
  <c r="J20" i="99" s="1"/>
  <c r="E21" i="99"/>
  <c r="I21" i="99" s="1"/>
  <c r="J21" i="99" s="1"/>
  <c r="E14" i="98"/>
  <c r="I14" i="98" s="1"/>
  <c r="J14" i="98" s="1"/>
  <c r="E17" i="98"/>
  <c r="I17" i="98" s="1"/>
  <c r="J17" i="98" s="1"/>
  <c r="E24" i="96"/>
  <c r="I24" i="96" s="1"/>
  <c r="J24" i="96" s="1"/>
  <c r="E14" i="96"/>
  <c r="I14" i="96" s="1"/>
  <c r="J14" i="96" s="1"/>
  <c r="E14" i="95"/>
  <c r="I14" i="95" s="1"/>
  <c r="J14" i="95" s="1"/>
  <c r="E27" i="94"/>
  <c r="I27" i="94" s="1"/>
  <c r="J27" i="94" s="1"/>
  <c r="E18" i="94"/>
  <c r="I18" i="94" s="1"/>
  <c r="J18" i="94" s="1"/>
  <c r="E24" i="93"/>
  <c r="I24" i="93" s="1"/>
  <c r="J24" i="93" s="1"/>
  <c r="E27" i="93"/>
  <c r="I27" i="93" s="1"/>
  <c r="J27" i="93" s="1"/>
  <c r="E14" i="93"/>
  <c r="I14" i="93" s="1"/>
  <c r="J14" i="93" s="1"/>
  <c r="E20" i="89"/>
  <c r="I20" i="89" s="1"/>
  <c r="J20" i="89" s="1"/>
  <c r="E24" i="88"/>
  <c r="I24" i="88" s="1"/>
  <c r="J24" i="88" s="1"/>
  <c r="E17" i="86"/>
  <c r="I17" i="86" s="1"/>
  <c r="J17" i="86" s="1"/>
  <c r="E14" i="83"/>
  <c r="I14" i="83" s="1"/>
  <c r="J14" i="83" s="1"/>
  <c r="E20" i="83"/>
  <c r="I20" i="83" s="1"/>
  <c r="J20" i="83" s="1"/>
  <c r="E21" i="83"/>
  <c r="I21" i="83" s="1"/>
  <c r="J21" i="83" s="1"/>
  <c r="E24" i="82"/>
  <c r="I24" i="82" s="1"/>
  <c r="J24" i="82" s="1"/>
  <c r="E14" i="82"/>
  <c r="I14" i="82" s="1"/>
  <c r="J14" i="82" s="1"/>
  <c r="E21" i="81"/>
  <c r="I21" i="81" s="1"/>
  <c r="J21" i="81" s="1"/>
  <c r="E27" i="81"/>
  <c r="I27" i="81" s="1"/>
  <c r="J27" i="81" s="1"/>
  <c r="E14" i="81"/>
  <c r="I14" i="81" s="1"/>
  <c r="J14" i="81" s="1"/>
  <c r="E18" i="81"/>
  <c r="I18" i="81" s="1"/>
  <c r="J18" i="81" s="1"/>
  <c r="E24" i="81"/>
  <c r="I24" i="81" s="1"/>
  <c r="J24" i="81" s="1"/>
  <c r="E27" i="80"/>
  <c r="I27" i="80" s="1"/>
  <c r="J27" i="80" s="1"/>
  <c r="E14" i="80"/>
  <c r="I14" i="80" s="1"/>
  <c r="J14" i="80" s="1"/>
  <c r="E14" i="78"/>
  <c r="I14" i="78" s="1"/>
  <c r="J14" i="78" s="1"/>
  <c r="E47" i="75"/>
  <c r="J47" i="75" s="1"/>
  <c r="E27" i="75"/>
  <c r="I27" i="75" s="1"/>
  <c r="J27" i="75" s="1"/>
  <c r="E24" i="75"/>
  <c r="I24" i="75" s="1"/>
  <c r="J24" i="75" s="1"/>
  <c r="E14" i="75"/>
  <c r="I14" i="75" s="1"/>
  <c r="J14" i="75" s="1"/>
  <c r="E17" i="75"/>
  <c r="I17" i="75" s="1"/>
  <c r="J17" i="75" s="1"/>
  <c r="E18" i="75"/>
  <c r="I18" i="75" s="1"/>
  <c r="J18" i="75" s="1"/>
  <c r="E24" i="74"/>
  <c r="I24" i="74" s="1"/>
  <c r="J24" i="74" s="1"/>
  <c r="E14" i="73"/>
  <c r="I14" i="73" s="1"/>
  <c r="J14" i="73" s="1"/>
  <c r="E43" i="72"/>
  <c r="J43" i="72" s="1"/>
  <c r="E14" i="72"/>
  <c r="I14" i="72" s="1"/>
  <c r="J14" i="72" s="1"/>
  <c r="E27" i="70"/>
  <c r="I27" i="70" s="1"/>
  <c r="J27" i="70" s="1"/>
  <c r="E17" i="68"/>
  <c r="T17" i="68" s="1"/>
  <c r="X17" i="68" s="1"/>
  <c r="Y17" i="68" s="1"/>
  <c r="E18" i="68"/>
  <c r="T18" i="68" s="1"/>
  <c r="X18" i="68" s="1"/>
  <c r="Y18" i="68" s="1"/>
  <c r="E19" i="68"/>
  <c r="T19" i="68" s="1"/>
  <c r="X19" i="68" s="1"/>
  <c r="Y19" i="68" s="1"/>
  <c r="E14" i="67"/>
  <c r="I14" i="67" s="1"/>
  <c r="J14" i="67" s="1"/>
  <c r="E17" i="67"/>
  <c r="T17" i="67" s="1"/>
  <c r="X17" i="67" s="1"/>
  <c r="Y17" i="67" s="1"/>
  <c r="E18" i="67"/>
  <c r="T18" i="67" s="1"/>
  <c r="X18" i="67" s="1"/>
  <c r="Y18" i="67" s="1"/>
  <c r="E20" i="67"/>
  <c r="T20" i="67" s="1"/>
  <c r="X20" i="67" s="1"/>
  <c r="Y20" i="67" s="1"/>
  <c r="E20" i="65"/>
  <c r="I20" i="65" s="1"/>
  <c r="J20" i="65" s="1"/>
  <c r="E21" i="65"/>
  <c r="I21" i="65" s="1"/>
  <c r="J21" i="65" s="1"/>
  <c r="E14" i="62"/>
  <c r="I14" i="62" s="1"/>
  <c r="J14" i="62" s="1"/>
  <c r="E18" i="62"/>
  <c r="T18" i="62" s="1"/>
  <c r="X18" i="62" s="1"/>
  <c r="Y18" i="62" s="1"/>
  <c r="E20" i="62"/>
  <c r="I20" i="62" s="1"/>
  <c r="J20" i="62" s="1"/>
  <c r="E21" i="62"/>
  <c r="T21" i="62" s="1"/>
  <c r="X21" i="62" s="1"/>
  <c r="Y21" i="62" s="1"/>
  <c r="E24" i="62"/>
  <c r="I24" i="62" s="1"/>
  <c r="J24" i="62" s="1"/>
  <c r="I23" i="62"/>
  <c r="J23" i="62" s="1"/>
  <c r="E47" i="61"/>
  <c r="J47" i="61" s="1"/>
  <c r="E14" i="60"/>
  <c r="I14" i="60" s="1"/>
  <c r="J14" i="60" s="1"/>
  <c r="E18" i="60"/>
  <c r="I18" i="60" s="1"/>
  <c r="J18" i="60" s="1"/>
  <c r="E21" i="60"/>
  <c r="I21" i="60" s="1"/>
  <c r="J21" i="60" s="1"/>
  <c r="E20" i="60"/>
  <c r="I20" i="60" s="1"/>
  <c r="J20" i="60" s="1"/>
  <c r="E27" i="82"/>
  <c r="I27" i="82" s="1"/>
  <c r="J27" i="82" s="1"/>
  <c r="D90" i="82"/>
  <c r="Y27" i="82"/>
  <c r="J46" i="82"/>
  <c r="D92" i="82"/>
  <c r="J102" i="82"/>
  <c r="Y24" i="82"/>
  <c r="Y17" i="82"/>
  <c r="E18" i="82"/>
  <c r="I18" i="82" s="1"/>
  <c r="J18" i="82" s="1"/>
  <c r="Y18" i="82"/>
  <c r="Y19" i="82"/>
  <c r="E20" i="82"/>
  <c r="I20" i="82" s="1"/>
  <c r="J20" i="82" s="1"/>
  <c r="J97" i="82"/>
  <c r="Y104" i="82"/>
  <c r="Y26" i="82"/>
  <c r="J104" i="82"/>
  <c r="Y15" i="82"/>
  <c r="Y20" i="82"/>
  <c r="Y103" i="82"/>
  <c r="Y25" i="82"/>
  <c r="J23" i="82"/>
  <c r="Y50" i="82"/>
  <c r="E21" i="82"/>
  <c r="I21" i="82" s="1"/>
  <c r="J21" i="82" s="1"/>
  <c r="Y21" i="82"/>
  <c r="Y22" i="82"/>
  <c r="I84" i="82"/>
  <c r="J84" i="82" s="1"/>
  <c r="Y25" i="85"/>
  <c r="Y26" i="85"/>
  <c r="Y27" i="85"/>
  <c r="J31" i="85"/>
  <c r="J32" i="85" s="1"/>
  <c r="J97" i="88"/>
  <c r="I84" i="88"/>
  <c r="J84" i="88" s="1"/>
  <c r="J102" i="88"/>
  <c r="Y24" i="88"/>
  <c r="Y26" i="88"/>
  <c r="E27" i="88"/>
  <c r="I27" i="88" s="1"/>
  <c r="J27" i="88" s="1"/>
  <c r="D90" i="88"/>
  <c r="J104" i="88"/>
  <c r="E14" i="88"/>
  <c r="I14" i="88" s="1"/>
  <c r="J14" i="88" s="1"/>
  <c r="Y27" i="88"/>
  <c r="J46" i="88"/>
  <c r="Y25" i="88"/>
  <c r="E17" i="88"/>
  <c r="I17" i="88" s="1"/>
  <c r="J17" i="88" s="1"/>
  <c r="X83" i="88"/>
  <c r="Y83" i="88" s="1"/>
  <c r="D92" i="88"/>
  <c r="Y18" i="88"/>
  <c r="Y38" i="88"/>
  <c r="Y15" i="88"/>
  <c r="J23" i="88"/>
  <c r="Y17" i="88"/>
  <c r="E18" i="88"/>
  <c r="I18" i="88" s="1"/>
  <c r="J18" i="88" s="1"/>
  <c r="Y19" i="88"/>
  <c r="Y26" i="89"/>
  <c r="J98" i="89"/>
  <c r="D90" i="89"/>
  <c r="J23" i="89"/>
  <c r="J46" i="89"/>
  <c r="Y15" i="89"/>
  <c r="J43" i="89"/>
  <c r="J102" i="89"/>
  <c r="Y17" i="89"/>
  <c r="Y18" i="89"/>
  <c r="Y38" i="89"/>
  <c r="Y19" i="89"/>
  <c r="Y27" i="89"/>
  <c r="D92" i="89"/>
  <c r="Y97" i="89"/>
  <c r="Y25" i="89"/>
  <c r="Y20" i="89"/>
  <c r="Y50" i="89"/>
  <c r="J102" i="103"/>
  <c r="Y38" i="103"/>
  <c r="J103" i="103"/>
  <c r="E24" i="103"/>
  <c r="I24" i="103" s="1"/>
  <c r="J24" i="103" s="1"/>
  <c r="D92" i="103"/>
  <c r="J104" i="103"/>
  <c r="X97" i="103"/>
  <c r="Y97" i="103" s="1"/>
  <c r="Y26" i="103"/>
  <c r="Y23" i="103"/>
  <c r="X96" i="103"/>
  <c r="Y96" i="103" s="1"/>
  <c r="Y25" i="103"/>
  <c r="Y27" i="103"/>
  <c r="Y24" i="103"/>
  <c r="Y15" i="103"/>
  <c r="J23" i="103"/>
  <c r="J46" i="103"/>
  <c r="J97" i="104"/>
  <c r="X83" i="104"/>
  <c r="Y83" i="104" s="1"/>
  <c r="V103" i="104"/>
  <c r="Y103" i="104" s="1"/>
  <c r="D90" i="104"/>
  <c r="Y15" i="104"/>
  <c r="J23" i="104"/>
  <c r="Y96" i="104"/>
  <c r="Y27" i="104"/>
  <c r="I84" i="104"/>
  <c r="J84" i="104" s="1"/>
  <c r="Y24" i="104"/>
  <c r="Y97" i="104"/>
  <c r="Y25" i="104"/>
  <c r="Y26" i="104"/>
  <c r="J102" i="104"/>
  <c r="Y13" i="104"/>
  <c r="J46" i="104"/>
  <c r="Y17" i="104"/>
  <c r="Y15" i="105"/>
  <c r="J98" i="105"/>
  <c r="D90" i="105"/>
  <c r="Y18" i="105"/>
  <c r="Y103" i="105"/>
  <c r="J23" i="105"/>
  <c r="J97" i="105"/>
  <c r="Y97" i="105"/>
  <c r="Y21" i="105"/>
  <c r="Y23" i="105"/>
  <c r="D92" i="105"/>
  <c r="Y27" i="105"/>
  <c r="E18" i="105"/>
  <c r="I18" i="105" s="1"/>
  <c r="J18" i="105" s="1"/>
  <c r="J102" i="105"/>
  <c r="E19" i="105"/>
  <c r="I19" i="105" s="1"/>
  <c r="J19" i="105" s="1"/>
  <c r="Y19" i="105"/>
  <c r="Y20" i="105"/>
  <c r="Y22" i="105"/>
  <c r="Y24" i="105"/>
  <c r="Y25" i="105"/>
  <c r="J27" i="105"/>
  <c r="Y17" i="105"/>
  <c r="Y26" i="105"/>
  <c r="Y104" i="102"/>
  <c r="J97" i="102"/>
  <c r="J102" i="102"/>
  <c r="V103" i="102"/>
  <c r="Y103" i="102" s="1"/>
  <c r="X97" i="102"/>
  <c r="Y97" i="102" s="1"/>
  <c r="Y23" i="102"/>
  <c r="J104" i="102"/>
  <c r="J23" i="102"/>
  <c r="Y38" i="102"/>
  <c r="J31" i="102"/>
  <c r="D92" i="102"/>
  <c r="X83" i="101"/>
  <c r="Y83" i="101" s="1"/>
  <c r="J98" i="101"/>
  <c r="E27" i="101"/>
  <c r="I84" i="101"/>
  <c r="J84" i="101" s="1"/>
  <c r="Y97" i="101"/>
  <c r="J46" i="101"/>
  <c r="J23" i="101"/>
  <c r="D90" i="101"/>
  <c r="J104" i="101"/>
  <c r="E19" i="100"/>
  <c r="I19" i="100" s="1"/>
  <c r="J19" i="100" s="1"/>
  <c r="Y23" i="100"/>
  <c r="Y97" i="100"/>
  <c r="E17" i="100"/>
  <c r="I17" i="100" s="1"/>
  <c r="J17" i="100" s="1"/>
  <c r="E21" i="100"/>
  <c r="I21" i="100" s="1"/>
  <c r="J21" i="100" s="1"/>
  <c r="E23" i="100"/>
  <c r="I23" i="100" s="1"/>
  <c r="J23" i="100" s="1"/>
  <c r="E24" i="100"/>
  <c r="I24" i="100" s="1"/>
  <c r="J24" i="100" s="1"/>
  <c r="X83" i="100"/>
  <c r="Y83" i="100" s="1"/>
  <c r="V103" i="100"/>
  <c r="Y103" i="100" s="1"/>
  <c r="E20" i="100"/>
  <c r="I20" i="100" s="1"/>
  <c r="J20" i="100" s="1"/>
  <c r="Y50" i="100"/>
  <c r="Y24" i="100"/>
  <c r="J102" i="100"/>
  <c r="X83" i="99"/>
  <c r="Y83" i="99" s="1"/>
  <c r="Y97" i="99"/>
  <c r="Y50" i="99"/>
  <c r="J27" i="99"/>
  <c r="Y27" i="99"/>
  <c r="J46" i="99"/>
  <c r="Y13" i="99"/>
  <c r="D90" i="99"/>
  <c r="J23" i="99"/>
  <c r="J97" i="99"/>
  <c r="J102" i="99"/>
  <c r="Y15" i="99"/>
  <c r="Y25" i="99"/>
  <c r="Y26" i="99"/>
  <c r="Y17" i="99"/>
  <c r="Y38" i="99"/>
  <c r="D92" i="99"/>
  <c r="Y18" i="99"/>
  <c r="Y25" i="98"/>
  <c r="Y102" i="98"/>
  <c r="Y104" i="98"/>
  <c r="J46" i="98"/>
  <c r="E15" i="98"/>
  <c r="I15" i="98" s="1"/>
  <c r="J15" i="98" s="1"/>
  <c r="J102" i="98"/>
  <c r="Y26" i="98"/>
  <c r="J27" i="98"/>
  <c r="I84" i="98"/>
  <c r="J84" i="98" s="1"/>
  <c r="Y13" i="98"/>
  <c r="Y27" i="98"/>
  <c r="J23" i="98"/>
  <c r="Y15" i="98"/>
  <c r="J46" i="97"/>
  <c r="E14" i="97"/>
  <c r="I14" i="97" s="1"/>
  <c r="J14" i="97" s="1"/>
  <c r="E21" i="97"/>
  <c r="I21" i="97" s="1"/>
  <c r="J21" i="97" s="1"/>
  <c r="J97" i="97"/>
  <c r="E24" i="97"/>
  <c r="I24" i="97" s="1"/>
  <c r="J24" i="97" s="1"/>
  <c r="Y25" i="97"/>
  <c r="I84" i="97"/>
  <c r="J84" i="97" s="1"/>
  <c r="X97" i="97"/>
  <c r="Y97" i="97" s="1"/>
  <c r="Y104" i="97"/>
  <c r="Y26" i="97"/>
  <c r="E27" i="97"/>
  <c r="I27" i="97" s="1"/>
  <c r="J27" i="97" s="1"/>
  <c r="Y27" i="97"/>
  <c r="I84" i="96"/>
  <c r="J84" i="96" s="1"/>
  <c r="J98" i="96"/>
  <c r="E27" i="96"/>
  <c r="I27" i="96" s="1"/>
  <c r="J27" i="96" s="1"/>
  <c r="D90" i="96"/>
  <c r="J97" i="96"/>
  <c r="Y27" i="96"/>
  <c r="J46" i="96"/>
  <c r="J102" i="96"/>
  <c r="D92" i="96"/>
  <c r="J38" i="96"/>
  <c r="X83" i="95"/>
  <c r="Y83" i="95" s="1"/>
  <c r="Y27" i="95"/>
  <c r="J46" i="95"/>
  <c r="J23" i="95"/>
  <c r="Y15" i="95"/>
  <c r="Y17" i="95"/>
  <c r="E18" i="95"/>
  <c r="I18" i="95" s="1"/>
  <c r="J18" i="95" s="1"/>
  <c r="Y25" i="95"/>
  <c r="D90" i="95"/>
  <c r="E17" i="95"/>
  <c r="I17" i="95" s="1"/>
  <c r="J17" i="95" s="1"/>
  <c r="D92" i="95"/>
  <c r="Y18" i="95"/>
  <c r="Y26" i="95"/>
  <c r="Y19" i="95"/>
  <c r="J102" i="95"/>
  <c r="Y24" i="95"/>
  <c r="Y50" i="95"/>
  <c r="I84" i="94"/>
  <c r="J84" i="94" s="1"/>
  <c r="Y25" i="94"/>
  <c r="E14" i="94"/>
  <c r="I14" i="94" s="1"/>
  <c r="J14" i="94" s="1"/>
  <c r="J102" i="94"/>
  <c r="J97" i="94"/>
  <c r="Y24" i="94"/>
  <c r="X83" i="94"/>
  <c r="Y83" i="94" s="1"/>
  <c r="Y97" i="94"/>
  <c r="Y26" i="94"/>
  <c r="J98" i="94"/>
  <c r="Y27" i="94"/>
  <c r="J46" i="94"/>
  <c r="J23" i="94"/>
  <c r="Y96" i="94"/>
  <c r="Y15" i="94"/>
  <c r="D90" i="94"/>
  <c r="Y104" i="93"/>
  <c r="V103" i="93"/>
  <c r="Y103" i="93" s="1"/>
  <c r="Y27" i="93"/>
  <c r="J46" i="93"/>
  <c r="D90" i="93"/>
  <c r="Y13" i="93"/>
  <c r="J23" i="93"/>
  <c r="Y25" i="93"/>
  <c r="J102" i="93"/>
  <c r="D92" i="93"/>
  <c r="Y26" i="93"/>
  <c r="J104" i="93"/>
  <c r="Y15" i="93"/>
  <c r="Y17" i="93"/>
  <c r="Y18" i="93"/>
  <c r="Y19" i="93"/>
  <c r="Y22" i="93"/>
  <c r="Y50" i="93"/>
  <c r="Y20" i="93"/>
  <c r="Y21" i="93"/>
  <c r="Y23" i="93"/>
  <c r="I84" i="93"/>
  <c r="J84" i="93" s="1"/>
  <c r="Y15" i="92"/>
  <c r="Y96" i="92"/>
  <c r="Y17" i="92"/>
  <c r="Y50" i="92"/>
  <c r="J97" i="92"/>
  <c r="D92" i="92"/>
  <c r="Y18" i="92"/>
  <c r="Y19" i="92"/>
  <c r="I84" i="92"/>
  <c r="J84" i="92" s="1"/>
  <c r="Y20" i="92"/>
  <c r="Y21" i="92"/>
  <c r="Y22" i="92"/>
  <c r="J102" i="92"/>
  <c r="Y23" i="92"/>
  <c r="D90" i="92"/>
  <c r="Y26" i="92"/>
  <c r="J104" i="92"/>
  <c r="J23" i="92"/>
  <c r="Y24" i="92"/>
  <c r="Y25" i="92"/>
  <c r="Y27" i="92"/>
  <c r="J46" i="92"/>
  <c r="J98" i="91"/>
  <c r="Y25" i="91"/>
  <c r="J47" i="91"/>
  <c r="J102" i="91"/>
  <c r="J26" i="91"/>
  <c r="J49" i="91"/>
  <c r="D90" i="91"/>
  <c r="Y27" i="91"/>
  <c r="E14" i="90"/>
  <c r="I14" i="90" s="1"/>
  <c r="J14" i="90" s="1"/>
  <c r="Y17" i="90"/>
  <c r="Y18" i="90"/>
  <c r="Y19" i="90"/>
  <c r="Y22" i="90"/>
  <c r="E24" i="90"/>
  <c r="I24" i="90" s="1"/>
  <c r="J24" i="90" s="1"/>
  <c r="J97" i="90"/>
  <c r="J23" i="90"/>
  <c r="Y104" i="90"/>
  <c r="D92" i="90"/>
  <c r="Y21" i="90"/>
  <c r="Y23" i="90"/>
  <c r="Y24" i="90"/>
  <c r="Y27" i="90"/>
  <c r="J102" i="90"/>
  <c r="Y13" i="90"/>
  <c r="D90" i="90"/>
  <c r="Y15" i="90"/>
  <c r="Y20" i="90"/>
  <c r="Y25" i="90"/>
  <c r="Y104" i="87"/>
  <c r="J47" i="87"/>
  <c r="Y27" i="87"/>
  <c r="J98" i="87"/>
  <c r="J23" i="87"/>
  <c r="V103" i="87"/>
  <c r="Y103" i="87" s="1"/>
  <c r="J102" i="87"/>
  <c r="Y13" i="87"/>
  <c r="E14" i="87"/>
  <c r="I14" i="87" s="1"/>
  <c r="J14" i="87" s="1"/>
  <c r="J38" i="87"/>
  <c r="D92" i="87"/>
  <c r="Y22" i="87"/>
  <c r="Y23" i="87"/>
  <c r="J104" i="86"/>
  <c r="E23" i="86"/>
  <c r="I23" i="86" s="1"/>
  <c r="J23" i="86" s="1"/>
  <c r="X83" i="86"/>
  <c r="Y83" i="86" s="1"/>
  <c r="X97" i="86"/>
  <c r="Y97" i="86" s="1"/>
  <c r="J48" i="86"/>
  <c r="Y26" i="86"/>
  <c r="Y27" i="86"/>
  <c r="J25" i="86"/>
  <c r="D90" i="86"/>
  <c r="J98" i="85"/>
  <c r="X83" i="85"/>
  <c r="Y83" i="85" s="1"/>
  <c r="Y103" i="85"/>
  <c r="J46" i="85"/>
  <c r="D90" i="85"/>
  <c r="J103" i="85"/>
  <c r="Y38" i="85"/>
  <c r="Y15" i="85"/>
  <c r="Y19" i="85"/>
  <c r="Y21" i="85"/>
  <c r="J97" i="85"/>
  <c r="D92" i="85"/>
  <c r="Y18" i="85"/>
  <c r="J102" i="85"/>
  <c r="J23" i="85"/>
  <c r="Y23" i="85"/>
  <c r="Y17" i="85"/>
  <c r="Y20" i="85"/>
  <c r="Y22" i="85"/>
  <c r="Y24" i="85"/>
  <c r="I84" i="85"/>
  <c r="J84" i="85" s="1"/>
  <c r="Y104" i="84"/>
  <c r="J24" i="84"/>
  <c r="Y24" i="84"/>
  <c r="Y25" i="84"/>
  <c r="X97" i="84"/>
  <c r="Y97" i="84" s="1"/>
  <c r="Y26" i="84"/>
  <c r="Y27" i="84"/>
  <c r="Y15" i="84"/>
  <c r="J102" i="84"/>
  <c r="V103" i="84"/>
  <c r="Y103" i="84" s="1"/>
  <c r="D90" i="84"/>
  <c r="Y23" i="84"/>
  <c r="Y17" i="84"/>
  <c r="E18" i="84"/>
  <c r="I18" i="84" s="1"/>
  <c r="J18" i="84" s="1"/>
  <c r="Y18" i="84"/>
  <c r="J38" i="84"/>
  <c r="J27" i="84"/>
  <c r="E17" i="84"/>
  <c r="I17" i="84" s="1"/>
  <c r="J17" i="84" s="1"/>
  <c r="Y19" i="84"/>
  <c r="Y38" i="84"/>
  <c r="J104" i="84"/>
  <c r="Y26" i="83"/>
  <c r="J47" i="83"/>
  <c r="Y27" i="83"/>
  <c r="E17" i="83"/>
  <c r="I17" i="83" s="1"/>
  <c r="J17" i="83" s="1"/>
  <c r="J102" i="83"/>
  <c r="Y25" i="83"/>
  <c r="J97" i="83"/>
  <c r="J23" i="83"/>
  <c r="X83" i="83"/>
  <c r="Y83" i="83" s="1"/>
  <c r="Y15" i="83"/>
  <c r="Y97" i="83"/>
  <c r="Y17" i="83"/>
  <c r="Y18" i="83"/>
  <c r="Y19" i="83"/>
  <c r="Y38" i="83"/>
  <c r="D90" i="83"/>
  <c r="D90" i="81"/>
  <c r="J103" i="81"/>
  <c r="Y27" i="81"/>
  <c r="J46" i="81"/>
  <c r="J23" i="81"/>
  <c r="X83" i="81"/>
  <c r="Y15" i="81"/>
  <c r="D92" i="81"/>
  <c r="Y25" i="81"/>
  <c r="I84" i="81"/>
  <c r="J84" i="81" s="1"/>
  <c r="J102" i="81"/>
  <c r="Y24" i="81"/>
  <c r="Y26" i="81"/>
  <c r="Y17" i="81"/>
  <c r="Y18" i="81"/>
  <c r="Y19" i="81"/>
  <c r="E20" i="81"/>
  <c r="I20" i="81" s="1"/>
  <c r="J20" i="81" s="1"/>
  <c r="J97" i="81"/>
  <c r="E17" i="80"/>
  <c r="I17" i="80" s="1"/>
  <c r="J17" i="80" s="1"/>
  <c r="E18" i="80"/>
  <c r="I18" i="80" s="1"/>
  <c r="J18" i="80" s="1"/>
  <c r="Y18" i="80"/>
  <c r="Y38" i="80"/>
  <c r="Y50" i="80"/>
  <c r="X83" i="80"/>
  <c r="J31" i="80"/>
  <c r="J32" i="80" s="1"/>
  <c r="E24" i="80"/>
  <c r="I24" i="80" s="1"/>
  <c r="J24" i="80" s="1"/>
  <c r="J102" i="80"/>
  <c r="E20" i="80"/>
  <c r="I20" i="80" s="1"/>
  <c r="J20" i="80" s="1"/>
  <c r="E21" i="80"/>
  <c r="I21" i="80" s="1"/>
  <c r="J21" i="80" s="1"/>
  <c r="Y24" i="80"/>
  <c r="Y25" i="80"/>
  <c r="D90" i="79"/>
  <c r="Y17" i="79"/>
  <c r="Y18" i="79"/>
  <c r="Y103" i="79"/>
  <c r="Y27" i="79"/>
  <c r="X97" i="79"/>
  <c r="Y97" i="79" s="1"/>
  <c r="J23" i="79"/>
  <c r="D92" i="79"/>
  <c r="Y19" i="79"/>
  <c r="E20" i="79"/>
  <c r="I20" i="79" s="1"/>
  <c r="J20" i="79" s="1"/>
  <c r="Y20" i="79"/>
  <c r="J102" i="79"/>
  <c r="Y15" i="79"/>
  <c r="E14" i="79"/>
  <c r="I14" i="79" s="1"/>
  <c r="J14" i="79" s="1"/>
  <c r="Y21" i="79"/>
  <c r="Y22" i="79"/>
  <c r="Y23" i="79"/>
  <c r="Y24" i="79"/>
  <c r="Y25" i="79"/>
  <c r="J97" i="79"/>
  <c r="J97" i="78"/>
  <c r="I84" i="78"/>
  <c r="J84" i="78" s="1"/>
  <c r="Y22" i="78"/>
  <c r="J98" i="78"/>
  <c r="Y23" i="78"/>
  <c r="Y104" i="78"/>
  <c r="E27" i="78"/>
  <c r="I27" i="78" s="1"/>
  <c r="J27" i="78" s="1"/>
  <c r="Y27" i="78"/>
  <c r="J46" i="78"/>
  <c r="D90" i="78"/>
  <c r="Y13" i="78"/>
  <c r="J104" i="78"/>
  <c r="Y25" i="78"/>
  <c r="J23" i="78"/>
  <c r="Y26" i="78"/>
  <c r="Y15" i="78"/>
  <c r="J103" i="77"/>
  <c r="J46" i="77"/>
  <c r="I84" i="77"/>
  <c r="J84" i="77" s="1"/>
  <c r="Y38" i="77"/>
  <c r="J38" i="77"/>
  <c r="D92" i="77"/>
  <c r="Y50" i="77"/>
  <c r="J102" i="77"/>
  <c r="J97" i="77"/>
  <c r="J23" i="76"/>
  <c r="Y50" i="76"/>
  <c r="D92" i="76"/>
  <c r="J102" i="76"/>
  <c r="E17" i="76"/>
  <c r="I84" i="76"/>
  <c r="J84" i="76" s="1"/>
  <c r="J103" i="76"/>
  <c r="T23" i="76"/>
  <c r="X23" i="76" s="1"/>
  <c r="Y23" i="76" s="1"/>
  <c r="D90" i="76"/>
  <c r="Y97" i="75"/>
  <c r="Y103" i="75"/>
  <c r="Y24" i="75"/>
  <c r="Y25" i="75"/>
  <c r="Y26" i="75"/>
  <c r="D90" i="75"/>
  <c r="Y27" i="75"/>
  <c r="J104" i="75"/>
  <c r="J23" i="75"/>
  <c r="J46" i="75"/>
  <c r="E27" i="74"/>
  <c r="I27" i="74" s="1"/>
  <c r="J27" i="74" s="1"/>
  <c r="E14" i="74"/>
  <c r="I14" i="74" s="1"/>
  <c r="J14" i="74" s="1"/>
  <c r="X83" i="74"/>
  <c r="V83" i="74"/>
  <c r="J23" i="74"/>
  <c r="Y15" i="74"/>
  <c r="E17" i="74"/>
  <c r="I17" i="74" s="1"/>
  <c r="J17" i="74" s="1"/>
  <c r="I84" i="74"/>
  <c r="J84" i="74" s="1"/>
  <c r="D92" i="74"/>
  <c r="Y26" i="74"/>
  <c r="Y17" i="74"/>
  <c r="Y18" i="74"/>
  <c r="Y19" i="74"/>
  <c r="Y38" i="74"/>
  <c r="J102" i="74"/>
  <c r="Y50" i="74"/>
  <c r="Y27" i="74"/>
  <c r="J46" i="74"/>
  <c r="Y20" i="74"/>
  <c r="Y25" i="74"/>
  <c r="Y21" i="74"/>
  <c r="J97" i="74"/>
  <c r="Y22" i="74"/>
  <c r="Y50" i="73"/>
  <c r="I84" i="73"/>
  <c r="J84" i="73" s="1"/>
  <c r="Y26" i="73"/>
  <c r="J97" i="73"/>
  <c r="Y27" i="73"/>
  <c r="J46" i="73"/>
  <c r="Y24" i="73"/>
  <c r="J23" i="73"/>
  <c r="Y25" i="73"/>
  <c r="Y12" i="73"/>
  <c r="Y17" i="72"/>
  <c r="Y18" i="72"/>
  <c r="X83" i="72"/>
  <c r="Y83" i="72" s="1"/>
  <c r="Y25" i="72"/>
  <c r="D90" i="72"/>
  <c r="Y27" i="72"/>
  <c r="J46" i="72"/>
  <c r="Y15" i="72"/>
  <c r="J23" i="72"/>
  <c r="E17" i="72"/>
  <c r="I17" i="72" s="1"/>
  <c r="J17" i="72" s="1"/>
  <c r="Y19" i="72"/>
  <c r="J102" i="72"/>
  <c r="Y24" i="72"/>
  <c r="Y26" i="72"/>
  <c r="D92" i="72"/>
  <c r="E18" i="72"/>
  <c r="I18" i="72" s="1"/>
  <c r="J18" i="72" s="1"/>
  <c r="E20" i="72"/>
  <c r="I20" i="72" s="1"/>
  <c r="J20" i="72" s="1"/>
  <c r="Y20" i="72"/>
  <c r="Y50" i="72"/>
  <c r="Y18" i="71"/>
  <c r="Y20" i="71"/>
  <c r="J97" i="71"/>
  <c r="J98" i="71"/>
  <c r="J102" i="71"/>
  <c r="Y27" i="71"/>
  <c r="J31" i="71"/>
  <c r="Y31" i="71" s="1"/>
  <c r="Y32" i="71" s="1"/>
  <c r="D90" i="71"/>
  <c r="Y23" i="70"/>
  <c r="Y25" i="70"/>
  <c r="Y17" i="70"/>
  <c r="E18" i="70"/>
  <c r="I18" i="70" s="1"/>
  <c r="J18" i="70" s="1"/>
  <c r="D92" i="70"/>
  <c r="X83" i="70"/>
  <c r="Y83" i="70" s="1"/>
  <c r="V103" i="70"/>
  <c r="Y103" i="70" s="1"/>
  <c r="Y26" i="70"/>
  <c r="J103" i="70"/>
  <c r="Y27" i="70"/>
  <c r="J46" i="70"/>
  <c r="Y15" i="70"/>
  <c r="J23" i="70"/>
  <c r="Y18" i="70"/>
  <c r="J38" i="70"/>
  <c r="J102" i="70"/>
  <c r="Y24" i="70"/>
  <c r="D90" i="70"/>
  <c r="E17" i="70"/>
  <c r="I17" i="70" s="1"/>
  <c r="J17" i="70" s="1"/>
  <c r="E19" i="70"/>
  <c r="I19" i="70" s="1"/>
  <c r="J19" i="70" s="1"/>
  <c r="Y38" i="70"/>
  <c r="D90" i="69"/>
  <c r="J38" i="69"/>
  <c r="Y104" i="69"/>
  <c r="D92" i="69"/>
  <c r="E18" i="69"/>
  <c r="T18" i="69" s="1"/>
  <c r="X18" i="69" s="1"/>
  <c r="Y18" i="69" s="1"/>
  <c r="J98" i="69"/>
  <c r="J102" i="69"/>
  <c r="Y27" i="69"/>
  <c r="Y23" i="69"/>
  <c r="I84" i="69"/>
  <c r="J84" i="69" s="1"/>
  <c r="J21" i="69"/>
  <c r="D92" i="68"/>
  <c r="J97" i="68"/>
  <c r="Y50" i="68"/>
  <c r="E14" i="68"/>
  <c r="I14" i="68" s="1"/>
  <c r="J14" i="68" s="1"/>
  <c r="Y104" i="67"/>
  <c r="V103" i="67"/>
  <c r="Y103" i="67" s="1"/>
  <c r="J102" i="67"/>
  <c r="I84" i="67"/>
  <c r="J84" i="67" s="1"/>
  <c r="J23" i="66"/>
  <c r="D90" i="66"/>
  <c r="Y38" i="66"/>
  <c r="J102" i="66"/>
  <c r="E17" i="66"/>
  <c r="J104" i="66"/>
  <c r="I84" i="66"/>
  <c r="J84" i="66" s="1"/>
  <c r="J97" i="66"/>
  <c r="E20" i="66"/>
  <c r="T23" i="66"/>
  <c r="X23" i="66" s="1"/>
  <c r="Y23" i="66" s="1"/>
  <c r="E24" i="66"/>
  <c r="J31" i="66"/>
  <c r="Y31" i="66" s="1"/>
  <c r="Y32" i="66" s="1"/>
  <c r="T96" i="66"/>
  <c r="Y96" i="66" s="1"/>
  <c r="J102" i="65"/>
  <c r="D90" i="65"/>
  <c r="J23" i="65"/>
  <c r="E14" i="65"/>
  <c r="I14" i="65" s="1"/>
  <c r="J14" i="65" s="1"/>
  <c r="D92" i="65"/>
  <c r="X83" i="65"/>
  <c r="Y83" i="65" s="1"/>
  <c r="Y26" i="65"/>
  <c r="Y27" i="65"/>
  <c r="J46" i="65"/>
  <c r="J104" i="65"/>
  <c r="Y15" i="65"/>
  <c r="Y17" i="65"/>
  <c r="Y18" i="65"/>
  <c r="Y19" i="65"/>
  <c r="E14" i="64"/>
  <c r="I14" i="64" s="1"/>
  <c r="J14" i="64" s="1"/>
  <c r="J38" i="64"/>
  <c r="Y38" i="64"/>
  <c r="J97" i="63"/>
  <c r="E20" i="63"/>
  <c r="I20" i="63" s="1"/>
  <c r="J20" i="63" s="1"/>
  <c r="I23" i="63"/>
  <c r="J23" i="63" s="1"/>
  <c r="I84" i="63"/>
  <c r="J84" i="63" s="1"/>
  <c r="Y23" i="63"/>
  <c r="J103" i="63"/>
  <c r="Y104" i="62"/>
  <c r="E17" i="62"/>
  <c r="T17" i="62" s="1"/>
  <c r="X17" i="62" s="1"/>
  <c r="Y17" i="62" s="1"/>
  <c r="J97" i="62"/>
  <c r="D92" i="62"/>
  <c r="E27" i="62"/>
  <c r="T27" i="62" s="1"/>
  <c r="X27" i="62" s="1"/>
  <c r="Y27" i="62" s="1"/>
  <c r="I84" i="62"/>
  <c r="J84" i="62" s="1"/>
  <c r="Y23" i="62"/>
  <c r="V103" i="62"/>
  <c r="Y103" i="62" s="1"/>
  <c r="D90" i="62"/>
  <c r="J23" i="61"/>
  <c r="I84" i="61"/>
  <c r="J84" i="61" s="1"/>
  <c r="T24" i="61"/>
  <c r="X24" i="61" s="1"/>
  <c r="Y24" i="61" s="1"/>
  <c r="D90" i="61"/>
  <c r="E18" i="61"/>
  <c r="E20" i="61"/>
  <c r="D92" i="61"/>
  <c r="J102" i="61"/>
  <c r="J97" i="61"/>
  <c r="I84" i="60"/>
  <c r="J84" i="60" s="1"/>
  <c r="J102" i="60"/>
  <c r="Y25" i="60"/>
  <c r="E27" i="60"/>
  <c r="I27" i="60" s="1"/>
  <c r="J27" i="60" s="1"/>
  <c r="D90" i="60"/>
  <c r="Y27" i="60"/>
  <c r="J46" i="60"/>
  <c r="J104" i="60"/>
  <c r="J98" i="60"/>
  <c r="X83" i="60"/>
  <c r="Y83" i="60" s="1"/>
  <c r="Y26" i="60"/>
  <c r="J23" i="60"/>
  <c r="Y104" i="59"/>
  <c r="D92" i="59"/>
  <c r="J102" i="59"/>
  <c r="J104" i="59"/>
  <c r="J97" i="59"/>
  <c r="V103" i="59"/>
  <c r="Y103" i="59" s="1"/>
  <c r="X97" i="59"/>
  <c r="Y97" i="59" s="1"/>
  <c r="Y23" i="59"/>
  <c r="Y104" i="58"/>
  <c r="J46" i="58"/>
  <c r="D92" i="58"/>
  <c r="I84" i="58"/>
  <c r="J84" i="58" s="1"/>
  <c r="J102" i="58"/>
  <c r="J97" i="58"/>
  <c r="Y50" i="58"/>
  <c r="T96" i="58"/>
  <c r="Y96" i="58" s="1"/>
  <c r="I137" i="56"/>
  <c r="J38" i="82"/>
  <c r="J38" i="80"/>
  <c r="C57" i="56"/>
  <c r="D57" i="56"/>
  <c r="C68" i="56"/>
  <c r="D68" i="56"/>
  <c r="Q127" i="57"/>
  <c r="E20" i="105"/>
  <c r="I20" i="105" s="1"/>
  <c r="J20" i="105" s="1"/>
  <c r="E21" i="105"/>
  <c r="I21" i="105" s="1"/>
  <c r="J21" i="105" s="1"/>
  <c r="E22" i="105"/>
  <c r="I22" i="105" s="1"/>
  <c r="J22" i="105" s="1"/>
  <c r="E12" i="105"/>
  <c r="I12" i="105" s="1"/>
  <c r="J12" i="105" s="1"/>
  <c r="E14" i="105"/>
  <c r="I14" i="105" s="1"/>
  <c r="J14" i="105" s="1"/>
  <c r="E24" i="105"/>
  <c r="I24" i="105" s="1"/>
  <c r="J24" i="105" s="1"/>
  <c r="E15" i="105"/>
  <c r="I15" i="105" s="1"/>
  <c r="J15" i="105" s="1"/>
  <c r="E25" i="105"/>
  <c r="I25" i="105" s="1"/>
  <c r="J25" i="105" s="1"/>
  <c r="E17" i="105"/>
  <c r="I17" i="105" s="1"/>
  <c r="J17" i="105" s="1"/>
  <c r="Y50" i="105"/>
  <c r="S92" i="105"/>
  <c r="X92" i="105" s="1"/>
  <c r="Y16" i="105"/>
  <c r="Y83" i="105"/>
  <c r="T28" i="105"/>
  <c r="X13" i="105"/>
  <c r="Y13" i="105" s="1"/>
  <c r="J103" i="105"/>
  <c r="I84" i="105"/>
  <c r="J84" i="105" s="1"/>
  <c r="Y12" i="105"/>
  <c r="S91" i="105"/>
  <c r="X91" i="105" s="1"/>
  <c r="Y14" i="105"/>
  <c r="E46" i="105"/>
  <c r="J46" i="105" s="1"/>
  <c r="E42" i="105"/>
  <c r="J42" i="105" s="1"/>
  <c r="E49" i="105"/>
  <c r="J49" i="105" s="1"/>
  <c r="E45" i="105"/>
  <c r="J45" i="105" s="1"/>
  <c r="E41" i="105"/>
  <c r="E48" i="105"/>
  <c r="J48" i="105" s="1"/>
  <c r="E44" i="105"/>
  <c r="J44" i="105" s="1"/>
  <c r="E43" i="105"/>
  <c r="J43" i="105" s="1"/>
  <c r="V86" i="105"/>
  <c r="D91" i="105"/>
  <c r="E16" i="105"/>
  <c r="I16" i="105" s="1"/>
  <c r="E26" i="105"/>
  <c r="I26" i="105" s="1"/>
  <c r="J26" i="105" s="1"/>
  <c r="E13" i="105"/>
  <c r="E17" i="104"/>
  <c r="I17" i="104" s="1"/>
  <c r="J17" i="104" s="1"/>
  <c r="Y104" i="104"/>
  <c r="S91" i="104"/>
  <c r="X91" i="104" s="1"/>
  <c r="Y14" i="104"/>
  <c r="Y12" i="104"/>
  <c r="X28" i="104"/>
  <c r="S90" i="104"/>
  <c r="J103" i="104"/>
  <c r="S92" i="104"/>
  <c r="X92" i="104" s="1"/>
  <c r="Y16" i="104"/>
  <c r="J98" i="104"/>
  <c r="E44" i="104"/>
  <c r="J44" i="104" s="1"/>
  <c r="E48" i="104"/>
  <c r="J48" i="104" s="1"/>
  <c r="V85" i="104"/>
  <c r="E15" i="104"/>
  <c r="I15" i="104" s="1"/>
  <c r="J15" i="104" s="1"/>
  <c r="E25" i="104"/>
  <c r="I25" i="104" s="1"/>
  <c r="J25" i="104" s="1"/>
  <c r="E12" i="104"/>
  <c r="E22" i="104"/>
  <c r="I22" i="104" s="1"/>
  <c r="J22" i="104" s="1"/>
  <c r="V71" i="104"/>
  <c r="V87" i="104"/>
  <c r="T28" i="104"/>
  <c r="E41" i="104"/>
  <c r="E45" i="104"/>
  <c r="J45" i="104" s="1"/>
  <c r="E49" i="104"/>
  <c r="J49" i="104" s="1"/>
  <c r="E43" i="104"/>
  <c r="J43" i="104" s="1"/>
  <c r="E47" i="104"/>
  <c r="J47" i="104" s="1"/>
  <c r="D91" i="104"/>
  <c r="E16" i="104"/>
  <c r="I16" i="104" s="1"/>
  <c r="E26" i="104"/>
  <c r="I26" i="104" s="1"/>
  <c r="J26" i="104" s="1"/>
  <c r="E13" i="104"/>
  <c r="I13" i="104" s="1"/>
  <c r="J13" i="104" s="1"/>
  <c r="E42" i="104"/>
  <c r="J42" i="104" s="1"/>
  <c r="T28" i="103"/>
  <c r="T64" i="103" s="1"/>
  <c r="X65" i="103" s="1"/>
  <c r="X70" i="103" s="1"/>
  <c r="Y70" i="103" s="1"/>
  <c r="E19" i="103"/>
  <c r="I19" i="103" s="1"/>
  <c r="J19" i="103" s="1"/>
  <c r="E20" i="103"/>
  <c r="I20" i="103" s="1"/>
  <c r="J20" i="103" s="1"/>
  <c r="Y50" i="103"/>
  <c r="Y16" i="103"/>
  <c r="S92" i="103"/>
  <c r="X92" i="103" s="1"/>
  <c r="Y83" i="103"/>
  <c r="Y12" i="103"/>
  <c r="S91" i="103"/>
  <c r="X91" i="103" s="1"/>
  <c r="Y14" i="103"/>
  <c r="E43" i="103"/>
  <c r="J43" i="103" s="1"/>
  <c r="E47" i="103"/>
  <c r="J47" i="103" s="1"/>
  <c r="E21" i="103"/>
  <c r="I21" i="103" s="1"/>
  <c r="J21" i="103" s="1"/>
  <c r="D90" i="103"/>
  <c r="E18" i="103"/>
  <c r="I18" i="103" s="1"/>
  <c r="J18" i="103" s="1"/>
  <c r="E44" i="103"/>
  <c r="J44" i="103" s="1"/>
  <c r="E48" i="103"/>
  <c r="J48" i="103" s="1"/>
  <c r="X13" i="103"/>
  <c r="Y13" i="103" s="1"/>
  <c r="Y104" i="103"/>
  <c r="E41" i="103"/>
  <c r="E45" i="103"/>
  <c r="J45" i="103" s="1"/>
  <c r="E49" i="103"/>
  <c r="J49" i="103" s="1"/>
  <c r="V86" i="103"/>
  <c r="D91" i="103"/>
  <c r="E16" i="103"/>
  <c r="I16" i="103" s="1"/>
  <c r="E26" i="103"/>
  <c r="I26" i="103" s="1"/>
  <c r="J26" i="103" s="1"/>
  <c r="E13" i="103"/>
  <c r="E42" i="103"/>
  <c r="J42" i="103" s="1"/>
  <c r="Y96" i="102"/>
  <c r="E46" i="102"/>
  <c r="J46" i="102" s="1"/>
  <c r="E42" i="102"/>
  <c r="J42" i="102" s="1"/>
  <c r="E48" i="102"/>
  <c r="J48" i="102" s="1"/>
  <c r="E44" i="102"/>
  <c r="J44" i="102" s="1"/>
  <c r="E49" i="102"/>
  <c r="J49" i="102" s="1"/>
  <c r="E45" i="102"/>
  <c r="J45" i="102" s="1"/>
  <c r="E41" i="102"/>
  <c r="E47" i="102"/>
  <c r="J47" i="102" s="1"/>
  <c r="E43" i="102"/>
  <c r="J43" i="102" s="1"/>
  <c r="J103" i="102"/>
  <c r="Y50" i="102"/>
  <c r="Y83" i="102"/>
  <c r="I84" i="102"/>
  <c r="J84" i="102" s="1"/>
  <c r="V87" i="102"/>
  <c r="T14" i="102"/>
  <c r="X14" i="102" s="1"/>
  <c r="T24" i="102"/>
  <c r="X24" i="102" s="1"/>
  <c r="Y24" i="102" s="1"/>
  <c r="E15" i="102"/>
  <c r="E25" i="102"/>
  <c r="T17" i="102"/>
  <c r="X17" i="102" s="1"/>
  <c r="Y17" i="102" s="1"/>
  <c r="T27" i="102"/>
  <c r="X27" i="102" s="1"/>
  <c r="Y27" i="102" s="1"/>
  <c r="D91" i="102"/>
  <c r="E12" i="102"/>
  <c r="E22" i="102"/>
  <c r="V71" i="102"/>
  <c r="E16" i="102"/>
  <c r="E26" i="102"/>
  <c r="E19" i="102"/>
  <c r="E13" i="102"/>
  <c r="Y38" i="101"/>
  <c r="Y96" i="101"/>
  <c r="E17" i="101"/>
  <c r="E18" i="101"/>
  <c r="Y103" i="101"/>
  <c r="J103" i="101"/>
  <c r="E19" i="101"/>
  <c r="E44" i="101"/>
  <c r="E48" i="101"/>
  <c r="J48" i="101" s="1"/>
  <c r="V85" i="101"/>
  <c r="E12" i="101"/>
  <c r="T12" i="101" s="1"/>
  <c r="X12" i="101" s="1"/>
  <c r="Y12" i="101" s="1"/>
  <c r="E22" i="101"/>
  <c r="D91" i="101"/>
  <c r="E16" i="101"/>
  <c r="E26" i="101"/>
  <c r="E43" i="101"/>
  <c r="E47" i="101"/>
  <c r="J47" i="101" s="1"/>
  <c r="E41" i="101"/>
  <c r="E45" i="101"/>
  <c r="J45" i="101" s="1"/>
  <c r="E49" i="101"/>
  <c r="J49" i="101" s="1"/>
  <c r="E15" i="101"/>
  <c r="E25" i="101"/>
  <c r="E13" i="101"/>
  <c r="E42" i="101"/>
  <c r="J42" i="101" s="1"/>
  <c r="Y96" i="100"/>
  <c r="T28" i="100"/>
  <c r="T61" i="100" s="1"/>
  <c r="X62" i="100" s="1"/>
  <c r="X67" i="100" s="1"/>
  <c r="Y67" i="100" s="1"/>
  <c r="E18" i="100"/>
  <c r="I18" i="100" s="1"/>
  <c r="J18" i="100" s="1"/>
  <c r="S91" i="100"/>
  <c r="X91" i="100" s="1"/>
  <c r="Y14" i="100"/>
  <c r="Y104" i="100"/>
  <c r="Y12" i="100"/>
  <c r="S92" i="100"/>
  <c r="X92" i="100" s="1"/>
  <c r="Y16" i="100"/>
  <c r="J103" i="100"/>
  <c r="E44" i="100"/>
  <c r="J44" i="100" s="1"/>
  <c r="E48" i="100"/>
  <c r="J48" i="100" s="1"/>
  <c r="J98" i="100"/>
  <c r="E15" i="100"/>
  <c r="I15" i="100" s="1"/>
  <c r="J15" i="100" s="1"/>
  <c r="E25" i="100"/>
  <c r="I25" i="100" s="1"/>
  <c r="J25" i="100" s="1"/>
  <c r="E12" i="100"/>
  <c r="E22" i="100"/>
  <c r="I22" i="100" s="1"/>
  <c r="J22" i="100" s="1"/>
  <c r="V71" i="100"/>
  <c r="E47" i="100"/>
  <c r="J47" i="100" s="1"/>
  <c r="E43" i="100"/>
  <c r="J43" i="100" s="1"/>
  <c r="X13" i="100"/>
  <c r="Y13" i="100" s="1"/>
  <c r="D91" i="100"/>
  <c r="E41" i="100"/>
  <c r="E45" i="100"/>
  <c r="J45" i="100" s="1"/>
  <c r="E49" i="100"/>
  <c r="J49" i="100" s="1"/>
  <c r="E16" i="100"/>
  <c r="I16" i="100" s="1"/>
  <c r="E42" i="100"/>
  <c r="J42" i="100" s="1"/>
  <c r="Y96" i="99"/>
  <c r="E24" i="99"/>
  <c r="I24" i="99" s="1"/>
  <c r="J24" i="99" s="1"/>
  <c r="E17" i="99"/>
  <c r="I17" i="99" s="1"/>
  <c r="J17" i="99" s="1"/>
  <c r="Y12" i="99"/>
  <c r="X28" i="99"/>
  <c r="S90" i="99"/>
  <c r="S91" i="99"/>
  <c r="X91" i="99" s="1"/>
  <c r="Y14" i="99"/>
  <c r="Y103" i="99"/>
  <c r="Y16" i="99"/>
  <c r="S92" i="99"/>
  <c r="X92" i="99" s="1"/>
  <c r="J103" i="99"/>
  <c r="V87" i="99"/>
  <c r="V85" i="99"/>
  <c r="E12" i="99"/>
  <c r="E22" i="99"/>
  <c r="I22" i="99" s="1"/>
  <c r="J22" i="99" s="1"/>
  <c r="V71" i="99"/>
  <c r="E15" i="99"/>
  <c r="I15" i="99" s="1"/>
  <c r="J15" i="99" s="1"/>
  <c r="E25" i="99"/>
  <c r="I25" i="99" s="1"/>
  <c r="J25" i="99" s="1"/>
  <c r="T28" i="99"/>
  <c r="E41" i="99"/>
  <c r="E45" i="99"/>
  <c r="J45" i="99" s="1"/>
  <c r="E49" i="99"/>
  <c r="J49" i="99" s="1"/>
  <c r="E19" i="99"/>
  <c r="I19" i="99" s="1"/>
  <c r="J19" i="99" s="1"/>
  <c r="D91" i="99"/>
  <c r="E16" i="99"/>
  <c r="I16" i="99" s="1"/>
  <c r="E26" i="99"/>
  <c r="I26" i="99" s="1"/>
  <c r="J26" i="99" s="1"/>
  <c r="J98" i="99"/>
  <c r="E44" i="99"/>
  <c r="J44" i="99" s="1"/>
  <c r="E48" i="99"/>
  <c r="J48" i="99" s="1"/>
  <c r="E43" i="99"/>
  <c r="J43" i="99" s="1"/>
  <c r="E47" i="99"/>
  <c r="J47" i="99" s="1"/>
  <c r="E13" i="99"/>
  <c r="I13" i="99" s="1"/>
  <c r="J13" i="99" s="1"/>
  <c r="E42" i="99"/>
  <c r="J42" i="99" s="1"/>
  <c r="Y96" i="98"/>
  <c r="E18" i="98"/>
  <c r="I18" i="98" s="1"/>
  <c r="J18" i="98" s="1"/>
  <c r="E20" i="98"/>
  <c r="I20" i="98" s="1"/>
  <c r="J20" i="98" s="1"/>
  <c r="E21" i="98"/>
  <c r="I21" i="98" s="1"/>
  <c r="J21" i="98" s="1"/>
  <c r="S91" i="98"/>
  <c r="X91" i="98" s="1"/>
  <c r="Y14" i="98"/>
  <c r="S92" i="98"/>
  <c r="X92" i="98" s="1"/>
  <c r="Y16" i="98"/>
  <c r="Y83" i="98"/>
  <c r="Y103" i="98"/>
  <c r="X28" i="98"/>
  <c r="Y12" i="98"/>
  <c r="S90" i="98"/>
  <c r="J103" i="98"/>
  <c r="Y50" i="98"/>
  <c r="V85" i="98"/>
  <c r="E12" i="98"/>
  <c r="E22" i="98"/>
  <c r="I22" i="98" s="1"/>
  <c r="J22" i="98" s="1"/>
  <c r="T28" i="98"/>
  <c r="T52" i="98" s="1"/>
  <c r="E41" i="98"/>
  <c r="E45" i="98"/>
  <c r="J45" i="98" s="1"/>
  <c r="E49" i="98"/>
  <c r="J49" i="98" s="1"/>
  <c r="D91" i="98"/>
  <c r="E16" i="98"/>
  <c r="I16" i="98" s="1"/>
  <c r="E26" i="98"/>
  <c r="I26" i="98" s="1"/>
  <c r="J26" i="98" s="1"/>
  <c r="V87" i="98"/>
  <c r="E44" i="98"/>
  <c r="J44" i="98" s="1"/>
  <c r="E48" i="98"/>
  <c r="J48" i="98" s="1"/>
  <c r="E43" i="98"/>
  <c r="J43" i="98" s="1"/>
  <c r="E47" i="98"/>
  <c r="J47" i="98" s="1"/>
  <c r="E19" i="98"/>
  <c r="I19" i="98" s="1"/>
  <c r="J19" i="98" s="1"/>
  <c r="E13" i="98"/>
  <c r="I13" i="98" s="1"/>
  <c r="J13" i="98" s="1"/>
  <c r="E42" i="98"/>
  <c r="J42" i="98" s="1"/>
  <c r="J38" i="97"/>
  <c r="Y96" i="97"/>
  <c r="E17" i="97"/>
  <c r="I17" i="97" s="1"/>
  <c r="J17" i="97" s="1"/>
  <c r="E18" i="97"/>
  <c r="I18" i="97" s="1"/>
  <c r="J18" i="97" s="1"/>
  <c r="E20" i="97"/>
  <c r="I20" i="97" s="1"/>
  <c r="J20" i="97" s="1"/>
  <c r="Y12" i="97"/>
  <c r="X28" i="97"/>
  <c r="V33" i="97" s="1"/>
  <c r="S90" i="97"/>
  <c r="Y83" i="97"/>
  <c r="S91" i="97"/>
  <c r="X91" i="97" s="1"/>
  <c r="Y14" i="97"/>
  <c r="Y16" i="97"/>
  <c r="S92" i="97"/>
  <c r="X92" i="97" s="1"/>
  <c r="Y103" i="97"/>
  <c r="Y50" i="97"/>
  <c r="V87" i="97"/>
  <c r="E15" i="97"/>
  <c r="I15" i="97" s="1"/>
  <c r="J15" i="97" s="1"/>
  <c r="E25" i="97"/>
  <c r="I25" i="97" s="1"/>
  <c r="J25" i="97" s="1"/>
  <c r="E12" i="97"/>
  <c r="E22" i="97"/>
  <c r="I22" i="97" s="1"/>
  <c r="J22" i="97" s="1"/>
  <c r="T28" i="97"/>
  <c r="E41" i="97"/>
  <c r="E45" i="97"/>
  <c r="J45" i="97" s="1"/>
  <c r="E49" i="97"/>
  <c r="J49" i="97" s="1"/>
  <c r="D91" i="97"/>
  <c r="E16" i="97"/>
  <c r="I16" i="97" s="1"/>
  <c r="E26" i="97"/>
  <c r="I26" i="97" s="1"/>
  <c r="J26" i="97" s="1"/>
  <c r="E43" i="97"/>
  <c r="J43" i="97" s="1"/>
  <c r="E47" i="97"/>
  <c r="J47" i="97" s="1"/>
  <c r="E44" i="97"/>
  <c r="J44" i="97" s="1"/>
  <c r="E48" i="97"/>
  <c r="J48" i="97" s="1"/>
  <c r="E19" i="97"/>
  <c r="I19" i="97" s="1"/>
  <c r="J19" i="97" s="1"/>
  <c r="E13" i="97"/>
  <c r="I13" i="97" s="1"/>
  <c r="J13" i="97" s="1"/>
  <c r="E42" i="97"/>
  <c r="J42" i="97" s="1"/>
  <c r="Y96" i="96"/>
  <c r="T28" i="96"/>
  <c r="T52" i="96" s="1"/>
  <c r="X53" i="96" s="1"/>
  <c r="E17" i="96"/>
  <c r="I17" i="96" s="1"/>
  <c r="J17" i="96" s="1"/>
  <c r="E18" i="96"/>
  <c r="I18" i="96" s="1"/>
  <c r="J18" i="96" s="1"/>
  <c r="E20" i="96"/>
  <c r="I20" i="96" s="1"/>
  <c r="J20" i="96" s="1"/>
  <c r="E21" i="96"/>
  <c r="I21" i="96" s="1"/>
  <c r="J21" i="96" s="1"/>
  <c r="Y12" i="96"/>
  <c r="Y104" i="96"/>
  <c r="J103" i="96"/>
  <c r="S91" i="96"/>
  <c r="X91" i="96" s="1"/>
  <c r="Y14" i="96"/>
  <c r="Y83" i="96"/>
  <c r="Y16" i="96"/>
  <c r="S92" i="96"/>
  <c r="X92" i="96" s="1"/>
  <c r="E44" i="96"/>
  <c r="J44" i="96" s="1"/>
  <c r="E48" i="96"/>
  <c r="J48" i="96" s="1"/>
  <c r="E15" i="96"/>
  <c r="I15" i="96" s="1"/>
  <c r="J15" i="96" s="1"/>
  <c r="E25" i="96"/>
  <c r="I25" i="96" s="1"/>
  <c r="J25" i="96" s="1"/>
  <c r="V103" i="96"/>
  <c r="Y103" i="96" s="1"/>
  <c r="X97" i="96"/>
  <c r="Y97" i="96" s="1"/>
  <c r="E43" i="96"/>
  <c r="J43" i="96" s="1"/>
  <c r="E47" i="96"/>
  <c r="J47" i="96" s="1"/>
  <c r="E12" i="96"/>
  <c r="E22" i="96"/>
  <c r="I22" i="96" s="1"/>
  <c r="J22" i="96" s="1"/>
  <c r="V71" i="96"/>
  <c r="X13" i="96"/>
  <c r="Y13" i="96" s="1"/>
  <c r="D91" i="96"/>
  <c r="E16" i="96"/>
  <c r="I16" i="96" s="1"/>
  <c r="E26" i="96"/>
  <c r="I26" i="96" s="1"/>
  <c r="J26" i="96" s="1"/>
  <c r="E41" i="96"/>
  <c r="E45" i="96"/>
  <c r="J45" i="96" s="1"/>
  <c r="E49" i="96"/>
  <c r="J49" i="96" s="1"/>
  <c r="E19" i="96"/>
  <c r="I19" i="96" s="1"/>
  <c r="J19" i="96" s="1"/>
  <c r="E13" i="96"/>
  <c r="I13" i="96" s="1"/>
  <c r="J13" i="96" s="1"/>
  <c r="E42" i="96"/>
  <c r="J42" i="96" s="1"/>
  <c r="E43" i="95"/>
  <c r="J43" i="95" s="1"/>
  <c r="T28" i="95"/>
  <c r="T61" i="95" s="1"/>
  <c r="X62" i="95" s="1"/>
  <c r="X67" i="95" s="1"/>
  <c r="Y67" i="95" s="1"/>
  <c r="J103" i="95"/>
  <c r="Y12" i="95"/>
  <c r="Y103" i="95"/>
  <c r="Y16" i="95"/>
  <c r="S92" i="95"/>
  <c r="X92" i="95" s="1"/>
  <c r="S91" i="95"/>
  <c r="X91" i="95" s="1"/>
  <c r="Y14" i="95"/>
  <c r="J97" i="95"/>
  <c r="J98" i="95"/>
  <c r="E21" i="95"/>
  <c r="I21" i="95" s="1"/>
  <c r="J21" i="95" s="1"/>
  <c r="V70" i="95"/>
  <c r="I84" i="95"/>
  <c r="J84" i="95" s="1"/>
  <c r="V85" i="95"/>
  <c r="E15" i="95"/>
  <c r="I15" i="95" s="1"/>
  <c r="J15" i="95" s="1"/>
  <c r="E25" i="95"/>
  <c r="I25" i="95" s="1"/>
  <c r="J25" i="95" s="1"/>
  <c r="E12" i="95"/>
  <c r="E22" i="95"/>
  <c r="I22" i="95" s="1"/>
  <c r="J22" i="95" s="1"/>
  <c r="V71" i="95"/>
  <c r="V87" i="95"/>
  <c r="D91" i="95"/>
  <c r="E44" i="95"/>
  <c r="J44" i="95" s="1"/>
  <c r="E48" i="95"/>
  <c r="J48" i="95" s="1"/>
  <c r="E16" i="95"/>
  <c r="I16" i="95" s="1"/>
  <c r="E26" i="95"/>
  <c r="I26" i="95" s="1"/>
  <c r="J26" i="95" s="1"/>
  <c r="X13" i="95"/>
  <c r="Y13" i="95" s="1"/>
  <c r="E41" i="95"/>
  <c r="E45" i="95"/>
  <c r="J45" i="95" s="1"/>
  <c r="E49" i="95"/>
  <c r="J49" i="95" s="1"/>
  <c r="E19" i="95"/>
  <c r="I19" i="95" s="1"/>
  <c r="J19" i="95" s="1"/>
  <c r="E13" i="95"/>
  <c r="I13" i="95" s="1"/>
  <c r="J13" i="95" s="1"/>
  <c r="E42" i="95"/>
  <c r="J42" i="95" s="1"/>
  <c r="J38" i="94"/>
  <c r="T28" i="94"/>
  <c r="T64" i="94" s="1"/>
  <c r="X65" i="94" s="1"/>
  <c r="X70" i="94" s="1"/>
  <c r="Y70" i="94" s="1"/>
  <c r="E17" i="94"/>
  <c r="I17" i="94" s="1"/>
  <c r="J17" i="94" s="1"/>
  <c r="S91" i="94"/>
  <c r="X91" i="94" s="1"/>
  <c r="Y14" i="94"/>
  <c r="Y104" i="94"/>
  <c r="S92" i="94"/>
  <c r="X92" i="94" s="1"/>
  <c r="Y16" i="94"/>
  <c r="J103" i="94"/>
  <c r="Y12" i="94"/>
  <c r="V87" i="94"/>
  <c r="E44" i="94"/>
  <c r="J44" i="94" s="1"/>
  <c r="E48" i="94"/>
  <c r="J48" i="94" s="1"/>
  <c r="E19" i="94"/>
  <c r="I19" i="94" s="1"/>
  <c r="J19" i="94" s="1"/>
  <c r="X13" i="94"/>
  <c r="Y13" i="94" s="1"/>
  <c r="E43" i="94"/>
  <c r="J43" i="94" s="1"/>
  <c r="E47" i="94"/>
  <c r="J47" i="94" s="1"/>
  <c r="V85" i="94"/>
  <c r="E12" i="94"/>
  <c r="E22" i="94"/>
  <c r="I22" i="94" s="1"/>
  <c r="J22" i="94" s="1"/>
  <c r="E41" i="94"/>
  <c r="E49" i="94"/>
  <c r="J49" i="94" s="1"/>
  <c r="D91" i="94"/>
  <c r="E16" i="94"/>
  <c r="I16" i="94" s="1"/>
  <c r="E26" i="94"/>
  <c r="I26" i="94" s="1"/>
  <c r="J26" i="94" s="1"/>
  <c r="V103" i="94"/>
  <c r="Y103" i="94" s="1"/>
  <c r="E45" i="94"/>
  <c r="J45" i="94" s="1"/>
  <c r="E15" i="94"/>
  <c r="I15" i="94" s="1"/>
  <c r="J15" i="94" s="1"/>
  <c r="E25" i="94"/>
  <c r="I25" i="94" s="1"/>
  <c r="J25" i="94" s="1"/>
  <c r="E13" i="94"/>
  <c r="I13" i="94" s="1"/>
  <c r="J13" i="94" s="1"/>
  <c r="E42" i="94"/>
  <c r="J42" i="94" s="1"/>
  <c r="E47" i="93"/>
  <c r="J47" i="93" s="1"/>
  <c r="E17" i="93"/>
  <c r="I17" i="93" s="1"/>
  <c r="J17" i="93" s="1"/>
  <c r="E18" i="93"/>
  <c r="I18" i="93" s="1"/>
  <c r="J18" i="93" s="1"/>
  <c r="J103" i="93"/>
  <c r="S91" i="93"/>
  <c r="X91" i="93" s="1"/>
  <c r="Y14" i="93"/>
  <c r="Y16" i="93"/>
  <c r="S92" i="93"/>
  <c r="X92" i="93" s="1"/>
  <c r="Y83" i="93"/>
  <c r="Y12" i="93"/>
  <c r="X28" i="93"/>
  <c r="S90" i="93"/>
  <c r="J97" i="93"/>
  <c r="J98" i="93"/>
  <c r="E21" i="93"/>
  <c r="I21" i="93" s="1"/>
  <c r="J21" i="93" s="1"/>
  <c r="V70" i="93"/>
  <c r="V87" i="93"/>
  <c r="E44" i="93"/>
  <c r="J44" i="93" s="1"/>
  <c r="E48" i="93"/>
  <c r="J48" i="93" s="1"/>
  <c r="V85" i="93"/>
  <c r="E12" i="93"/>
  <c r="E22" i="93"/>
  <c r="I22" i="93" s="1"/>
  <c r="J22" i="93" s="1"/>
  <c r="V71" i="93"/>
  <c r="T28" i="93"/>
  <c r="E41" i="93"/>
  <c r="E45" i="93"/>
  <c r="J45" i="93" s="1"/>
  <c r="E49" i="93"/>
  <c r="J49" i="93" s="1"/>
  <c r="D91" i="93"/>
  <c r="E16" i="93"/>
  <c r="I16" i="93" s="1"/>
  <c r="E26" i="93"/>
  <c r="I26" i="93" s="1"/>
  <c r="J26" i="93" s="1"/>
  <c r="E15" i="93"/>
  <c r="I15" i="93" s="1"/>
  <c r="J15" i="93" s="1"/>
  <c r="E25" i="93"/>
  <c r="I25" i="93" s="1"/>
  <c r="J25" i="93" s="1"/>
  <c r="E19" i="93"/>
  <c r="I19" i="93" s="1"/>
  <c r="J19" i="93" s="1"/>
  <c r="E13" i="93"/>
  <c r="I13" i="93" s="1"/>
  <c r="J13" i="93" s="1"/>
  <c r="E42" i="93"/>
  <c r="J42" i="93" s="1"/>
  <c r="E17" i="92"/>
  <c r="I17" i="92" s="1"/>
  <c r="J17" i="92" s="1"/>
  <c r="E18" i="92"/>
  <c r="I18" i="92" s="1"/>
  <c r="J18" i="92" s="1"/>
  <c r="T28" i="92"/>
  <c r="T61" i="92" s="1"/>
  <c r="X62" i="92" s="1"/>
  <c r="X67" i="92" s="1"/>
  <c r="Y67" i="92" s="1"/>
  <c r="E20" i="92"/>
  <c r="I20" i="92" s="1"/>
  <c r="J20" i="92" s="1"/>
  <c r="E24" i="92"/>
  <c r="I24" i="92" s="1"/>
  <c r="J24" i="92" s="1"/>
  <c r="E27" i="92"/>
  <c r="I27" i="92" s="1"/>
  <c r="J27" i="92" s="1"/>
  <c r="E14" i="92"/>
  <c r="I14" i="92" s="1"/>
  <c r="J14" i="92" s="1"/>
  <c r="S91" i="92"/>
  <c r="X91" i="92" s="1"/>
  <c r="Y14" i="92"/>
  <c r="S92" i="92"/>
  <c r="X92" i="92" s="1"/>
  <c r="Y16" i="92"/>
  <c r="Y103" i="92"/>
  <c r="Y12" i="92"/>
  <c r="X97" i="92"/>
  <c r="Y97" i="92" s="1"/>
  <c r="E21" i="92"/>
  <c r="I21" i="92" s="1"/>
  <c r="J21" i="92" s="1"/>
  <c r="V70" i="92"/>
  <c r="V85" i="92"/>
  <c r="E15" i="92"/>
  <c r="I15" i="92" s="1"/>
  <c r="J15" i="92" s="1"/>
  <c r="E25" i="92"/>
  <c r="I25" i="92" s="1"/>
  <c r="J25" i="92" s="1"/>
  <c r="E12" i="92"/>
  <c r="E22" i="92"/>
  <c r="I22" i="92" s="1"/>
  <c r="J22" i="92" s="1"/>
  <c r="V71" i="92"/>
  <c r="X13" i="92"/>
  <c r="Y13" i="92" s="1"/>
  <c r="V83" i="92"/>
  <c r="Y83" i="92" s="1"/>
  <c r="E43" i="92"/>
  <c r="J43" i="92" s="1"/>
  <c r="E47" i="92"/>
  <c r="J47" i="92" s="1"/>
  <c r="D91" i="92"/>
  <c r="E44" i="92"/>
  <c r="J44" i="92" s="1"/>
  <c r="E48" i="92"/>
  <c r="J48" i="92" s="1"/>
  <c r="E16" i="92"/>
  <c r="I16" i="92" s="1"/>
  <c r="E26" i="92"/>
  <c r="I26" i="92" s="1"/>
  <c r="J26" i="92" s="1"/>
  <c r="E41" i="92"/>
  <c r="E45" i="92"/>
  <c r="J45" i="92" s="1"/>
  <c r="E49" i="92"/>
  <c r="J49" i="92" s="1"/>
  <c r="E19" i="92"/>
  <c r="I19" i="92" s="1"/>
  <c r="J19" i="92" s="1"/>
  <c r="E13" i="92"/>
  <c r="I13" i="92" s="1"/>
  <c r="J13" i="92" s="1"/>
  <c r="E42" i="92"/>
  <c r="J42" i="92" s="1"/>
  <c r="J38" i="90"/>
  <c r="Y96" i="91"/>
  <c r="E43" i="91"/>
  <c r="J43" i="91" s="1"/>
  <c r="E46" i="91"/>
  <c r="J46" i="91" s="1"/>
  <c r="E23" i="91"/>
  <c r="I23" i="91" s="1"/>
  <c r="J23" i="91" s="1"/>
  <c r="E24" i="91"/>
  <c r="I24" i="91" s="1"/>
  <c r="J24" i="91" s="1"/>
  <c r="E13" i="91"/>
  <c r="I13" i="91" s="1"/>
  <c r="J13" i="91" s="1"/>
  <c r="T28" i="91"/>
  <c r="T58" i="91" s="1"/>
  <c r="X59" i="91" s="1"/>
  <c r="X71" i="91" s="1"/>
  <c r="E17" i="91"/>
  <c r="I17" i="91" s="1"/>
  <c r="J17" i="91" s="1"/>
  <c r="E18" i="91"/>
  <c r="I18" i="91" s="1"/>
  <c r="J18" i="91" s="1"/>
  <c r="Y31" i="91"/>
  <c r="Y32" i="91" s="1"/>
  <c r="Y12" i="91"/>
  <c r="Y83" i="91"/>
  <c r="Y14" i="91"/>
  <c r="S91" i="91"/>
  <c r="X91" i="91" s="1"/>
  <c r="J103" i="91"/>
  <c r="Y16" i="91"/>
  <c r="S92" i="91"/>
  <c r="X92" i="91" s="1"/>
  <c r="J97" i="91"/>
  <c r="X97" i="91"/>
  <c r="Y97" i="91" s="1"/>
  <c r="X13" i="91"/>
  <c r="Y13" i="91" s="1"/>
  <c r="E21" i="91"/>
  <c r="I21" i="91" s="1"/>
  <c r="J21" i="91" s="1"/>
  <c r="V70" i="91"/>
  <c r="V85" i="91"/>
  <c r="E15" i="91"/>
  <c r="I15" i="91" s="1"/>
  <c r="J15" i="91" s="1"/>
  <c r="E25" i="91"/>
  <c r="I25" i="91" s="1"/>
  <c r="J25" i="91" s="1"/>
  <c r="E12" i="91"/>
  <c r="E22" i="91"/>
  <c r="I22" i="91" s="1"/>
  <c r="J22" i="91" s="1"/>
  <c r="V71" i="91"/>
  <c r="D91" i="91"/>
  <c r="E44" i="91"/>
  <c r="J44" i="91" s="1"/>
  <c r="E48" i="91"/>
  <c r="J48" i="91" s="1"/>
  <c r="E41" i="91"/>
  <c r="E45" i="91"/>
  <c r="J45" i="91" s="1"/>
  <c r="E19" i="91"/>
  <c r="I19" i="91" s="1"/>
  <c r="J19" i="91" s="1"/>
  <c r="E16" i="91"/>
  <c r="I16" i="91" s="1"/>
  <c r="Y96" i="90"/>
  <c r="E17" i="90"/>
  <c r="I17" i="90" s="1"/>
  <c r="J17" i="90" s="1"/>
  <c r="E18" i="90"/>
  <c r="I18" i="90" s="1"/>
  <c r="J18" i="90" s="1"/>
  <c r="E20" i="90"/>
  <c r="I20" i="90" s="1"/>
  <c r="J20" i="90" s="1"/>
  <c r="E21" i="90"/>
  <c r="I21" i="90" s="1"/>
  <c r="J21" i="90" s="1"/>
  <c r="Y96" i="89"/>
  <c r="T28" i="89"/>
  <c r="T52" i="89" s="1"/>
  <c r="X53" i="89" s="1"/>
  <c r="E17" i="89"/>
  <c r="I17" i="89" s="1"/>
  <c r="J17" i="89" s="1"/>
  <c r="E18" i="89"/>
  <c r="I18" i="89" s="1"/>
  <c r="J18" i="89" s="1"/>
  <c r="Y12" i="90"/>
  <c r="X28" i="90"/>
  <c r="S90" i="90"/>
  <c r="Y103" i="90"/>
  <c r="S92" i="90"/>
  <c r="X92" i="90" s="1"/>
  <c r="Y16" i="90"/>
  <c r="J103" i="90"/>
  <c r="Y83" i="90"/>
  <c r="S91" i="90"/>
  <c r="X91" i="90" s="1"/>
  <c r="Y14" i="90"/>
  <c r="Y50" i="90"/>
  <c r="E43" i="90"/>
  <c r="J43" i="90" s="1"/>
  <c r="E47" i="90"/>
  <c r="J47" i="90" s="1"/>
  <c r="E15" i="90"/>
  <c r="I15" i="90" s="1"/>
  <c r="J15" i="90" s="1"/>
  <c r="E25" i="90"/>
  <c r="I25" i="90" s="1"/>
  <c r="J25" i="90" s="1"/>
  <c r="E12" i="90"/>
  <c r="E22" i="90"/>
  <c r="I22" i="90" s="1"/>
  <c r="J22" i="90" s="1"/>
  <c r="T28" i="90"/>
  <c r="E41" i="90"/>
  <c r="E45" i="90"/>
  <c r="J45" i="90" s="1"/>
  <c r="E49" i="90"/>
  <c r="J49" i="90" s="1"/>
  <c r="D91" i="90"/>
  <c r="E16" i="90"/>
  <c r="I16" i="90" s="1"/>
  <c r="E26" i="90"/>
  <c r="I26" i="90" s="1"/>
  <c r="J26" i="90" s="1"/>
  <c r="E44" i="90"/>
  <c r="J44" i="90" s="1"/>
  <c r="E48" i="90"/>
  <c r="J48" i="90" s="1"/>
  <c r="E19" i="90"/>
  <c r="I19" i="90" s="1"/>
  <c r="J19" i="90" s="1"/>
  <c r="E13" i="90"/>
  <c r="I13" i="90" s="1"/>
  <c r="J13" i="90" s="1"/>
  <c r="E42" i="90"/>
  <c r="J42" i="90" s="1"/>
  <c r="I84" i="89"/>
  <c r="J84" i="89" s="1"/>
  <c r="Y12" i="89"/>
  <c r="S92" i="89"/>
  <c r="X92" i="89" s="1"/>
  <c r="Y16" i="89"/>
  <c r="J103" i="89"/>
  <c r="Y103" i="89"/>
  <c r="S91" i="89"/>
  <c r="X91" i="89" s="1"/>
  <c r="Y14" i="89"/>
  <c r="J97" i="89"/>
  <c r="Y81" i="89"/>
  <c r="X83" i="89" s="1"/>
  <c r="Y83" i="89" s="1"/>
  <c r="V85" i="89"/>
  <c r="E15" i="89"/>
  <c r="I15" i="89" s="1"/>
  <c r="J15" i="89" s="1"/>
  <c r="E25" i="89"/>
  <c r="I25" i="89" s="1"/>
  <c r="J25" i="89" s="1"/>
  <c r="E12" i="89"/>
  <c r="E22" i="89"/>
  <c r="I22" i="89" s="1"/>
  <c r="J22" i="89" s="1"/>
  <c r="V71" i="89"/>
  <c r="D91" i="89"/>
  <c r="X13" i="89"/>
  <c r="Y13" i="89" s="1"/>
  <c r="E41" i="89"/>
  <c r="E45" i="89"/>
  <c r="J45" i="89" s="1"/>
  <c r="E49" i="89"/>
  <c r="J49" i="89" s="1"/>
  <c r="E19" i="89"/>
  <c r="I19" i="89" s="1"/>
  <c r="J19" i="89" s="1"/>
  <c r="E16" i="89"/>
  <c r="I16" i="89" s="1"/>
  <c r="E26" i="89"/>
  <c r="I26" i="89" s="1"/>
  <c r="J26" i="89" s="1"/>
  <c r="E44" i="89"/>
  <c r="J44" i="89" s="1"/>
  <c r="E48" i="89"/>
  <c r="J48" i="89" s="1"/>
  <c r="E13" i="89"/>
  <c r="I13" i="89" s="1"/>
  <c r="J13" i="89" s="1"/>
  <c r="E42" i="89"/>
  <c r="J42" i="89" s="1"/>
  <c r="Y96" i="88"/>
  <c r="T28" i="88"/>
  <c r="T52" i="88" s="1"/>
  <c r="X53" i="88" s="1"/>
  <c r="Y16" i="88"/>
  <c r="S92" i="88"/>
  <c r="X92" i="88" s="1"/>
  <c r="Y12" i="88"/>
  <c r="J103" i="88"/>
  <c r="Y104" i="88"/>
  <c r="S91" i="88"/>
  <c r="X91" i="88" s="1"/>
  <c r="Y14" i="88"/>
  <c r="J98" i="88"/>
  <c r="E44" i="88"/>
  <c r="J44" i="88" s="1"/>
  <c r="E48" i="88"/>
  <c r="J48" i="88" s="1"/>
  <c r="E15" i="88"/>
  <c r="I15" i="88" s="1"/>
  <c r="J15" i="88" s="1"/>
  <c r="E25" i="88"/>
  <c r="I25" i="88" s="1"/>
  <c r="J25" i="88" s="1"/>
  <c r="V103" i="88"/>
  <c r="Y103" i="88" s="1"/>
  <c r="E12" i="88"/>
  <c r="E22" i="88"/>
  <c r="I22" i="88" s="1"/>
  <c r="J22" i="88" s="1"/>
  <c r="V71" i="88"/>
  <c r="X13" i="88"/>
  <c r="Y13" i="88" s="1"/>
  <c r="E43" i="88"/>
  <c r="J43" i="88" s="1"/>
  <c r="E47" i="88"/>
  <c r="J47" i="88" s="1"/>
  <c r="D91" i="88"/>
  <c r="E16" i="88"/>
  <c r="I16" i="88" s="1"/>
  <c r="E26" i="88"/>
  <c r="I26" i="88" s="1"/>
  <c r="J26" i="88" s="1"/>
  <c r="E41" i="88"/>
  <c r="E45" i="88"/>
  <c r="J45" i="88" s="1"/>
  <c r="E49" i="88"/>
  <c r="J49" i="88" s="1"/>
  <c r="E19" i="88"/>
  <c r="I19" i="88" s="1"/>
  <c r="J19" i="88" s="1"/>
  <c r="E13" i="88"/>
  <c r="I13" i="88" s="1"/>
  <c r="J13" i="88" s="1"/>
  <c r="E42" i="88"/>
  <c r="J42" i="88" s="1"/>
  <c r="Y96" i="87"/>
  <c r="E43" i="87"/>
  <c r="J43" i="87" s="1"/>
  <c r="E18" i="87"/>
  <c r="I18" i="87" s="1"/>
  <c r="J18" i="87" s="1"/>
  <c r="E21" i="87"/>
  <c r="I21" i="87" s="1"/>
  <c r="J21" i="87" s="1"/>
  <c r="T28" i="87"/>
  <c r="T52" i="87" s="1"/>
  <c r="X53" i="87" s="1"/>
  <c r="S92" i="87"/>
  <c r="X92" i="87" s="1"/>
  <c r="Y16" i="87"/>
  <c r="J103" i="87"/>
  <c r="Y50" i="87"/>
  <c r="Y12" i="87"/>
  <c r="S90" i="87"/>
  <c r="E20" i="87"/>
  <c r="I20" i="87" s="1"/>
  <c r="J20" i="87" s="1"/>
  <c r="J104" i="87"/>
  <c r="X97" i="87"/>
  <c r="Y97" i="87" s="1"/>
  <c r="E17" i="87"/>
  <c r="I17" i="87" s="1"/>
  <c r="J17" i="87" s="1"/>
  <c r="E27" i="87"/>
  <c r="I27" i="87" s="1"/>
  <c r="J27" i="87" s="1"/>
  <c r="V83" i="87"/>
  <c r="V70" i="87"/>
  <c r="X14" i="87"/>
  <c r="E44" i="87"/>
  <c r="J44" i="87" s="1"/>
  <c r="E48" i="87"/>
  <c r="J48" i="87" s="1"/>
  <c r="V85" i="87"/>
  <c r="E12" i="87"/>
  <c r="E22" i="87"/>
  <c r="I22" i="87" s="1"/>
  <c r="J22" i="87" s="1"/>
  <c r="E41" i="87"/>
  <c r="E45" i="87"/>
  <c r="J45" i="87" s="1"/>
  <c r="E49" i="87"/>
  <c r="J49" i="87" s="1"/>
  <c r="D91" i="87"/>
  <c r="E16" i="87"/>
  <c r="I16" i="87" s="1"/>
  <c r="E26" i="87"/>
  <c r="I26" i="87" s="1"/>
  <c r="J26" i="87" s="1"/>
  <c r="E15" i="87"/>
  <c r="I15" i="87" s="1"/>
  <c r="J15" i="87" s="1"/>
  <c r="E25" i="87"/>
  <c r="I25" i="87" s="1"/>
  <c r="J25" i="87" s="1"/>
  <c r="E19" i="87"/>
  <c r="I19" i="87" s="1"/>
  <c r="J19" i="87" s="1"/>
  <c r="E13" i="87"/>
  <c r="I13" i="87" s="1"/>
  <c r="J13" i="87" s="1"/>
  <c r="E42" i="87"/>
  <c r="J42" i="87" s="1"/>
  <c r="Y96" i="86"/>
  <c r="E46" i="86"/>
  <c r="J46" i="86" s="1"/>
  <c r="E24" i="86"/>
  <c r="I24" i="86" s="1"/>
  <c r="J24" i="86" s="1"/>
  <c r="E13" i="86"/>
  <c r="I13" i="86" s="1"/>
  <c r="J13" i="86" s="1"/>
  <c r="T28" i="86"/>
  <c r="T52" i="86" s="1"/>
  <c r="X53" i="86" s="1"/>
  <c r="E14" i="86"/>
  <c r="I14" i="86" s="1"/>
  <c r="J14" i="86" s="1"/>
  <c r="E27" i="86"/>
  <c r="I27" i="86" s="1"/>
  <c r="J27" i="86" s="1"/>
  <c r="E18" i="86"/>
  <c r="I18" i="86" s="1"/>
  <c r="J18" i="86" s="1"/>
  <c r="E20" i="86"/>
  <c r="I20" i="86" s="1"/>
  <c r="J20" i="86" s="1"/>
  <c r="Y12" i="86"/>
  <c r="S91" i="86"/>
  <c r="X91" i="86" s="1"/>
  <c r="Y14" i="86"/>
  <c r="Y16" i="86"/>
  <c r="S92" i="86"/>
  <c r="X92" i="86" s="1"/>
  <c r="J103" i="86"/>
  <c r="X13" i="86"/>
  <c r="Y13" i="86" s="1"/>
  <c r="E43" i="86"/>
  <c r="J43" i="86" s="1"/>
  <c r="E47" i="86"/>
  <c r="J47" i="86" s="1"/>
  <c r="V85" i="86"/>
  <c r="E12" i="86"/>
  <c r="E22" i="86"/>
  <c r="I22" i="86" s="1"/>
  <c r="J22" i="86" s="1"/>
  <c r="E41" i="86"/>
  <c r="E45" i="86"/>
  <c r="J45" i="86" s="1"/>
  <c r="E49" i="86"/>
  <c r="J49" i="86" s="1"/>
  <c r="J97" i="86"/>
  <c r="D91" i="86"/>
  <c r="E19" i="86"/>
  <c r="I19" i="86" s="1"/>
  <c r="J19" i="86" s="1"/>
  <c r="E16" i="86"/>
  <c r="I16" i="86" s="1"/>
  <c r="E26" i="86"/>
  <c r="I26" i="86" s="1"/>
  <c r="J26" i="86" s="1"/>
  <c r="E44" i="86"/>
  <c r="J44" i="86" s="1"/>
  <c r="E15" i="86"/>
  <c r="I15" i="86" s="1"/>
  <c r="J15" i="86" s="1"/>
  <c r="Y96" i="85"/>
  <c r="J38" i="85"/>
  <c r="E24" i="85"/>
  <c r="I24" i="85" s="1"/>
  <c r="J24" i="85" s="1"/>
  <c r="T28" i="85"/>
  <c r="T58" i="85" s="1"/>
  <c r="X59" i="85" s="1"/>
  <c r="X71" i="85" s="1"/>
  <c r="Y71" i="85" s="1"/>
  <c r="E27" i="85"/>
  <c r="I27" i="85" s="1"/>
  <c r="J27" i="85" s="1"/>
  <c r="E14" i="85"/>
  <c r="I14" i="85" s="1"/>
  <c r="J14" i="85" s="1"/>
  <c r="E17" i="85"/>
  <c r="I17" i="85" s="1"/>
  <c r="J17" i="85" s="1"/>
  <c r="E18" i="85"/>
  <c r="I18" i="85" s="1"/>
  <c r="J18" i="85" s="1"/>
  <c r="E20" i="85"/>
  <c r="I20" i="85" s="1"/>
  <c r="J20" i="85" s="1"/>
  <c r="E21" i="85"/>
  <c r="I21" i="85" s="1"/>
  <c r="J21" i="85" s="1"/>
  <c r="Y12" i="85"/>
  <c r="S91" i="85"/>
  <c r="X91" i="85" s="1"/>
  <c r="Y14" i="85"/>
  <c r="Y16" i="85"/>
  <c r="S92" i="85"/>
  <c r="X92" i="85" s="1"/>
  <c r="Y50" i="85"/>
  <c r="X97" i="85"/>
  <c r="Y97" i="85" s="1"/>
  <c r="X13" i="85"/>
  <c r="Y13" i="85" s="1"/>
  <c r="E43" i="85"/>
  <c r="J43" i="85" s="1"/>
  <c r="E47" i="85"/>
  <c r="J47" i="85" s="1"/>
  <c r="E19" i="85"/>
  <c r="I19" i="85" s="1"/>
  <c r="J19" i="85" s="1"/>
  <c r="E44" i="85"/>
  <c r="J44" i="85" s="1"/>
  <c r="E48" i="85"/>
  <c r="J48" i="85" s="1"/>
  <c r="V85" i="85"/>
  <c r="E12" i="85"/>
  <c r="E22" i="85"/>
  <c r="I22" i="85" s="1"/>
  <c r="J22" i="85" s="1"/>
  <c r="E41" i="85"/>
  <c r="E49" i="85"/>
  <c r="J49" i="85" s="1"/>
  <c r="D91" i="85"/>
  <c r="E16" i="85"/>
  <c r="I16" i="85" s="1"/>
  <c r="E26" i="85"/>
  <c r="I26" i="85" s="1"/>
  <c r="J26" i="85" s="1"/>
  <c r="E45" i="85"/>
  <c r="J45" i="85" s="1"/>
  <c r="E15" i="85"/>
  <c r="I15" i="85" s="1"/>
  <c r="J15" i="85" s="1"/>
  <c r="E25" i="85"/>
  <c r="I25" i="85" s="1"/>
  <c r="J25" i="85" s="1"/>
  <c r="E13" i="85"/>
  <c r="I13" i="85" s="1"/>
  <c r="J13" i="85" s="1"/>
  <c r="E42" i="85"/>
  <c r="J42" i="85" s="1"/>
  <c r="Y96" i="84"/>
  <c r="T28" i="84"/>
  <c r="T64" i="84" s="1"/>
  <c r="X65" i="84" s="1"/>
  <c r="X70" i="84" s="1"/>
  <c r="Y70" i="84" s="1"/>
  <c r="S92" i="84"/>
  <c r="X92" i="84" s="1"/>
  <c r="Y16" i="84"/>
  <c r="X13" i="84"/>
  <c r="Y13" i="84" s="1"/>
  <c r="Y50" i="84"/>
  <c r="J103" i="84"/>
  <c r="J14" i="84"/>
  <c r="S91" i="84"/>
  <c r="X91" i="84" s="1"/>
  <c r="Y14" i="84"/>
  <c r="E46" i="84"/>
  <c r="J46" i="84" s="1"/>
  <c r="E42" i="84"/>
  <c r="J42" i="84" s="1"/>
  <c r="E48" i="84"/>
  <c r="J48" i="84" s="1"/>
  <c r="E44" i="84"/>
  <c r="J44" i="84" s="1"/>
  <c r="E49" i="84"/>
  <c r="J49" i="84" s="1"/>
  <c r="E45" i="84"/>
  <c r="J45" i="84" s="1"/>
  <c r="E41" i="84"/>
  <c r="E47" i="84"/>
  <c r="J47" i="84" s="1"/>
  <c r="E43" i="84"/>
  <c r="J43" i="84" s="1"/>
  <c r="Y12" i="84"/>
  <c r="I84" i="84"/>
  <c r="J84" i="84" s="1"/>
  <c r="V87" i="84"/>
  <c r="V83" i="84"/>
  <c r="Y83" i="84" s="1"/>
  <c r="V85" i="84"/>
  <c r="E12" i="84"/>
  <c r="E22" i="84"/>
  <c r="I22" i="84" s="1"/>
  <c r="J22" i="84" s="1"/>
  <c r="D91" i="84"/>
  <c r="E16" i="84"/>
  <c r="I16" i="84" s="1"/>
  <c r="E26" i="84"/>
  <c r="I26" i="84" s="1"/>
  <c r="J26" i="84" s="1"/>
  <c r="E19" i="84"/>
  <c r="I19" i="84" s="1"/>
  <c r="J19" i="84" s="1"/>
  <c r="E15" i="84"/>
  <c r="I15" i="84" s="1"/>
  <c r="J15" i="84" s="1"/>
  <c r="E25" i="84"/>
  <c r="I25" i="84" s="1"/>
  <c r="J25" i="84" s="1"/>
  <c r="E13" i="84"/>
  <c r="I13" i="84" s="1"/>
  <c r="J13" i="84" s="1"/>
  <c r="Y96" i="83"/>
  <c r="J38" i="83"/>
  <c r="E18" i="83"/>
  <c r="I18" i="83" s="1"/>
  <c r="J18" i="83" s="1"/>
  <c r="E22" i="83"/>
  <c r="I22" i="83" s="1"/>
  <c r="J22" i="83" s="1"/>
  <c r="E12" i="83"/>
  <c r="I12" i="83" s="1"/>
  <c r="J12" i="83" s="1"/>
  <c r="E24" i="83"/>
  <c r="I24" i="83" s="1"/>
  <c r="J24" i="83" s="1"/>
  <c r="Y50" i="83"/>
  <c r="S92" i="83"/>
  <c r="X92" i="83" s="1"/>
  <c r="Y16" i="83"/>
  <c r="J98" i="83"/>
  <c r="Y104" i="83"/>
  <c r="V87" i="83"/>
  <c r="I84" i="83"/>
  <c r="J84" i="83" s="1"/>
  <c r="S91" i="83"/>
  <c r="X91" i="83" s="1"/>
  <c r="Y14" i="83"/>
  <c r="E46" i="83"/>
  <c r="J46" i="83" s="1"/>
  <c r="E42" i="83"/>
  <c r="J42" i="83" s="1"/>
  <c r="E49" i="83"/>
  <c r="J49" i="83" s="1"/>
  <c r="E45" i="83"/>
  <c r="J45" i="83" s="1"/>
  <c r="E41" i="83"/>
  <c r="E48" i="83"/>
  <c r="J48" i="83" s="1"/>
  <c r="E44" i="83"/>
  <c r="J44" i="83" s="1"/>
  <c r="E43" i="83"/>
  <c r="J43" i="83" s="1"/>
  <c r="Y12" i="83"/>
  <c r="T28" i="83"/>
  <c r="X13" i="83"/>
  <c r="Y13" i="83" s="1"/>
  <c r="E15" i="83"/>
  <c r="I15" i="83" s="1"/>
  <c r="J15" i="83" s="1"/>
  <c r="E25" i="83"/>
  <c r="I25" i="83" s="1"/>
  <c r="J25" i="83" s="1"/>
  <c r="V103" i="83"/>
  <c r="Y103" i="83" s="1"/>
  <c r="E19" i="83"/>
  <c r="I19" i="83" s="1"/>
  <c r="J19" i="83" s="1"/>
  <c r="V86" i="83"/>
  <c r="D91" i="83"/>
  <c r="E16" i="83"/>
  <c r="I16" i="83" s="1"/>
  <c r="E26" i="83"/>
  <c r="I26" i="83" s="1"/>
  <c r="J26" i="83" s="1"/>
  <c r="E13" i="83"/>
  <c r="I13" i="83" s="1"/>
  <c r="J13" i="83" s="1"/>
  <c r="Y96" i="82"/>
  <c r="E17" i="82"/>
  <c r="I17" i="82" s="1"/>
  <c r="J17" i="82" s="1"/>
  <c r="T28" i="82"/>
  <c r="T52" i="82" s="1"/>
  <c r="X53" i="82" s="1"/>
  <c r="Y12" i="82"/>
  <c r="J103" i="82"/>
  <c r="Y16" i="82"/>
  <c r="S92" i="82"/>
  <c r="X92" i="82" s="1"/>
  <c r="S91" i="82"/>
  <c r="X91" i="82" s="1"/>
  <c r="Y14" i="82"/>
  <c r="J98" i="82"/>
  <c r="E15" i="82"/>
  <c r="I15" i="82" s="1"/>
  <c r="J15" i="82" s="1"/>
  <c r="E25" i="82"/>
  <c r="I25" i="82" s="1"/>
  <c r="J25" i="82" s="1"/>
  <c r="X13" i="82"/>
  <c r="Y13" i="82" s="1"/>
  <c r="E43" i="82"/>
  <c r="J43" i="82" s="1"/>
  <c r="E47" i="82"/>
  <c r="J47" i="82" s="1"/>
  <c r="E12" i="82"/>
  <c r="E22" i="82"/>
  <c r="I22" i="82" s="1"/>
  <c r="J22" i="82" s="1"/>
  <c r="V71" i="82"/>
  <c r="V87" i="82"/>
  <c r="V83" i="82"/>
  <c r="Y83" i="82" s="1"/>
  <c r="E41" i="82"/>
  <c r="E49" i="82"/>
  <c r="J49" i="82" s="1"/>
  <c r="E19" i="82"/>
  <c r="I19" i="82" s="1"/>
  <c r="J19" i="82" s="1"/>
  <c r="D91" i="82"/>
  <c r="E44" i="82"/>
  <c r="J44" i="82" s="1"/>
  <c r="E48" i="82"/>
  <c r="J48" i="82" s="1"/>
  <c r="E45" i="82"/>
  <c r="J45" i="82" s="1"/>
  <c r="E16" i="82"/>
  <c r="I16" i="82" s="1"/>
  <c r="E26" i="82"/>
  <c r="I26" i="82" s="1"/>
  <c r="J26" i="82" s="1"/>
  <c r="E13" i="82"/>
  <c r="I13" i="82" s="1"/>
  <c r="J13" i="82" s="1"/>
  <c r="E42" i="82"/>
  <c r="J42" i="82" s="1"/>
  <c r="Y96" i="81"/>
  <c r="T28" i="81"/>
  <c r="T52" i="81" s="1"/>
  <c r="X53" i="81" s="1"/>
  <c r="E17" i="81"/>
  <c r="I17" i="81" s="1"/>
  <c r="J17" i="81" s="1"/>
  <c r="Y12" i="81"/>
  <c r="S91" i="81"/>
  <c r="X91" i="81" s="1"/>
  <c r="Y14" i="81"/>
  <c r="Y103" i="81"/>
  <c r="S92" i="81"/>
  <c r="X92" i="81" s="1"/>
  <c r="Y16" i="81"/>
  <c r="X13" i="81"/>
  <c r="Y13" i="81" s="1"/>
  <c r="E43" i="81"/>
  <c r="J43" i="81" s="1"/>
  <c r="E47" i="81"/>
  <c r="J47" i="81" s="1"/>
  <c r="V85" i="81"/>
  <c r="E15" i="81"/>
  <c r="I15" i="81" s="1"/>
  <c r="J15" i="81" s="1"/>
  <c r="E25" i="81"/>
  <c r="I25" i="81" s="1"/>
  <c r="J25" i="81" s="1"/>
  <c r="E12" i="81"/>
  <c r="E22" i="81"/>
  <c r="I22" i="81" s="1"/>
  <c r="J22" i="81" s="1"/>
  <c r="V71" i="81"/>
  <c r="X97" i="81"/>
  <c r="Y97" i="81" s="1"/>
  <c r="V83" i="81"/>
  <c r="E44" i="81"/>
  <c r="J44" i="81" s="1"/>
  <c r="E48" i="81"/>
  <c r="J48" i="81" s="1"/>
  <c r="E41" i="81"/>
  <c r="E45" i="81"/>
  <c r="J45" i="81" s="1"/>
  <c r="E49" i="81"/>
  <c r="J49" i="81" s="1"/>
  <c r="E19" i="81"/>
  <c r="I19" i="81" s="1"/>
  <c r="J19" i="81" s="1"/>
  <c r="D91" i="81"/>
  <c r="E16" i="81"/>
  <c r="I16" i="81" s="1"/>
  <c r="E26" i="81"/>
  <c r="I26" i="81" s="1"/>
  <c r="J26" i="81" s="1"/>
  <c r="E13" i="81"/>
  <c r="I13" i="81" s="1"/>
  <c r="J13" i="81" s="1"/>
  <c r="E42" i="81"/>
  <c r="J42" i="81" s="1"/>
  <c r="Y96" i="80"/>
  <c r="T28" i="80"/>
  <c r="T52" i="80" s="1"/>
  <c r="X53" i="80" s="1"/>
  <c r="Y104" i="80"/>
  <c r="Y12" i="80"/>
  <c r="J103" i="80"/>
  <c r="S91" i="80"/>
  <c r="X91" i="80" s="1"/>
  <c r="Y14" i="80"/>
  <c r="S92" i="80"/>
  <c r="X92" i="80" s="1"/>
  <c r="Y16" i="80"/>
  <c r="V87" i="80"/>
  <c r="E15" i="80"/>
  <c r="I15" i="80" s="1"/>
  <c r="J15" i="80" s="1"/>
  <c r="E25" i="80"/>
  <c r="I25" i="80" s="1"/>
  <c r="J25" i="80" s="1"/>
  <c r="V103" i="80"/>
  <c r="Y103" i="80" s="1"/>
  <c r="E43" i="80"/>
  <c r="J43" i="80" s="1"/>
  <c r="E47" i="80"/>
  <c r="J47" i="80" s="1"/>
  <c r="E12" i="80"/>
  <c r="E22" i="80"/>
  <c r="I22" i="80" s="1"/>
  <c r="J22" i="80" s="1"/>
  <c r="V71" i="80"/>
  <c r="X13" i="80"/>
  <c r="Y13" i="80" s="1"/>
  <c r="V83" i="80"/>
  <c r="X97" i="80"/>
  <c r="Y97" i="80" s="1"/>
  <c r="D91" i="80"/>
  <c r="E16" i="80"/>
  <c r="I16" i="80" s="1"/>
  <c r="E26" i="80"/>
  <c r="I26" i="80" s="1"/>
  <c r="J26" i="80" s="1"/>
  <c r="E44" i="80"/>
  <c r="J44" i="80" s="1"/>
  <c r="E48" i="80"/>
  <c r="J48" i="80" s="1"/>
  <c r="E41" i="80"/>
  <c r="E45" i="80"/>
  <c r="J45" i="80" s="1"/>
  <c r="E49" i="80"/>
  <c r="J49" i="80" s="1"/>
  <c r="E19" i="80"/>
  <c r="I19" i="80" s="1"/>
  <c r="J19" i="80" s="1"/>
  <c r="E13" i="80"/>
  <c r="I13" i="80" s="1"/>
  <c r="J13" i="80" s="1"/>
  <c r="E42" i="80"/>
  <c r="J42" i="80" s="1"/>
  <c r="Y96" i="79"/>
  <c r="J38" i="79"/>
  <c r="T28" i="79"/>
  <c r="T61" i="79" s="1"/>
  <c r="X62" i="79" s="1"/>
  <c r="X67" i="79" s="1"/>
  <c r="Y67" i="79" s="1"/>
  <c r="E17" i="79"/>
  <c r="I17" i="79" s="1"/>
  <c r="J17" i="79" s="1"/>
  <c r="E18" i="79"/>
  <c r="I18" i="79" s="1"/>
  <c r="J18" i="79" s="1"/>
  <c r="E21" i="79"/>
  <c r="I21" i="79" s="1"/>
  <c r="J21" i="79" s="1"/>
  <c r="E24" i="79"/>
  <c r="I24" i="79" s="1"/>
  <c r="J24" i="79" s="1"/>
  <c r="S92" i="79"/>
  <c r="X92" i="79" s="1"/>
  <c r="Y16" i="79"/>
  <c r="Y12" i="79"/>
  <c r="X13" i="79"/>
  <c r="Y13" i="79" s="1"/>
  <c r="E46" i="79"/>
  <c r="J46" i="79" s="1"/>
  <c r="E42" i="79"/>
  <c r="J42" i="79" s="1"/>
  <c r="E49" i="79"/>
  <c r="J49" i="79" s="1"/>
  <c r="E45" i="79"/>
  <c r="J45" i="79" s="1"/>
  <c r="E41" i="79"/>
  <c r="E48" i="79"/>
  <c r="J48" i="79" s="1"/>
  <c r="E44" i="79"/>
  <c r="J44" i="79" s="1"/>
  <c r="E47" i="79"/>
  <c r="J47" i="79" s="1"/>
  <c r="E43" i="79"/>
  <c r="J43" i="79" s="1"/>
  <c r="S91" i="79"/>
  <c r="X91" i="79" s="1"/>
  <c r="Y14" i="79"/>
  <c r="Y50" i="79"/>
  <c r="J103" i="79"/>
  <c r="I84" i="79"/>
  <c r="J84" i="79" s="1"/>
  <c r="Y83" i="79"/>
  <c r="E15" i="79"/>
  <c r="I15" i="79" s="1"/>
  <c r="J15" i="79" s="1"/>
  <c r="E25" i="79"/>
  <c r="I25" i="79" s="1"/>
  <c r="J25" i="79" s="1"/>
  <c r="E19" i="79"/>
  <c r="I19" i="79" s="1"/>
  <c r="J19" i="79" s="1"/>
  <c r="D91" i="79"/>
  <c r="E16" i="79"/>
  <c r="I16" i="79" s="1"/>
  <c r="E26" i="79"/>
  <c r="I26" i="79" s="1"/>
  <c r="J26" i="79" s="1"/>
  <c r="E12" i="79"/>
  <c r="E22" i="79"/>
  <c r="I22" i="79" s="1"/>
  <c r="J22" i="79" s="1"/>
  <c r="E13" i="79"/>
  <c r="I13" i="79" s="1"/>
  <c r="J13" i="79" s="1"/>
  <c r="Y96" i="78"/>
  <c r="E24" i="78"/>
  <c r="I24" i="78" s="1"/>
  <c r="J24" i="78" s="1"/>
  <c r="E17" i="78"/>
  <c r="I17" i="78" s="1"/>
  <c r="J17" i="78" s="1"/>
  <c r="J103" i="78"/>
  <c r="Y83" i="78"/>
  <c r="Y12" i="78"/>
  <c r="X28" i="78"/>
  <c r="S90" i="78"/>
  <c r="S91" i="78"/>
  <c r="X91" i="78" s="1"/>
  <c r="Y14" i="78"/>
  <c r="Y103" i="78"/>
  <c r="S92" i="78"/>
  <c r="X92" i="78" s="1"/>
  <c r="Y16" i="78"/>
  <c r="X97" i="78"/>
  <c r="Y97" i="78" s="1"/>
  <c r="V87" i="78"/>
  <c r="E15" i="78"/>
  <c r="I15" i="78" s="1"/>
  <c r="J15" i="78" s="1"/>
  <c r="E25" i="78"/>
  <c r="I25" i="78" s="1"/>
  <c r="J25" i="78" s="1"/>
  <c r="E12" i="78"/>
  <c r="E22" i="78"/>
  <c r="I22" i="78" s="1"/>
  <c r="J22" i="78" s="1"/>
  <c r="V71" i="78"/>
  <c r="E43" i="78"/>
  <c r="J43" i="78" s="1"/>
  <c r="E47" i="78"/>
  <c r="J47" i="78" s="1"/>
  <c r="T28" i="78"/>
  <c r="E41" i="78"/>
  <c r="E45" i="78"/>
  <c r="J45" i="78" s="1"/>
  <c r="E49" i="78"/>
  <c r="J49" i="78" s="1"/>
  <c r="E19" i="78"/>
  <c r="I19" i="78" s="1"/>
  <c r="J19" i="78" s="1"/>
  <c r="D91" i="78"/>
  <c r="E44" i="78"/>
  <c r="J44" i="78" s="1"/>
  <c r="E48" i="78"/>
  <c r="J48" i="78" s="1"/>
  <c r="E16" i="78"/>
  <c r="I16" i="78" s="1"/>
  <c r="E26" i="78"/>
  <c r="I26" i="78" s="1"/>
  <c r="J26" i="78" s="1"/>
  <c r="E13" i="78"/>
  <c r="I13" i="78" s="1"/>
  <c r="J13" i="78" s="1"/>
  <c r="E42" i="78"/>
  <c r="J42" i="78" s="1"/>
  <c r="T96" i="77"/>
  <c r="Y96" i="77" s="1"/>
  <c r="E14" i="77"/>
  <c r="T14" i="77" s="1"/>
  <c r="X14" i="77" s="1"/>
  <c r="Y14" i="77" s="1"/>
  <c r="E20" i="77"/>
  <c r="T20" i="77" s="1"/>
  <c r="X20" i="77" s="1"/>
  <c r="Y20" i="77" s="1"/>
  <c r="Y104" i="77"/>
  <c r="I23" i="77"/>
  <c r="J23" i="77" s="1"/>
  <c r="T23" i="77"/>
  <c r="X23" i="77" s="1"/>
  <c r="Y23" i="77" s="1"/>
  <c r="Y31" i="77"/>
  <c r="Y32" i="77" s="1"/>
  <c r="J32" i="77"/>
  <c r="X97" i="77"/>
  <c r="Y97" i="77" s="1"/>
  <c r="E17" i="77"/>
  <c r="E27" i="77"/>
  <c r="V83" i="77"/>
  <c r="Y83" i="77" s="1"/>
  <c r="E21" i="77"/>
  <c r="V70" i="77"/>
  <c r="D90" i="77"/>
  <c r="E18" i="77"/>
  <c r="E44" i="77"/>
  <c r="J44" i="77" s="1"/>
  <c r="E48" i="77"/>
  <c r="J48" i="77" s="1"/>
  <c r="E15" i="77"/>
  <c r="E25" i="77"/>
  <c r="V103" i="77"/>
  <c r="Y103" i="77" s="1"/>
  <c r="E43" i="77"/>
  <c r="J43" i="77" s="1"/>
  <c r="E47" i="77"/>
  <c r="J47" i="77" s="1"/>
  <c r="D91" i="77"/>
  <c r="E16" i="77"/>
  <c r="E12" i="77"/>
  <c r="E22" i="77"/>
  <c r="E41" i="77"/>
  <c r="E45" i="77"/>
  <c r="J45" i="77" s="1"/>
  <c r="E49" i="77"/>
  <c r="J49" i="77" s="1"/>
  <c r="E19" i="77"/>
  <c r="E13" i="77"/>
  <c r="E42" i="77"/>
  <c r="J42" i="77" s="1"/>
  <c r="Y96" i="76"/>
  <c r="E18" i="76"/>
  <c r="E20" i="76"/>
  <c r="E21" i="76"/>
  <c r="E24" i="76"/>
  <c r="E14" i="76"/>
  <c r="E27" i="76"/>
  <c r="Y83" i="76"/>
  <c r="Y103" i="76"/>
  <c r="E44" i="76"/>
  <c r="J44" i="76" s="1"/>
  <c r="E48" i="76"/>
  <c r="J48" i="76" s="1"/>
  <c r="V70" i="76"/>
  <c r="V85" i="76"/>
  <c r="E15" i="76"/>
  <c r="E25" i="76"/>
  <c r="E12" i="76"/>
  <c r="T12" i="76" s="1"/>
  <c r="X12" i="76" s="1"/>
  <c r="Y12" i="76" s="1"/>
  <c r="E22" i="76"/>
  <c r="V71" i="76"/>
  <c r="X97" i="76"/>
  <c r="Y97" i="76" s="1"/>
  <c r="E43" i="76"/>
  <c r="J43" i="76" s="1"/>
  <c r="E47" i="76"/>
  <c r="J47" i="76" s="1"/>
  <c r="D91" i="76"/>
  <c r="E16" i="76"/>
  <c r="E26" i="76"/>
  <c r="E41" i="76"/>
  <c r="E45" i="76"/>
  <c r="J45" i="76" s="1"/>
  <c r="E49" i="76"/>
  <c r="J49" i="76" s="1"/>
  <c r="E19" i="76"/>
  <c r="E13" i="76"/>
  <c r="E42" i="76"/>
  <c r="J42" i="76" s="1"/>
  <c r="I84" i="75"/>
  <c r="J84" i="75" s="1"/>
  <c r="Y96" i="75"/>
  <c r="T28" i="75"/>
  <c r="T52" i="75" s="1"/>
  <c r="X53" i="75" s="1"/>
  <c r="Y16" i="75"/>
  <c r="S92" i="75"/>
  <c r="X92" i="75" s="1"/>
  <c r="J103" i="75"/>
  <c r="Y12" i="75"/>
  <c r="S91" i="75"/>
  <c r="X91" i="75" s="1"/>
  <c r="Y14" i="75"/>
  <c r="J97" i="75"/>
  <c r="Y81" i="75"/>
  <c r="X83" i="75" s="1"/>
  <c r="J98" i="75"/>
  <c r="E21" i="75"/>
  <c r="I21" i="75" s="1"/>
  <c r="J21" i="75" s="1"/>
  <c r="V70" i="75"/>
  <c r="V85" i="75"/>
  <c r="E15" i="75"/>
  <c r="I15" i="75" s="1"/>
  <c r="J15" i="75" s="1"/>
  <c r="E25" i="75"/>
  <c r="I25" i="75" s="1"/>
  <c r="J25" i="75" s="1"/>
  <c r="E12" i="75"/>
  <c r="E22" i="75"/>
  <c r="I22" i="75" s="1"/>
  <c r="J22" i="75" s="1"/>
  <c r="V71" i="75"/>
  <c r="V87" i="75"/>
  <c r="X13" i="75"/>
  <c r="Y13" i="75" s="1"/>
  <c r="V83" i="75"/>
  <c r="E44" i="75"/>
  <c r="J44" i="75" s="1"/>
  <c r="E48" i="75"/>
  <c r="J48" i="75" s="1"/>
  <c r="E41" i="75"/>
  <c r="E49" i="75"/>
  <c r="J49" i="75" s="1"/>
  <c r="D91" i="75"/>
  <c r="E45" i="75"/>
  <c r="J45" i="75" s="1"/>
  <c r="E19" i="75"/>
  <c r="I19" i="75" s="1"/>
  <c r="J19" i="75" s="1"/>
  <c r="E16" i="75"/>
  <c r="I16" i="75" s="1"/>
  <c r="E26" i="75"/>
  <c r="I26" i="75" s="1"/>
  <c r="J26" i="75" s="1"/>
  <c r="E13" i="75"/>
  <c r="I13" i="75" s="1"/>
  <c r="J13" i="75" s="1"/>
  <c r="E42" i="75"/>
  <c r="J42" i="75" s="1"/>
  <c r="Y96" i="74"/>
  <c r="J38" i="74"/>
  <c r="T28" i="74"/>
  <c r="T52" i="74" s="1"/>
  <c r="X53" i="74" s="1"/>
  <c r="Y12" i="74"/>
  <c r="S91" i="74"/>
  <c r="X91" i="74" s="1"/>
  <c r="Y14" i="74"/>
  <c r="Y104" i="74"/>
  <c r="Y16" i="74"/>
  <c r="S92" i="74"/>
  <c r="X92" i="74" s="1"/>
  <c r="V87" i="74"/>
  <c r="D90" i="74"/>
  <c r="J98" i="74"/>
  <c r="E21" i="74"/>
  <c r="I21" i="74" s="1"/>
  <c r="J21" i="74" s="1"/>
  <c r="V70" i="74"/>
  <c r="E18" i="74"/>
  <c r="I18" i="74" s="1"/>
  <c r="J18" i="74" s="1"/>
  <c r="E44" i="74"/>
  <c r="J44" i="74" s="1"/>
  <c r="E48" i="74"/>
  <c r="J48" i="74" s="1"/>
  <c r="X13" i="74"/>
  <c r="Y13" i="74" s="1"/>
  <c r="E43" i="74"/>
  <c r="J43" i="74" s="1"/>
  <c r="E47" i="74"/>
  <c r="J47" i="74" s="1"/>
  <c r="E15" i="74"/>
  <c r="I15" i="74" s="1"/>
  <c r="J15" i="74" s="1"/>
  <c r="E25" i="74"/>
  <c r="I25" i="74" s="1"/>
  <c r="J25" i="74" s="1"/>
  <c r="V103" i="74"/>
  <c r="Y103" i="74" s="1"/>
  <c r="D91" i="74"/>
  <c r="E12" i="74"/>
  <c r="E22" i="74"/>
  <c r="I22" i="74" s="1"/>
  <c r="J22" i="74" s="1"/>
  <c r="V71" i="74"/>
  <c r="E41" i="74"/>
  <c r="E45" i="74"/>
  <c r="J45" i="74" s="1"/>
  <c r="E49" i="74"/>
  <c r="J49" i="74" s="1"/>
  <c r="E16" i="74"/>
  <c r="I16" i="74" s="1"/>
  <c r="E26" i="74"/>
  <c r="I26" i="74" s="1"/>
  <c r="J26" i="74" s="1"/>
  <c r="E19" i="74"/>
  <c r="I19" i="74" s="1"/>
  <c r="J19" i="74" s="1"/>
  <c r="E13" i="74"/>
  <c r="I13" i="74" s="1"/>
  <c r="J13" i="74" s="1"/>
  <c r="E42" i="74"/>
  <c r="J42" i="74" s="1"/>
  <c r="Y96" i="73"/>
  <c r="E43" i="73"/>
  <c r="J43" i="73" s="1"/>
  <c r="E47" i="73"/>
  <c r="J47" i="73" s="1"/>
  <c r="J38" i="73"/>
  <c r="T28" i="73"/>
  <c r="T52" i="73" s="1"/>
  <c r="X53" i="73" s="1"/>
  <c r="J103" i="73"/>
  <c r="S92" i="73"/>
  <c r="X92" i="73" s="1"/>
  <c r="Y16" i="73"/>
  <c r="Y14" i="73"/>
  <c r="Y103" i="73"/>
  <c r="S90" i="73"/>
  <c r="Y13" i="73"/>
  <c r="E20" i="73"/>
  <c r="I20" i="73" s="1"/>
  <c r="J20" i="73" s="1"/>
  <c r="X97" i="73"/>
  <c r="Y97" i="73" s="1"/>
  <c r="E17" i="73"/>
  <c r="I17" i="73" s="1"/>
  <c r="J17" i="73" s="1"/>
  <c r="E27" i="73"/>
  <c r="I27" i="73" s="1"/>
  <c r="J27" i="73" s="1"/>
  <c r="V83" i="73"/>
  <c r="E21" i="73"/>
  <c r="I21" i="73" s="1"/>
  <c r="J21" i="73" s="1"/>
  <c r="V70" i="73"/>
  <c r="D90" i="73"/>
  <c r="E18" i="73"/>
  <c r="I18" i="73" s="1"/>
  <c r="J18" i="73" s="1"/>
  <c r="E44" i="73"/>
  <c r="J44" i="73" s="1"/>
  <c r="E48" i="73"/>
  <c r="J48" i="73" s="1"/>
  <c r="J102" i="73"/>
  <c r="E12" i="73"/>
  <c r="E22" i="73"/>
  <c r="I22" i="73" s="1"/>
  <c r="J22" i="73" s="1"/>
  <c r="V71" i="73"/>
  <c r="D91" i="73"/>
  <c r="X15" i="73"/>
  <c r="Y15" i="73" s="1"/>
  <c r="E19" i="73"/>
  <c r="I19" i="73" s="1"/>
  <c r="J19" i="73" s="1"/>
  <c r="V86" i="73"/>
  <c r="E15" i="73"/>
  <c r="I15" i="73" s="1"/>
  <c r="J15" i="73" s="1"/>
  <c r="E25" i="73"/>
  <c r="I25" i="73" s="1"/>
  <c r="J25" i="73" s="1"/>
  <c r="E41" i="73"/>
  <c r="E45" i="73"/>
  <c r="J45" i="73" s="1"/>
  <c r="E49" i="73"/>
  <c r="J49" i="73" s="1"/>
  <c r="E16" i="73"/>
  <c r="I16" i="73" s="1"/>
  <c r="E26" i="73"/>
  <c r="I26" i="73" s="1"/>
  <c r="J26" i="73" s="1"/>
  <c r="E13" i="73"/>
  <c r="I13" i="73" s="1"/>
  <c r="J13" i="73" s="1"/>
  <c r="E42" i="73"/>
  <c r="J42" i="73" s="1"/>
  <c r="Y96" i="72"/>
  <c r="E47" i="72"/>
  <c r="J47" i="72" s="1"/>
  <c r="T28" i="72"/>
  <c r="T61" i="72" s="1"/>
  <c r="X62" i="72" s="1"/>
  <c r="X67" i="72" s="1"/>
  <c r="Y67" i="72" s="1"/>
  <c r="Y12" i="72"/>
  <c r="J103" i="72"/>
  <c r="S91" i="72"/>
  <c r="X91" i="72" s="1"/>
  <c r="Y14" i="72"/>
  <c r="Y103" i="72"/>
  <c r="Y16" i="72"/>
  <c r="S92" i="72"/>
  <c r="X92" i="72" s="1"/>
  <c r="J97" i="72"/>
  <c r="V87" i="72"/>
  <c r="E44" i="72"/>
  <c r="J44" i="72" s="1"/>
  <c r="E48" i="72"/>
  <c r="J48" i="72" s="1"/>
  <c r="J98" i="72"/>
  <c r="I84" i="72"/>
  <c r="J84" i="72" s="1"/>
  <c r="V85" i="72"/>
  <c r="X13" i="72"/>
  <c r="Y13" i="72" s="1"/>
  <c r="E15" i="72"/>
  <c r="I15" i="72" s="1"/>
  <c r="J15" i="72" s="1"/>
  <c r="E25" i="72"/>
  <c r="I25" i="72" s="1"/>
  <c r="J25" i="72" s="1"/>
  <c r="E12" i="72"/>
  <c r="E22" i="72"/>
  <c r="I22" i="72" s="1"/>
  <c r="J22" i="72" s="1"/>
  <c r="V71" i="72"/>
  <c r="D91" i="72"/>
  <c r="E16" i="72"/>
  <c r="I16" i="72" s="1"/>
  <c r="E26" i="72"/>
  <c r="I26" i="72" s="1"/>
  <c r="J26" i="72" s="1"/>
  <c r="E41" i="72"/>
  <c r="E45" i="72"/>
  <c r="J45" i="72" s="1"/>
  <c r="E49" i="72"/>
  <c r="J49" i="72" s="1"/>
  <c r="E19" i="72"/>
  <c r="I19" i="72" s="1"/>
  <c r="J19" i="72" s="1"/>
  <c r="E13" i="72"/>
  <c r="I13" i="72" s="1"/>
  <c r="J13" i="72" s="1"/>
  <c r="E42" i="72"/>
  <c r="J42" i="72" s="1"/>
  <c r="J38" i="71"/>
  <c r="Y96" i="71"/>
  <c r="E18" i="71"/>
  <c r="I18" i="71" s="1"/>
  <c r="J18" i="71" s="1"/>
  <c r="E20" i="71"/>
  <c r="I20" i="71" s="1"/>
  <c r="J20" i="71" s="1"/>
  <c r="E21" i="71"/>
  <c r="I21" i="71" s="1"/>
  <c r="J21" i="71" s="1"/>
  <c r="E24" i="71"/>
  <c r="I24" i="71" s="1"/>
  <c r="J24" i="71" s="1"/>
  <c r="E14" i="71"/>
  <c r="I14" i="71" s="1"/>
  <c r="J14" i="71" s="1"/>
  <c r="E27" i="71"/>
  <c r="I27" i="71" s="1"/>
  <c r="J27" i="71" s="1"/>
  <c r="S92" i="71"/>
  <c r="X92" i="71" s="1"/>
  <c r="Y16" i="71"/>
  <c r="Y83" i="71"/>
  <c r="T28" i="71"/>
  <c r="X13" i="71"/>
  <c r="Y13" i="71" s="1"/>
  <c r="Y50" i="71"/>
  <c r="S91" i="71"/>
  <c r="X91" i="71" s="1"/>
  <c r="Y14" i="71"/>
  <c r="V87" i="71"/>
  <c r="E46" i="71"/>
  <c r="J46" i="71" s="1"/>
  <c r="E42" i="71"/>
  <c r="J42" i="71" s="1"/>
  <c r="E48" i="71"/>
  <c r="J48" i="71" s="1"/>
  <c r="E44" i="71"/>
  <c r="J44" i="71" s="1"/>
  <c r="E49" i="71"/>
  <c r="J49" i="71" s="1"/>
  <c r="E45" i="71"/>
  <c r="J45" i="71" s="1"/>
  <c r="E41" i="71"/>
  <c r="E47" i="71"/>
  <c r="J47" i="71" s="1"/>
  <c r="E43" i="71"/>
  <c r="J43" i="71" s="1"/>
  <c r="I84" i="71"/>
  <c r="J84" i="71" s="1"/>
  <c r="Y12" i="71"/>
  <c r="J103" i="71"/>
  <c r="Y97" i="71"/>
  <c r="E19" i="71"/>
  <c r="I19" i="71" s="1"/>
  <c r="J19" i="71" s="1"/>
  <c r="V85" i="71"/>
  <c r="E12" i="71"/>
  <c r="E22" i="71"/>
  <c r="I22" i="71" s="1"/>
  <c r="J22" i="71" s="1"/>
  <c r="D91" i="71"/>
  <c r="E16" i="71"/>
  <c r="I16" i="71" s="1"/>
  <c r="E26" i="71"/>
  <c r="I26" i="71" s="1"/>
  <c r="J26" i="71" s="1"/>
  <c r="E15" i="71"/>
  <c r="I15" i="71" s="1"/>
  <c r="J15" i="71" s="1"/>
  <c r="E25" i="71"/>
  <c r="I25" i="71" s="1"/>
  <c r="J25" i="71" s="1"/>
  <c r="E13" i="71"/>
  <c r="I13" i="71" s="1"/>
  <c r="J13" i="71" s="1"/>
  <c r="Y96" i="70"/>
  <c r="T28" i="70"/>
  <c r="T58" i="70" s="1"/>
  <c r="X59" i="70" s="1"/>
  <c r="X71" i="70" s="1"/>
  <c r="Y12" i="70"/>
  <c r="Y104" i="70"/>
  <c r="S91" i="70"/>
  <c r="X91" i="70" s="1"/>
  <c r="Y14" i="70"/>
  <c r="S92" i="70"/>
  <c r="X92" i="70" s="1"/>
  <c r="Y16" i="70"/>
  <c r="V87" i="70"/>
  <c r="E44" i="70"/>
  <c r="J44" i="70" s="1"/>
  <c r="E48" i="70"/>
  <c r="J48" i="70" s="1"/>
  <c r="X13" i="70"/>
  <c r="Y13" i="70" s="1"/>
  <c r="V85" i="70"/>
  <c r="E15" i="70"/>
  <c r="I15" i="70" s="1"/>
  <c r="J15" i="70" s="1"/>
  <c r="E25" i="70"/>
  <c r="I25" i="70" s="1"/>
  <c r="J25" i="70" s="1"/>
  <c r="E12" i="70"/>
  <c r="E22" i="70"/>
  <c r="I22" i="70" s="1"/>
  <c r="J22" i="70" s="1"/>
  <c r="V71" i="70"/>
  <c r="X97" i="70"/>
  <c r="Y97" i="70" s="1"/>
  <c r="E43" i="70"/>
  <c r="J43" i="70" s="1"/>
  <c r="E47" i="70"/>
  <c r="J47" i="70" s="1"/>
  <c r="E41" i="70"/>
  <c r="E45" i="70"/>
  <c r="J45" i="70" s="1"/>
  <c r="E49" i="70"/>
  <c r="J49" i="70" s="1"/>
  <c r="D91" i="70"/>
  <c r="E16" i="70"/>
  <c r="I16" i="70" s="1"/>
  <c r="E26" i="70"/>
  <c r="I26" i="70" s="1"/>
  <c r="J26" i="70" s="1"/>
  <c r="E13" i="70"/>
  <c r="I13" i="70" s="1"/>
  <c r="J13" i="70" s="1"/>
  <c r="E42" i="70"/>
  <c r="J42" i="70" s="1"/>
  <c r="Y96" i="69"/>
  <c r="Y83" i="69"/>
  <c r="E46" i="69"/>
  <c r="J46" i="69" s="1"/>
  <c r="E42" i="69"/>
  <c r="J42" i="69" s="1"/>
  <c r="E48" i="69"/>
  <c r="J48" i="69" s="1"/>
  <c r="E44" i="69"/>
  <c r="J44" i="69" s="1"/>
  <c r="E47" i="69"/>
  <c r="J47" i="69" s="1"/>
  <c r="E43" i="69"/>
  <c r="J43" i="69" s="1"/>
  <c r="E49" i="69"/>
  <c r="J49" i="69" s="1"/>
  <c r="E45" i="69"/>
  <c r="J45" i="69" s="1"/>
  <c r="E41" i="69"/>
  <c r="Y50" i="69"/>
  <c r="T20" i="69"/>
  <c r="X20" i="69" s="1"/>
  <c r="Y20" i="69" s="1"/>
  <c r="J103" i="69"/>
  <c r="I23" i="69"/>
  <c r="J23" i="69" s="1"/>
  <c r="V87" i="69"/>
  <c r="V85" i="69"/>
  <c r="E12" i="69"/>
  <c r="E22" i="69"/>
  <c r="D91" i="69"/>
  <c r="E16" i="69"/>
  <c r="E26" i="69"/>
  <c r="I27" i="69"/>
  <c r="J27" i="69" s="1"/>
  <c r="T21" i="69"/>
  <c r="X21" i="69" s="1"/>
  <c r="Y21" i="69" s="1"/>
  <c r="E15" i="69"/>
  <c r="E25" i="69"/>
  <c r="E19" i="69"/>
  <c r="E13" i="69"/>
  <c r="Y96" i="68"/>
  <c r="E20" i="68"/>
  <c r="I20" i="68" s="1"/>
  <c r="J20" i="68" s="1"/>
  <c r="E21" i="68"/>
  <c r="T21" i="68" s="1"/>
  <c r="X21" i="68" s="1"/>
  <c r="Y21" i="68" s="1"/>
  <c r="E24" i="68"/>
  <c r="I24" i="68" s="1"/>
  <c r="J24" i="68" s="1"/>
  <c r="E27" i="68"/>
  <c r="T27" i="68" s="1"/>
  <c r="X27" i="68" s="1"/>
  <c r="Y27" i="68" s="1"/>
  <c r="Y104" i="68"/>
  <c r="J103" i="68"/>
  <c r="I23" i="68"/>
  <c r="J23" i="68" s="1"/>
  <c r="T23" i="68"/>
  <c r="X23" i="68" s="1"/>
  <c r="Y23" i="68" s="1"/>
  <c r="J98" i="68"/>
  <c r="V70" i="68"/>
  <c r="E15" i="68"/>
  <c r="E25" i="68"/>
  <c r="V103" i="68"/>
  <c r="Y103" i="68" s="1"/>
  <c r="E12" i="68"/>
  <c r="E22" i="68"/>
  <c r="V71" i="68"/>
  <c r="V87" i="68"/>
  <c r="V83" i="68"/>
  <c r="Y83" i="68" s="1"/>
  <c r="E43" i="68"/>
  <c r="J43" i="68" s="1"/>
  <c r="E47" i="68"/>
  <c r="J47" i="68" s="1"/>
  <c r="D91" i="68"/>
  <c r="E16" i="68"/>
  <c r="E26" i="68"/>
  <c r="E44" i="68"/>
  <c r="J44" i="68" s="1"/>
  <c r="E48" i="68"/>
  <c r="J48" i="68" s="1"/>
  <c r="E41" i="68"/>
  <c r="E45" i="68"/>
  <c r="J45" i="68" s="1"/>
  <c r="E49" i="68"/>
  <c r="J49" i="68" s="1"/>
  <c r="E13" i="68"/>
  <c r="E42" i="68"/>
  <c r="J42" i="68" s="1"/>
  <c r="Y97" i="67"/>
  <c r="J98" i="67"/>
  <c r="I128" i="56" s="1"/>
  <c r="Y96" i="67"/>
  <c r="E21" i="67"/>
  <c r="I21" i="67" s="1"/>
  <c r="J21" i="67" s="1"/>
  <c r="E24" i="67"/>
  <c r="I24" i="67" s="1"/>
  <c r="J24" i="67" s="1"/>
  <c r="E27" i="67"/>
  <c r="T27" i="67" s="1"/>
  <c r="X27" i="67" s="1"/>
  <c r="Y27" i="67" s="1"/>
  <c r="E46" i="67"/>
  <c r="J46" i="67" s="1"/>
  <c r="E42" i="67"/>
  <c r="J42" i="67" s="1"/>
  <c r="E48" i="67"/>
  <c r="J48" i="67" s="1"/>
  <c r="E44" i="67"/>
  <c r="J44" i="67" s="1"/>
  <c r="E49" i="67"/>
  <c r="J49" i="67" s="1"/>
  <c r="E45" i="67"/>
  <c r="J45" i="67" s="1"/>
  <c r="E41" i="67"/>
  <c r="E47" i="67"/>
  <c r="J47" i="67" s="1"/>
  <c r="E43" i="67"/>
  <c r="J43" i="67" s="1"/>
  <c r="Y83" i="67"/>
  <c r="Y50" i="67"/>
  <c r="J103" i="67"/>
  <c r="I23" i="67"/>
  <c r="J23" i="67" s="1"/>
  <c r="V85" i="67"/>
  <c r="E12" i="67"/>
  <c r="E22" i="67"/>
  <c r="D91" i="67"/>
  <c r="E16" i="67"/>
  <c r="E26" i="67"/>
  <c r="E15" i="67"/>
  <c r="E25" i="67"/>
  <c r="E19" i="67"/>
  <c r="E13" i="67"/>
  <c r="J98" i="66"/>
  <c r="E18" i="66"/>
  <c r="E21" i="66"/>
  <c r="E22" i="66"/>
  <c r="Y104" i="66"/>
  <c r="J103" i="66"/>
  <c r="E46" i="66"/>
  <c r="J46" i="66" s="1"/>
  <c r="E42" i="66"/>
  <c r="J42" i="66" s="1"/>
  <c r="E49" i="66"/>
  <c r="J49" i="66" s="1"/>
  <c r="E45" i="66"/>
  <c r="J45" i="66" s="1"/>
  <c r="E41" i="66"/>
  <c r="E48" i="66"/>
  <c r="J48" i="66" s="1"/>
  <c r="E44" i="66"/>
  <c r="J44" i="66" s="1"/>
  <c r="E47" i="66"/>
  <c r="J47" i="66" s="1"/>
  <c r="E43" i="66"/>
  <c r="J43" i="66" s="1"/>
  <c r="Y83" i="66"/>
  <c r="Y97" i="66"/>
  <c r="Y50" i="66"/>
  <c r="V87" i="66"/>
  <c r="E15" i="66"/>
  <c r="E25" i="66"/>
  <c r="V103" i="66"/>
  <c r="Y103" i="66" s="1"/>
  <c r="E19" i="66"/>
  <c r="V86" i="66"/>
  <c r="D91" i="66"/>
  <c r="E16" i="66"/>
  <c r="E26" i="66"/>
  <c r="E13" i="66"/>
  <c r="Y96" i="65"/>
  <c r="J38" i="65"/>
  <c r="E24" i="65"/>
  <c r="I24" i="65" s="1"/>
  <c r="J24" i="65" s="1"/>
  <c r="T28" i="65"/>
  <c r="T52" i="65" s="1"/>
  <c r="X53" i="65" s="1"/>
  <c r="E17" i="65"/>
  <c r="I17" i="65" s="1"/>
  <c r="J17" i="65" s="1"/>
  <c r="E18" i="65"/>
  <c r="I18" i="65" s="1"/>
  <c r="J18" i="65" s="1"/>
  <c r="Y97" i="65"/>
  <c r="S92" i="65"/>
  <c r="X92" i="65" s="1"/>
  <c r="Y16" i="65"/>
  <c r="Y12" i="65"/>
  <c r="S91" i="65"/>
  <c r="X91" i="65" s="1"/>
  <c r="Y14" i="65"/>
  <c r="J103" i="65"/>
  <c r="D91" i="65"/>
  <c r="V87" i="65"/>
  <c r="J98" i="65"/>
  <c r="E44" i="65"/>
  <c r="J44" i="65" s="1"/>
  <c r="E48" i="65"/>
  <c r="J48" i="65" s="1"/>
  <c r="E19" i="65"/>
  <c r="I19" i="65" s="1"/>
  <c r="J19" i="65" s="1"/>
  <c r="E16" i="65"/>
  <c r="I16" i="65" s="1"/>
  <c r="E26" i="65"/>
  <c r="I26" i="65" s="1"/>
  <c r="J26" i="65" s="1"/>
  <c r="X13" i="65"/>
  <c r="Y13" i="65" s="1"/>
  <c r="E43" i="65"/>
  <c r="J43" i="65" s="1"/>
  <c r="E47" i="65"/>
  <c r="J47" i="65" s="1"/>
  <c r="V85" i="65"/>
  <c r="E22" i="65"/>
  <c r="I22" i="65" s="1"/>
  <c r="J22" i="65" s="1"/>
  <c r="E41" i="65"/>
  <c r="E45" i="65"/>
  <c r="J45" i="65" s="1"/>
  <c r="E49" i="65"/>
  <c r="J49" i="65" s="1"/>
  <c r="E15" i="65"/>
  <c r="I15" i="65" s="1"/>
  <c r="J15" i="65" s="1"/>
  <c r="E25" i="65"/>
  <c r="I25" i="65" s="1"/>
  <c r="J25" i="65" s="1"/>
  <c r="E12" i="65"/>
  <c r="E13" i="65"/>
  <c r="I13" i="65" s="1"/>
  <c r="J13" i="65" s="1"/>
  <c r="E42" i="65"/>
  <c r="J42" i="65" s="1"/>
  <c r="E17" i="64"/>
  <c r="T17" i="64" s="1"/>
  <c r="X17" i="64" s="1"/>
  <c r="Y17" i="64" s="1"/>
  <c r="Y102" i="64"/>
  <c r="I84" i="64"/>
  <c r="J84" i="64" s="1"/>
  <c r="D90" i="64"/>
  <c r="E18" i="64"/>
  <c r="T18" i="64" s="1"/>
  <c r="X18" i="64" s="1"/>
  <c r="Y18" i="64" s="1"/>
  <c r="E20" i="64"/>
  <c r="T20" i="64" s="1"/>
  <c r="X20" i="64" s="1"/>
  <c r="Y20" i="64" s="1"/>
  <c r="E24" i="64"/>
  <c r="I24" i="64" s="1"/>
  <c r="J24" i="64" s="1"/>
  <c r="E27" i="64"/>
  <c r="T27" i="64" s="1"/>
  <c r="X27" i="64" s="1"/>
  <c r="Y27" i="64" s="1"/>
  <c r="J46" i="64"/>
  <c r="Y50" i="64"/>
  <c r="J102" i="64"/>
  <c r="D92" i="64"/>
  <c r="Y96" i="64"/>
  <c r="J103" i="64"/>
  <c r="I23" i="64"/>
  <c r="J23" i="64" s="1"/>
  <c r="T23" i="64"/>
  <c r="X23" i="64" s="1"/>
  <c r="Y23" i="64" s="1"/>
  <c r="J97" i="64"/>
  <c r="J98" i="64"/>
  <c r="E21" i="64"/>
  <c r="V70" i="64"/>
  <c r="T14" i="64"/>
  <c r="X14" i="64" s="1"/>
  <c r="T24" i="64"/>
  <c r="X24" i="64" s="1"/>
  <c r="Y24" i="64" s="1"/>
  <c r="V85" i="64"/>
  <c r="E12" i="64"/>
  <c r="E22" i="64"/>
  <c r="V71" i="64"/>
  <c r="V83" i="64"/>
  <c r="Y83" i="64" s="1"/>
  <c r="E43" i="64"/>
  <c r="J43" i="64" s="1"/>
  <c r="E47" i="64"/>
  <c r="J47" i="64" s="1"/>
  <c r="D91" i="64"/>
  <c r="E44" i="64"/>
  <c r="J44" i="64" s="1"/>
  <c r="E48" i="64"/>
  <c r="J48" i="64" s="1"/>
  <c r="E16" i="64"/>
  <c r="E26" i="64"/>
  <c r="E15" i="64"/>
  <c r="E25" i="64"/>
  <c r="E41" i="64"/>
  <c r="E45" i="64"/>
  <c r="J45" i="64" s="1"/>
  <c r="E49" i="64"/>
  <c r="J49" i="64" s="1"/>
  <c r="E19" i="64"/>
  <c r="E13" i="64"/>
  <c r="E42" i="64"/>
  <c r="J42" i="64" s="1"/>
  <c r="Y38" i="63"/>
  <c r="Y97" i="63"/>
  <c r="J98" i="63"/>
  <c r="Y96" i="63"/>
  <c r="E46" i="63"/>
  <c r="J46" i="63" s="1"/>
  <c r="E42" i="63"/>
  <c r="J42" i="63" s="1"/>
  <c r="E49" i="63"/>
  <c r="J49" i="63" s="1"/>
  <c r="E45" i="63"/>
  <c r="J45" i="63" s="1"/>
  <c r="E41" i="63"/>
  <c r="E48" i="63"/>
  <c r="J48" i="63" s="1"/>
  <c r="E44" i="63"/>
  <c r="J44" i="63" s="1"/>
  <c r="E47" i="63"/>
  <c r="J47" i="63" s="1"/>
  <c r="E43" i="63"/>
  <c r="J43" i="63" s="1"/>
  <c r="Y83" i="63"/>
  <c r="Y104" i="63"/>
  <c r="Y50" i="63"/>
  <c r="D92" i="63"/>
  <c r="E14" i="63"/>
  <c r="E24" i="63"/>
  <c r="E21" i="63"/>
  <c r="V70" i="63"/>
  <c r="D90" i="63"/>
  <c r="E18" i="63"/>
  <c r="E15" i="63"/>
  <c r="E25" i="63"/>
  <c r="V103" i="63"/>
  <c r="Y103" i="63" s="1"/>
  <c r="E19" i="63"/>
  <c r="E12" i="63"/>
  <c r="E22" i="63"/>
  <c r="D91" i="63"/>
  <c r="E16" i="63"/>
  <c r="E26" i="63"/>
  <c r="E13" i="63"/>
  <c r="Y38" i="62"/>
  <c r="Y97" i="62"/>
  <c r="J98" i="62"/>
  <c r="Y96" i="62"/>
  <c r="D45" i="56"/>
  <c r="C45" i="56"/>
  <c r="Y83" i="62"/>
  <c r="E46" i="62"/>
  <c r="J46" i="62" s="1"/>
  <c r="E42" i="62"/>
  <c r="J42" i="62" s="1"/>
  <c r="E48" i="62"/>
  <c r="J48" i="62" s="1"/>
  <c r="E44" i="62"/>
  <c r="J44" i="62" s="1"/>
  <c r="E47" i="62"/>
  <c r="J47" i="62" s="1"/>
  <c r="E43" i="62"/>
  <c r="J43" i="62" s="1"/>
  <c r="E49" i="62"/>
  <c r="J49" i="62" s="1"/>
  <c r="E45" i="62"/>
  <c r="J45" i="62" s="1"/>
  <c r="E41" i="62"/>
  <c r="Y50" i="62"/>
  <c r="V87" i="62"/>
  <c r="V85" i="62"/>
  <c r="E12" i="62"/>
  <c r="E22" i="62"/>
  <c r="D91" i="62"/>
  <c r="E16" i="62"/>
  <c r="E26" i="62"/>
  <c r="E15" i="62"/>
  <c r="E25" i="62"/>
  <c r="E19" i="62"/>
  <c r="E13" i="62"/>
  <c r="Y96" i="61"/>
  <c r="Y96" i="59"/>
  <c r="E43" i="61"/>
  <c r="J43" i="61" s="1"/>
  <c r="E21" i="61"/>
  <c r="Y31" i="61"/>
  <c r="Y32" i="61" s="1"/>
  <c r="J103" i="61"/>
  <c r="Y50" i="61"/>
  <c r="Y103" i="61"/>
  <c r="J104" i="61"/>
  <c r="X97" i="61"/>
  <c r="Y97" i="61" s="1"/>
  <c r="E17" i="61"/>
  <c r="E27" i="61"/>
  <c r="V83" i="61"/>
  <c r="Y83" i="61" s="1"/>
  <c r="E44" i="61"/>
  <c r="J44" i="61" s="1"/>
  <c r="E48" i="61"/>
  <c r="J48" i="61" s="1"/>
  <c r="D91" i="61"/>
  <c r="E16" i="61"/>
  <c r="E26" i="61"/>
  <c r="V85" i="61"/>
  <c r="E12" i="61"/>
  <c r="T12" i="61" s="1"/>
  <c r="X12" i="61" s="1"/>
  <c r="Y12" i="61" s="1"/>
  <c r="E22" i="61"/>
  <c r="E41" i="61"/>
  <c r="E45" i="61"/>
  <c r="J45" i="61" s="1"/>
  <c r="E49" i="61"/>
  <c r="J49" i="61" s="1"/>
  <c r="E19" i="61"/>
  <c r="E15" i="61"/>
  <c r="E25" i="61"/>
  <c r="E13" i="61"/>
  <c r="E42" i="61"/>
  <c r="J42" i="61" s="1"/>
  <c r="E24" i="60"/>
  <c r="I24" i="60" s="1"/>
  <c r="J24" i="60" s="1"/>
  <c r="T28" i="60"/>
  <c r="T58" i="60" s="1"/>
  <c r="X59" i="60" s="1"/>
  <c r="X71" i="60" s="1"/>
  <c r="E17" i="60"/>
  <c r="I17" i="60" s="1"/>
  <c r="J17" i="60" s="1"/>
  <c r="S91" i="60"/>
  <c r="X91" i="60" s="1"/>
  <c r="Y14" i="60"/>
  <c r="Y103" i="60"/>
  <c r="Y31" i="60"/>
  <c r="Y32" i="60" s="1"/>
  <c r="J103" i="60"/>
  <c r="S92" i="60"/>
  <c r="X92" i="60" s="1"/>
  <c r="Y16" i="60"/>
  <c r="Y12" i="60"/>
  <c r="E44" i="60"/>
  <c r="J44" i="60" s="1"/>
  <c r="E48" i="60"/>
  <c r="J48" i="60" s="1"/>
  <c r="E15" i="60"/>
  <c r="I15" i="60" s="1"/>
  <c r="J15" i="60" s="1"/>
  <c r="E25" i="60"/>
  <c r="I25" i="60" s="1"/>
  <c r="J25" i="60" s="1"/>
  <c r="X97" i="60"/>
  <c r="Y97" i="60" s="1"/>
  <c r="X13" i="60"/>
  <c r="Y13" i="60" s="1"/>
  <c r="E43" i="60"/>
  <c r="J43" i="60" s="1"/>
  <c r="E47" i="60"/>
  <c r="J47" i="60" s="1"/>
  <c r="E12" i="60"/>
  <c r="E22" i="60"/>
  <c r="I22" i="60" s="1"/>
  <c r="J22" i="60" s="1"/>
  <c r="V71" i="60"/>
  <c r="D91" i="60"/>
  <c r="E41" i="60"/>
  <c r="E45" i="60"/>
  <c r="J45" i="60" s="1"/>
  <c r="E49" i="60"/>
  <c r="J49" i="60" s="1"/>
  <c r="E19" i="60"/>
  <c r="I19" i="60" s="1"/>
  <c r="J19" i="60" s="1"/>
  <c r="E16" i="60"/>
  <c r="I16" i="60" s="1"/>
  <c r="E26" i="60"/>
  <c r="I26" i="60" s="1"/>
  <c r="J26" i="60" s="1"/>
  <c r="E13" i="60"/>
  <c r="I13" i="60" s="1"/>
  <c r="J13" i="60" s="1"/>
  <c r="E42" i="60"/>
  <c r="J42" i="60" s="1"/>
  <c r="Y38" i="59"/>
  <c r="E12" i="59"/>
  <c r="I12" i="59" s="1"/>
  <c r="J12" i="59" s="1"/>
  <c r="E14" i="59"/>
  <c r="I14" i="59" s="1"/>
  <c r="J14" i="59" s="1"/>
  <c r="E15" i="59"/>
  <c r="T15" i="59" s="1"/>
  <c r="X15" i="59" s="1"/>
  <c r="Y15" i="59" s="1"/>
  <c r="E17" i="59"/>
  <c r="I17" i="59" s="1"/>
  <c r="J17" i="59" s="1"/>
  <c r="E18" i="59"/>
  <c r="I23" i="59"/>
  <c r="J23" i="59" s="1"/>
  <c r="E24" i="59"/>
  <c r="I24" i="59" s="1"/>
  <c r="J24" i="59" s="1"/>
  <c r="E21" i="59"/>
  <c r="I21" i="59" s="1"/>
  <c r="J21" i="59" s="1"/>
  <c r="E25" i="59"/>
  <c r="T25" i="59" s="1"/>
  <c r="X25" i="59" s="1"/>
  <c r="Y25" i="59" s="1"/>
  <c r="E19" i="59"/>
  <c r="T19" i="59" s="1"/>
  <c r="X19" i="59" s="1"/>
  <c r="Y19" i="59" s="1"/>
  <c r="E20" i="59"/>
  <c r="T20" i="59" s="1"/>
  <c r="X20" i="59" s="1"/>
  <c r="Y20" i="59" s="1"/>
  <c r="E22" i="59"/>
  <c r="I22" i="59" s="1"/>
  <c r="J22" i="59" s="1"/>
  <c r="E27" i="59"/>
  <c r="T27" i="59" s="1"/>
  <c r="X27" i="59" s="1"/>
  <c r="Y27" i="59" s="1"/>
  <c r="E46" i="59"/>
  <c r="J46" i="59" s="1"/>
  <c r="E42" i="59"/>
  <c r="J42" i="59" s="1"/>
  <c r="E49" i="59"/>
  <c r="J49" i="59" s="1"/>
  <c r="E45" i="59"/>
  <c r="J45" i="59" s="1"/>
  <c r="E41" i="59"/>
  <c r="E47" i="59"/>
  <c r="J47" i="59" s="1"/>
  <c r="E43" i="59"/>
  <c r="J43" i="59" s="1"/>
  <c r="E48" i="59"/>
  <c r="J48" i="59" s="1"/>
  <c r="E44" i="59"/>
  <c r="J44" i="59" s="1"/>
  <c r="Y50" i="59"/>
  <c r="J103" i="59"/>
  <c r="I84" i="59"/>
  <c r="J84" i="59" s="1"/>
  <c r="Y83" i="59"/>
  <c r="T17" i="59"/>
  <c r="X17" i="59" s="1"/>
  <c r="Y17" i="59" s="1"/>
  <c r="T21" i="59"/>
  <c r="X21" i="59" s="1"/>
  <c r="Y21" i="59" s="1"/>
  <c r="T14" i="59"/>
  <c r="X14" i="59" s="1"/>
  <c r="T24" i="59"/>
  <c r="X24" i="59" s="1"/>
  <c r="Y24" i="59" s="1"/>
  <c r="T12" i="59"/>
  <c r="V86" i="59"/>
  <c r="D91" i="59"/>
  <c r="E16" i="59"/>
  <c r="E26" i="59"/>
  <c r="E13" i="59"/>
  <c r="J38" i="58"/>
  <c r="Y103" i="58"/>
  <c r="Y83" i="58"/>
  <c r="J103" i="58"/>
  <c r="J98" i="58"/>
  <c r="D90" i="58"/>
  <c r="E44" i="58"/>
  <c r="J44" i="58" s="1"/>
  <c r="E48" i="58"/>
  <c r="J48" i="58" s="1"/>
  <c r="V71" i="58"/>
  <c r="E43" i="58"/>
  <c r="J43" i="58" s="1"/>
  <c r="E47" i="58"/>
  <c r="J47" i="58" s="1"/>
  <c r="E45" i="58"/>
  <c r="J45" i="58" s="1"/>
  <c r="D91" i="58"/>
  <c r="E41" i="58"/>
  <c r="E49" i="58"/>
  <c r="J49" i="58" s="1"/>
  <c r="E42" i="58"/>
  <c r="J42" i="58" s="1"/>
  <c r="T17" i="63" l="1"/>
  <c r="X17" i="63" s="1"/>
  <c r="Y17" i="63" s="1"/>
  <c r="J44" i="101"/>
  <c r="J43" i="101"/>
  <c r="X28" i="84"/>
  <c r="V33" i="84" s="1"/>
  <c r="T24" i="62"/>
  <c r="X24" i="62" s="1"/>
  <c r="Y24" i="62" s="1"/>
  <c r="I21" i="62"/>
  <c r="J21" i="62" s="1"/>
  <c r="V33" i="98"/>
  <c r="T55" i="98"/>
  <c r="V33" i="93"/>
  <c r="T55" i="93"/>
  <c r="I18" i="102"/>
  <c r="J18" i="102" s="1"/>
  <c r="V33" i="104"/>
  <c r="T55" i="104"/>
  <c r="V33" i="90"/>
  <c r="T55" i="90"/>
  <c r="V33" i="78"/>
  <c r="T55" i="78"/>
  <c r="I17" i="69"/>
  <c r="J17" i="69" s="1"/>
  <c r="V33" i="99"/>
  <c r="T55" i="99"/>
  <c r="T20" i="63"/>
  <c r="X20" i="63" s="1"/>
  <c r="Y20" i="63" s="1"/>
  <c r="T14" i="61"/>
  <c r="X14" i="61" s="1"/>
  <c r="Y14" i="61" s="1"/>
  <c r="Y83" i="73"/>
  <c r="Y31" i="58"/>
  <c r="Y32" i="58" s="1"/>
  <c r="J32" i="86"/>
  <c r="Y31" i="62"/>
  <c r="Y32" i="62" s="1"/>
  <c r="J32" i="92"/>
  <c r="J32" i="70"/>
  <c r="Y31" i="76"/>
  <c r="Y32" i="76" s="1"/>
  <c r="J32" i="98"/>
  <c r="J32" i="74"/>
  <c r="J32" i="63"/>
  <c r="J32" i="68"/>
  <c r="J32" i="81"/>
  <c r="J32" i="72"/>
  <c r="Y31" i="101"/>
  <c r="Y32" i="101" s="1"/>
  <c r="T58" i="103"/>
  <c r="X59" i="103" s="1"/>
  <c r="X71" i="103" s="1"/>
  <c r="Y71" i="103" s="1"/>
  <c r="T52" i="103"/>
  <c r="X53" i="103" s="1"/>
  <c r="X87" i="103" s="1"/>
  <c r="Y87" i="103" s="1"/>
  <c r="T61" i="103"/>
  <c r="X62" i="103" s="1"/>
  <c r="X67" i="103" s="1"/>
  <c r="Y67" i="103" s="1"/>
  <c r="I21" i="102"/>
  <c r="J21" i="102" s="1"/>
  <c r="I20" i="102"/>
  <c r="J20" i="102" s="1"/>
  <c r="T14" i="101"/>
  <c r="X14" i="101" s="1"/>
  <c r="Y14" i="101" s="1"/>
  <c r="T64" i="95"/>
  <c r="X65" i="95" s="1"/>
  <c r="X70" i="95" s="1"/>
  <c r="Y70" i="95" s="1"/>
  <c r="T58" i="95"/>
  <c r="X59" i="95" s="1"/>
  <c r="X71" i="95" s="1"/>
  <c r="Y71" i="95" s="1"/>
  <c r="T61" i="94"/>
  <c r="X62" i="94" s="1"/>
  <c r="X67" i="94" s="1"/>
  <c r="Y67" i="94" s="1"/>
  <c r="T58" i="94"/>
  <c r="X59" i="94" s="1"/>
  <c r="X71" i="94" s="1"/>
  <c r="Y71" i="94" s="1"/>
  <c r="T52" i="94"/>
  <c r="X53" i="94" s="1"/>
  <c r="X87" i="94" s="1"/>
  <c r="Y87" i="94" s="1"/>
  <c r="T64" i="89"/>
  <c r="X65" i="89" s="1"/>
  <c r="X70" i="89" s="1"/>
  <c r="Y70" i="89" s="1"/>
  <c r="T58" i="89"/>
  <c r="X59" i="89" s="1"/>
  <c r="X71" i="89" s="1"/>
  <c r="Y71" i="89" s="1"/>
  <c r="S90" i="88"/>
  <c r="X90" i="88" s="1"/>
  <c r="Y93" i="88" s="1"/>
  <c r="T61" i="85"/>
  <c r="X62" i="85" s="1"/>
  <c r="X67" i="85" s="1"/>
  <c r="Y67" i="85" s="1"/>
  <c r="T52" i="85"/>
  <c r="X53" i="85" s="1"/>
  <c r="X87" i="85" s="1"/>
  <c r="Y87" i="85" s="1"/>
  <c r="T64" i="82"/>
  <c r="X65" i="82" s="1"/>
  <c r="X70" i="82" s="1"/>
  <c r="Y70" i="82" s="1"/>
  <c r="T61" i="82"/>
  <c r="X62" i="82" s="1"/>
  <c r="X67" i="82" s="1"/>
  <c r="Y67" i="82" s="1"/>
  <c r="T58" i="82"/>
  <c r="X59" i="82" s="1"/>
  <c r="X71" i="82" s="1"/>
  <c r="Y71" i="82" s="1"/>
  <c r="T64" i="81"/>
  <c r="X65" i="81" s="1"/>
  <c r="X70" i="81" s="1"/>
  <c r="Y70" i="81" s="1"/>
  <c r="T58" i="81"/>
  <c r="X59" i="81" s="1"/>
  <c r="X71" i="81" s="1"/>
  <c r="Y71" i="81" s="1"/>
  <c r="I14" i="69"/>
  <c r="J14" i="69" s="1"/>
  <c r="T20" i="68"/>
  <c r="X20" i="68" s="1"/>
  <c r="Y20" i="68" s="1"/>
  <c r="T14" i="66"/>
  <c r="X14" i="66" s="1"/>
  <c r="Y14" i="66" s="1"/>
  <c r="T27" i="66"/>
  <c r="X27" i="66" s="1"/>
  <c r="Y27" i="66" s="1"/>
  <c r="I18" i="62"/>
  <c r="J18" i="62" s="1"/>
  <c r="J32" i="65"/>
  <c r="J32" i="75"/>
  <c r="T61" i="81"/>
  <c r="X62" i="81" s="1"/>
  <c r="X67" i="81" s="1"/>
  <c r="Y67" i="81" s="1"/>
  <c r="I24" i="77"/>
  <c r="J24" i="77" s="1"/>
  <c r="T58" i="73"/>
  <c r="X59" i="73" s="1"/>
  <c r="X71" i="73" s="1"/>
  <c r="Y71" i="73" s="1"/>
  <c r="T52" i="72"/>
  <c r="X53" i="72" s="1"/>
  <c r="X69" i="72" s="1"/>
  <c r="T58" i="72"/>
  <c r="X59" i="72" s="1"/>
  <c r="X71" i="72" s="1"/>
  <c r="Y71" i="72" s="1"/>
  <c r="I24" i="69"/>
  <c r="J24" i="69" s="1"/>
  <c r="I17" i="68"/>
  <c r="J17" i="68" s="1"/>
  <c r="I18" i="68"/>
  <c r="J18" i="68" s="1"/>
  <c r="I19" i="68"/>
  <c r="J19" i="68" s="1"/>
  <c r="I27" i="68"/>
  <c r="J27" i="68" s="1"/>
  <c r="T12" i="66"/>
  <c r="X12" i="66" s="1"/>
  <c r="Y12" i="66" s="1"/>
  <c r="X28" i="65"/>
  <c r="S90" i="65"/>
  <c r="X90" i="65" s="1"/>
  <c r="Y93" i="65" s="1"/>
  <c r="I18" i="64"/>
  <c r="J18" i="64" s="1"/>
  <c r="I20" i="64"/>
  <c r="J20" i="64" s="1"/>
  <c r="I27" i="64"/>
  <c r="J27" i="64" s="1"/>
  <c r="T27" i="63"/>
  <c r="X27" i="63" s="1"/>
  <c r="Y27" i="63" s="1"/>
  <c r="T20" i="62"/>
  <c r="X20" i="62" s="1"/>
  <c r="Y20" i="62" s="1"/>
  <c r="T14" i="62"/>
  <c r="X14" i="62" s="1"/>
  <c r="Y14" i="62" s="1"/>
  <c r="Y31" i="96"/>
  <c r="Y32" i="96" s="1"/>
  <c r="T20" i="101"/>
  <c r="X20" i="101" s="1"/>
  <c r="Y20" i="101" s="1"/>
  <c r="J32" i="99"/>
  <c r="J105" i="68"/>
  <c r="J32" i="82"/>
  <c r="Y31" i="85"/>
  <c r="Y32" i="85" s="1"/>
  <c r="Y31" i="97"/>
  <c r="Y32" i="97" s="1"/>
  <c r="J32" i="90"/>
  <c r="J32" i="88"/>
  <c r="Y31" i="94"/>
  <c r="Y32" i="94" s="1"/>
  <c r="J32" i="105"/>
  <c r="J32" i="73"/>
  <c r="J105" i="97"/>
  <c r="J32" i="69"/>
  <c r="J105" i="69"/>
  <c r="J32" i="100"/>
  <c r="J105" i="81"/>
  <c r="J105" i="62"/>
  <c r="J32" i="67"/>
  <c r="Y83" i="87"/>
  <c r="J105" i="75"/>
  <c r="T21" i="101"/>
  <c r="X21" i="101" s="1"/>
  <c r="Y21" i="101" s="1"/>
  <c r="T24" i="101"/>
  <c r="X24" i="101" s="1"/>
  <c r="Y24" i="101" s="1"/>
  <c r="J32" i="89"/>
  <c r="J32" i="87"/>
  <c r="Y31" i="80"/>
  <c r="Y32" i="80" s="1"/>
  <c r="J105" i="70"/>
  <c r="J105" i="67"/>
  <c r="J32" i="84"/>
  <c r="J105" i="92"/>
  <c r="Y102" i="78"/>
  <c r="Y105" i="78" s="1"/>
  <c r="J32" i="104"/>
  <c r="J105" i="71"/>
  <c r="J105" i="94"/>
  <c r="J105" i="59"/>
  <c r="J32" i="64"/>
  <c r="J32" i="78"/>
  <c r="J32" i="79"/>
  <c r="J32" i="59"/>
  <c r="J105" i="96"/>
  <c r="Y102" i="61"/>
  <c r="Y105" i="61" s="1"/>
  <c r="J105" i="74"/>
  <c r="Y102" i="103"/>
  <c r="Y105" i="103" s="1"/>
  <c r="Y102" i="100"/>
  <c r="Y105" i="100" s="1"/>
  <c r="J105" i="82"/>
  <c r="J32" i="95"/>
  <c r="J32" i="103"/>
  <c r="J105" i="63"/>
  <c r="J105" i="89"/>
  <c r="J32" i="93"/>
  <c r="J105" i="101"/>
  <c r="J105" i="104"/>
  <c r="J105" i="86"/>
  <c r="J105" i="65"/>
  <c r="Y102" i="104"/>
  <c r="Y105" i="104" s="1"/>
  <c r="Y83" i="74"/>
  <c r="J32" i="83"/>
  <c r="J105" i="83"/>
  <c r="Y105" i="98"/>
  <c r="T64" i="72"/>
  <c r="X65" i="72" s="1"/>
  <c r="X70" i="72" s="1"/>
  <c r="Y70" i="72" s="1"/>
  <c r="X28" i="71"/>
  <c r="V33" i="71" s="1"/>
  <c r="S90" i="71"/>
  <c r="X90" i="71" s="1"/>
  <c r="Y93" i="71" s="1"/>
  <c r="J105" i="58"/>
  <c r="I20" i="67"/>
  <c r="J20" i="67" s="1"/>
  <c r="I17" i="67"/>
  <c r="J17" i="67" s="1"/>
  <c r="I27" i="67"/>
  <c r="J27" i="67" s="1"/>
  <c r="T14" i="67"/>
  <c r="X14" i="67" s="1"/>
  <c r="Y14" i="67" s="1"/>
  <c r="I18" i="67"/>
  <c r="J18" i="67" s="1"/>
  <c r="I20" i="59"/>
  <c r="J20" i="59" s="1"/>
  <c r="J105" i="102"/>
  <c r="J105" i="80"/>
  <c r="J105" i="100"/>
  <c r="J105" i="90"/>
  <c r="J105" i="87"/>
  <c r="Y102" i="90"/>
  <c r="Y105" i="90" s="1"/>
  <c r="J105" i="77"/>
  <c r="J105" i="60"/>
  <c r="Y102" i="58"/>
  <c r="Y105" i="58" s="1"/>
  <c r="J105" i="99"/>
  <c r="Y105" i="69"/>
  <c r="Y102" i="97"/>
  <c r="Y105" i="97" s="1"/>
  <c r="Y102" i="94"/>
  <c r="Y105" i="94" s="1"/>
  <c r="Y102" i="82"/>
  <c r="Y105" i="82" s="1"/>
  <c r="Y102" i="63"/>
  <c r="Y105" i="63" s="1"/>
  <c r="J105" i="61"/>
  <c r="J32" i="66"/>
  <c r="J105" i="91"/>
  <c r="J105" i="79"/>
  <c r="J105" i="93"/>
  <c r="J105" i="78"/>
  <c r="J105" i="84"/>
  <c r="J105" i="98"/>
  <c r="J105" i="85"/>
  <c r="J105" i="66"/>
  <c r="Y83" i="81"/>
  <c r="T52" i="95"/>
  <c r="X53" i="95" s="1"/>
  <c r="X69" i="95" s="1"/>
  <c r="T64" i="88"/>
  <c r="X65" i="88" s="1"/>
  <c r="X70" i="88" s="1"/>
  <c r="Y70" i="88" s="1"/>
  <c r="T61" i="88"/>
  <c r="X62" i="88" s="1"/>
  <c r="X67" i="88" s="1"/>
  <c r="Y67" i="88" s="1"/>
  <c r="T58" i="88"/>
  <c r="X59" i="88" s="1"/>
  <c r="X71" i="88" s="1"/>
  <c r="Y71" i="88" s="1"/>
  <c r="B91" i="80"/>
  <c r="I91" i="80" s="1"/>
  <c r="I14" i="77"/>
  <c r="J14" i="77" s="1"/>
  <c r="I20" i="77"/>
  <c r="J20" i="77" s="1"/>
  <c r="T61" i="73"/>
  <c r="X62" i="73" s="1"/>
  <c r="X67" i="73" s="1"/>
  <c r="Y67" i="73" s="1"/>
  <c r="T64" i="73"/>
  <c r="X65" i="73" s="1"/>
  <c r="X70" i="73" s="1"/>
  <c r="Y70" i="73" s="1"/>
  <c r="T52" i="70"/>
  <c r="X53" i="70" s="1"/>
  <c r="X87" i="70" s="1"/>
  <c r="Y87" i="70" s="1"/>
  <c r="T64" i="70"/>
  <c r="X65" i="70" s="1"/>
  <c r="X70" i="70" s="1"/>
  <c r="Y70" i="70" s="1"/>
  <c r="T61" i="70"/>
  <c r="X62" i="70" s="1"/>
  <c r="X67" i="70" s="1"/>
  <c r="Y67" i="70" s="1"/>
  <c r="I18" i="69"/>
  <c r="J18" i="69" s="1"/>
  <c r="T14" i="68"/>
  <c r="X14" i="68" s="1"/>
  <c r="Y14" i="68" s="1"/>
  <c r="T21" i="67"/>
  <c r="X21" i="67" s="1"/>
  <c r="Y21" i="67" s="1"/>
  <c r="T64" i="65"/>
  <c r="X65" i="65" s="1"/>
  <c r="X70" i="65" s="1"/>
  <c r="Y70" i="65" s="1"/>
  <c r="I27" i="62"/>
  <c r="J27" i="62" s="1"/>
  <c r="I17" i="62"/>
  <c r="J17" i="62" s="1"/>
  <c r="Y102" i="88"/>
  <c r="Y105" i="88" s="1"/>
  <c r="J105" i="88"/>
  <c r="Y28" i="89"/>
  <c r="Y33" i="89" s="1"/>
  <c r="Y102" i="89"/>
  <c r="Y104" i="89"/>
  <c r="T61" i="89"/>
  <c r="X62" i="89" s="1"/>
  <c r="X67" i="89" s="1"/>
  <c r="Y67" i="89" s="1"/>
  <c r="B91" i="103"/>
  <c r="I91" i="103" s="1"/>
  <c r="J105" i="103"/>
  <c r="J105" i="105"/>
  <c r="Y102" i="105"/>
  <c r="Y104" i="105"/>
  <c r="Y31" i="102"/>
  <c r="Y32" i="102" s="1"/>
  <c r="J32" i="102"/>
  <c r="Y102" i="102"/>
  <c r="Y105" i="102" s="1"/>
  <c r="I25" i="101"/>
  <c r="J25" i="101" s="1"/>
  <c r="T25" i="101"/>
  <c r="X25" i="101" s="1"/>
  <c r="Y25" i="101" s="1"/>
  <c r="I26" i="101"/>
  <c r="J26" i="101" s="1"/>
  <c r="T26" i="101"/>
  <c r="X26" i="101" s="1"/>
  <c r="Y26" i="101" s="1"/>
  <c r="I16" i="101"/>
  <c r="T16" i="101"/>
  <c r="X16" i="101" s="1"/>
  <c r="I13" i="101"/>
  <c r="J13" i="101" s="1"/>
  <c r="T13" i="101"/>
  <c r="I17" i="101"/>
  <c r="J17" i="101" s="1"/>
  <c r="T17" i="101"/>
  <c r="X17" i="101" s="1"/>
  <c r="Y17" i="101" s="1"/>
  <c r="I22" i="101"/>
  <c r="J22" i="101" s="1"/>
  <c r="T22" i="101"/>
  <c r="X22" i="101" s="1"/>
  <c r="Y22" i="101" s="1"/>
  <c r="I27" i="101"/>
  <c r="J27" i="101" s="1"/>
  <c r="T27" i="101"/>
  <c r="X27" i="101" s="1"/>
  <c r="Y27" i="101" s="1"/>
  <c r="I19" i="101"/>
  <c r="J19" i="101" s="1"/>
  <c r="T19" i="101"/>
  <c r="X19" i="101" s="1"/>
  <c r="Y19" i="101" s="1"/>
  <c r="I15" i="101"/>
  <c r="J15" i="101" s="1"/>
  <c r="T15" i="101"/>
  <c r="X15" i="101" s="1"/>
  <c r="I18" i="101"/>
  <c r="J18" i="101" s="1"/>
  <c r="T18" i="101"/>
  <c r="X18" i="101" s="1"/>
  <c r="Y18" i="101" s="1"/>
  <c r="T58" i="100"/>
  <c r="X59" i="100" s="1"/>
  <c r="X71" i="100" s="1"/>
  <c r="Y71" i="100" s="1"/>
  <c r="T52" i="100"/>
  <c r="X53" i="100" s="1"/>
  <c r="X87" i="100" s="1"/>
  <c r="Y87" i="100" s="1"/>
  <c r="T64" i="100"/>
  <c r="X65" i="100" s="1"/>
  <c r="X70" i="100" s="1"/>
  <c r="Y70" i="100" s="1"/>
  <c r="X28" i="96"/>
  <c r="J105" i="95"/>
  <c r="Y102" i="93"/>
  <c r="Y105" i="93" s="1"/>
  <c r="Y28" i="92"/>
  <c r="Y33" i="92" s="1"/>
  <c r="X28" i="92"/>
  <c r="T61" i="87"/>
  <c r="X62" i="87" s="1"/>
  <c r="X67" i="87" s="1"/>
  <c r="Y67" i="87" s="1"/>
  <c r="T64" i="87"/>
  <c r="X65" i="87" s="1"/>
  <c r="X70" i="87" s="1"/>
  <c r="Y70" i="87" s="1"/>
  <c r="T58" i="87"/>
  <c r="X59" i="87" s="1"/>
  <c r="X71" i="87" s="1"/>
  <c r="Y71" i="87" s="1"/>
  <c r="Y102" i="87"/>
  <c r="Y105" i="87" s="1"/>
  <c r="T61" i="86"/>
  <c r="X62" i="86" s="1"/>
  <c r="X67" i="86" s="1"/>
  <c r="Y67" i="86" s="1"/>
  <c r="T64" i="86"/>
  <c r="X65" i="86" s="1"/>
  <c r="X70" i="86" s="1"/>
  <c r="Y70" i="86" s="1"/>
  <c r="Y102" i="85"/>
  <c r="Y104" i="85"/>
  <c r="S90" i="84"/>
  <c r="X90" i="84" s="1"/>
  <c r="Y93" i="84" s="1"/>
  <c r="Y102" i="84"/>
  <c r="Y105" i="84" s="1"/>
  <c r="Y102" i="83"/>
  <c r="Y105" i="83" s="1"/>
  <c r="Y102" i="81"/>
  <c r="Y104" i="81"/>
  <c r="S90" i="80"/>
  <c r="X90" i="80" s="1"/>
  <c r="Y93" i="80" s="1"/>
  <c r="T61" i="80"/>
  <c r="X62" i="80" s="1"/>
  <c r="X67" i="80" s="1"/>
  <c r="Y67" i="80" s="1"/>
  <c r="T58" i="80"/>
  <c r="X59" i="80" s="1"/>
  <c r="X71" i="80" s="1"/>
  <c r="Y71" i="80" s="1"/>
  <c r="X28" i="80"/>
  <c r="T64" i="80"/>
  <c r="X65" i="80" s="1"/>
  <c r="X70" i="80" s="1"/>
  <c r="Y70" i="80" s="1"/>
  <c r="Y83" i="80"/>
  <c r="Y102" i="79"/>
  <c r="Y104" i="79"/>
  <c r="I15" i="76"/>
  <c r="J15" i="76" s="1"/>
  <c r="T15" i="76"/>
  <c r="X15" i="76" s="1"/>
  <c r="Y15" i="76" s="1"/>
  <c r="I26" i="76"/>
  <c r="J26" i="76" s="1"/>
  <c r="T26" i="76"/>
  <c r="X26" i="76" s="1"/>
  <c r="Y26" i="76" s="1"/>
  <c r="I13" i="76"/>
  <c r="J13" i="76" s="1"/>
  <c r="T13" i="76"/>
  <c r="I18" i="76"/>
  <c r="J18" i="76" s="1"/>
  <c r="T18" i="76"/>
  <c r="X18" i="76" s="1"/>
  <c r="Y18" i="76" s="1"/>
  <c r="I17" i="76"/>
  <c r="J17" i="76" s="1"/>
  <c r="T17" i="76"/>
  <c r="X17" i="76" s="1"/>
  <c r="Y17" i="76" s="1"/>
  <c r="J105" i="76"/>
  <c r="I14" i="76"/>
  <c r="J14" i="76" s="1"/>
  <c r="T14" i="76"/>
  <c r="X14" i="76" s="1"/>
  <c r="I21" i="76"/>
  <c r="J21" i="76" s="1"/>
  <c r="T21" i="76"/>
  <c r="X21" i="76" s="1"/>
  <c r="Y21" i="76" s="1"/>
  <c r="I20" i="76"/>
  <c r="J20" i="76" s="1"/>
  <c r="T20" i="76"/>
  <c r="X20" i="76" s="1"/>
  <c r="Y20" i="76" s="1"/>
  <c r="I16" i="76"/>
  <c r="J16" i="76" s="1"/>
  <c r="T16" i="76"/>
  <c r="X16" i="76" s="1"/>
  <c r="I22" i="76"/>
  <c r="J22" i="76" s="1"/>
  <c r="T22" i="76"/>
  <c r="X22" i="76" s="1"/>
  <c r="Y22" i="76" s="1"/>
  <c r="I19" i="76"/>
  <c r="J19" i="76" s="1"/>
  <c r="T19" i="76"/>
  <c r="X19" i="76" s="1"/>
  <c r="Y19" i="76" s="1"/>
  <c r="I24" i="76"/>
  <c r="J24" i="76" s="1"/>
  <c r="T24" i="76"/>
  <c r="X24" i="76" s="1"/>
  <c r="Y24" i="76" s="1"/>
  <c r="I25" i="76"/>
  <c r="J25" i="76" s="1"/>
  <c r="T25" i="76"/>
  <c r="X25" i="76" s="1"/>
  <c r="Y25" i="76" s="1"/>
  <c r="I27" i="76"/>
  <c r="J27" i="76" s="1"/>
  <c r="T27" i="76"/>
  <c r="X27" i="76" s="1"/>
  <c r="Y27" i="76" s="1"/>
  <c r="T64" i="74"/>
  <c r="X65" i="74" s="1"/>
  <c r="X70" i="74" s="1"/>
  <c r="Y70" i="74" s="1"/>
  <c r="T61" i="74"/>
  <c r="X62" i="74" s="1"/>
  <c r="X67" i="74" s="1"/>
  <c r="Y67" i="74" s="1"/>
  <c r="T58" i="74"/>
  <c r="X59" i="74" s="1"/>
  <c r="X71" i="74" s="1"/>
  <c r="Y71" i="74" s="1"/>
  <c r="J105" i="72"/>
  <c r="S90" i="72"/>
  <c r="X90" i="72" s="1"/>
  <c r="Y93" i="72" s="1"/>
  <c r="X28" i="72"/>
  <c r="J32" i="71"/>
  <c r="Y102" i="70"/>
  <c r="Y105" i="70" s="1"/>
  <c r="T24" i="68"/>
  <c r="X24" i="68" s="1"/>
  <c r="Y24" i="68" s="1"/>
  <c r="I21" i="68"/>
  <c r="J21" i="68" s="1"/>
  <c r="T24" i="67"/>
  <c r="X24" i="67" s="1"/>
  <c r="Y24" i="67" s="1"/>
  <c r="Y102" i="67"/>
  <c r="Y105" i="67" s="1"/>
  <c r="I19" i="66"/>
  <c r="J19" i="66" s="1"/>
  <c r="T19" i="66"/>
  <c r="X19" i="66" s="1"/>
  <c r="Y19" i="66" s="1"/>
  <c r="I24" i="66"/>
  <c r="J24" i="66" s="1"/>
  <c r="T24" i="66"/>
  <c r="X24" i="66" s="1"/>
  <c r="Y24" i="66" s="1"/>
  <c r="I25" i="66"/>
  <c r="J25" i="66" s="1"/>
  <c r="T25" i="66"/>
  <c r="X25" i="66" s="1"/>
  <c r="Y25" i="66" s="1"/>
  <c r="I26" i="66"/>
  <c r="J26" i="66" s="1"/>
  <c r="T26" i="66"/>
  <c r="X26" i="66" s="1"/>
  <c r="Y26" i="66" s="1"/>
  <c r="I17" i="66"/>
  <c r="J17" i="66" s="1"/>
  <c r="T17" i="66"/>
  <c r="X17" i="66" s="1"/>
  <c r="Y17" i="66" s="1"/>
  <c r="I13" i="66"/>
  <c r="J13" i="66" s="1"/>
  <c r="T13" i="66"/>
  <c r="X13" i="66" s="1"/>
  <c r="Y13" i="66" s="1"/>
  <c r="I16" i="66"/>
  <c r="J16" i="66" s="1"/>
  <c r="T16" i="66"/>
  <c r="X16" i="66" s="1"/>
  <c r="I22" i="66"/>
  <c r="J22" i="66" s="1"/>
  <c r="T22" i="66"/>
  <c r="X22" i="66" s="1"/>
  <c r="Y22" i="66" s="1"/>
  <c r="I15" i="66"/>
  <c r="T15" i="66"/>
  <c r="X15" i="66" s="1"/>
  <c r="Y15" i="66" s="1"/>
  <c r="I21" i="66"/>
  <c r="J21" i="66" s="1"/>
  <c r="T21" i="66"/>
  <c r="X21" i="66" s="1"/>
  <c r="Y21" i="66" s="1"/>
  <c r="I20" i="66"/>
  <c r="J20" i="66" s="1"/>
  <c r="T20" i="66"/>
  <c r="X20" i="66" s="1"/>
  <c r="Y20" i="66" s="1"/>
  <c r="I18" i="66"/>
  <c r="J18" i="66" s="1"/>
  <c r="T18" i="66"/>
  <c r="X18" i="66" s="1"/>
  <c r="Y18" i="66" s="1"/>
  <c r="Y102" i="65"/>
  <c r="Y104" i="65"/>
  <c r="T58" i="65"/>
  <c r="X59" i="65" s="1"/>
  <c r="X71" i="65" s="1"/>
  <c r="Y71" i="65" s="1"/>
  <c r="T61" i="65"/>
  <c r="X62" i="65" s="1"/>
  <c r="X67" i="65" s="1"/>
  <c r="Y67" i="65" s="1"/>
  <c r="Y28" i="65"/>
  <c r="Y33" i="65" s="1"/>
  <c r="J105" i="64"/>
  <c r="I17" i="64"/>
  <c r="J17" i="64" s="1"/>
  <c r="Y102" i="62"/>
  <c r="Y105" i="62" s="1"/>
  <c r="I21" i="61"/>
  <c r="J21" i="61" s="1"/>
  <c r="T21" i="61"/>
  <c r="X21" i="61" s="1"/>
  <c r="Y21" i="61" s="1"/>
  <c r="I25" i="61"/>
  <c r="J25" i="61" s="1"/>
  <c r="T25" i="61"/>
  <c r="X25" i="61" s="1"/>
  <c r="Y25" i="61" s="1"/>
  <c r="I22" i="61"/>
  <c r="J22" i="61" s="1"/>
  <c r="T22" i="61"/>
  <c r="X22" i="61" s="1"/>
  <c r="Y22" i="61" s="1"/>
  <c r="I18" i="61"/>
  <c r="J18" i="61" s="1"/>
  <c r="T18" i="61"/>
  <c r="X18" i="61" s="1"/>
  <c r="Y18" i="61" s="1"/>
  <c r="I27" i="61"/>
  <c r="J27" i="61" s="1"/>
  <c r="T27" i="61"/>
  <c r="X27" i="61" s="1"/>
  <c r="Y27" i="61" s="1"/>
  <c r="I13" i="61"/>
  <c r="J13" i="61" s="1"/>
  <c r="T13" i="61"/>
  <c r="I15" i="61"/>
  <c r="J15" i="61" s="1"/>
  <c r="T15" i="61"/>
  <c r="X15" i="61" s="1"/>
  <c r="Y15" i="61" s="1"/>
  <c r="I19" i="61"/>
  <c r="J19" i="61" s="1"/>
  <c r="T19" i="61"/>
  <c r="X19" i="61" s="1"/>
  <c r="Y19" i="61" s="1"/>
  <c r="I20" i="61"/>
  <c r="J20" i="61" s="1"/>
  <c r="T20" i="61"/>
  <c r="X20" i="61" s="1"/>
  <c r="Y20" i="61" s="1"/>
  <c r="I16" i="61"/>
  <c r="J16" i="61" s="1"/>
  <c r="T16" i="61"/>
  <c r="X16" i="61" s="1"/>
  <c r="I17" i="61"/>
  <c r="J17" i="61" s="1"/>
  <c r="T17" i="61"/>
  <c r="X17" i="61" s="1"/>
  <c r="Y17" i="61" s="1"/>
  <c r="I26" i="61"/>
  <c r="J26" i="61" s="1"/>
  <c r="T26" i="61"/>
  <c r="X26" i="61" s="1"/>
  <c r="Y26" i="61" s="1"/>
  <c r="Y102" i="60"/>
  <c r="Y104" i="60"/>
  <c r="Y102" i="59"/>
  <c r="Y105" i="59" s="1"/>
  <c r="B91" i="105"/>
  <c r="I91" i="105" s="1"/>
  <c r="J41" i="105"/>
  <c r="J50" i="105" s="1"/>
  <c r="E50" i="105"/>
  <c r="T58" i="105"/>
  <c r="X59" i="105" s="1"/>
  <c r="X71" i="105" s="1"/>
  <c r="Y71" i="105" s="1"/>
  <c r="T64" i="105"/>
  <c r="X65" i="105" s="1"/>
  <c r="X70" i="105" s="1"/>
  <c r="Y70" i="105" s="1"/>
  <c r="T52" i="105"/>
  <c r="X53" i="105" s="1"/>
  <c r="T61" i="105"/>
  <c r="X62" i="105" s="1"/>
  <c r="X67" i="105" s="1"/>
  <c r="Y67" i="105" s="1"/>
  <c r="E28" i="105"/>
  <c r="O56" i="54" s="1" a="1"/>
  <c r="O56" i="54" s="1"/>
  <c r="I13" i="105"/>
  <c r="J16" i="105"/>
  <c r="B92" i="105"/>
  <c r="I92" i="105" s="1"/>
  <c r="S90" i="105"/>
  <c r="X28" i="105"/>
  <c r="Y28" i="105"/>
  <c r="Y33" i="105" s="1"/>
  <c r="Y28" i="104"/>
  <c r="Y33" i="104" s="1"/>
  <c r="J16" i="104"/>
  <c r="B92" i="104"/>
  <c r="I92" i="104" s="1"/>
  <c r="I12" i="104"/>
  <c r="E28" i="104"/>
  <c r="O55" i="54" s="1" a="1"/>
  <c r="O55" i="54" s="1"/>
  <c r="X90" i="104"/>
  <c r="Y93" i="104" s="1"/>
  <c r="S93" i="104"/>
  <c r="B91" i="104"/>
  <c r="I91" i="104" s="1"/>
  <c r="J41" i="104"/>
  <c r="J50" i="104" s="1"/>
  <c r="E50" i="104"/>
  <c r="T52" i="104"/>
  <c r="X53" i="104" s="1"/>
  <c r="T58" i="104"/>
  <c r="X59" i="104" s="1"/>
  <c r="X71" i="104" s="1"/>
  <c r="Y71" i="104" s="1"/>
  <c r="T61" i="104"/>
  <c r="X62" i="104" s="1"/>
  <c r="X67" i="104" s="1"/>
  <c r="Y67" i="104" s="1"/>
  <c r="T64" i="104"/>
  <c r="X65" i="104" s="1"/>
  <c r="X70" i="104" s="1"/>
  <c r="Y70" i="104" s="1"/>
  <c r="J16" i="103"/>
  <c r="B92" i="103"/>
  <c r="I92" i="103" s="1"/>
  <c r="E28" i="103"/>
  <c r="O54" i="54" s="1" a="1"/>
  <c r="O54" i="54" s="1"/>
  <c r="I13" i="103"/>
  <c r="X28" i="103"/>
  <c r="S90" i="103"/>
  <c r="Y28" i="103"/>
  <c r="Y33" i="103" s="1"/>
  <c r="E50" i="103"/>
  <c r="J41" i="103"/>
  <c r="J50" i="103" s="1"/>
  <c r="Y14" i="102"/>
  <c r="J41" i="102"/>
  <c r="J50" i="102" s="1"/>
  <c r="E50" i="102"/>
  <c r="I16" i="102"/>
  <c r="T16" i="102"/>
  <c r="X16" i="102" s="1"/>
  <c r="I26" i="102"/>
  <c r="J26" i="102" s="1"/>
  <c r="T26" i="102"/>
  <c r="X26" i="102" s="1"/>
  <c r="Y26" i="102" s="1"/>
  <c r="T22" i="102"/>
  <c r="X22" i="102" s="1"/>
  <c r="Y22" i="102" s="1"/>
  <c r="I22" i="102"/>
  <c r="J22" i="102" s="1"/>
  <c r="T13" i="102"/>
  <c r="X13" i="102" s="1"/>
  <c r="Y13" i="102" s="1"/>
  <c r="I13" i="102"/>
  <c r="J13" i="102" s="1"/>
  <c r="T19" i="102"/>
  <c r="X19" i="102" s="1"/>
  <c r="Y19" i="102" s="1"/>
  <c r="I19" i="102"/>
  <c r="J19" i="102" s="1"/>
  <c r="T12" i="102"/>
  <c r="I12" i="102"/>
  <c r="E28" i="102"/>
  <c r="O53" i="54" s="1" a="1"/>
  <c r="O53" i="54" s="1"/>
  <c r="T25" i="102"/>
  <c r="X25" i="102" s="1"/>
  <c r="Y25" i="102" s="1"/>
  <c r="I25" i="102"/>
  <c r="J25" i="102" s="1"/>
  <c r="T15" i="102"/>
  <c r="X15" i="102" s="1"/>
  <c r="Y15" i="102" s="1"/>
  <c r="I15" i="102"/>
  <c r="E28" i="101"/>
  <c r="O52" i="54" s="1" a="1"/>
  <c r="O52" i="54" s="1"/>
  <c r="I12" i="101"/>
  <c r="Y104" i="101"/>
  <c r="Y102" i="101"/>
  <c r="J41" i="101"/>
  <c r="E50" i="101"/>
  <c r="S90" i="100"/>
  <c r="X90" i="100" s="1"/>
  <c r="Y93" i="100" s="1"/>
  <c r="X28" i="100"/>
  <c r="V33" i="100" s="1"/>
  <c r="X56" i="100" s="1"/>
  <c r="X86" i="100" s="1"/>
  <c r="Y86" i="100" s="1"/>
  <c r="Y28" i="100"/>
  <c r="Y33" i="100" s="1"/>
  <c r="J16" i="100"/>
  <c r="B92" i="100"/>
  <c r="I92" i="100" s="1"/>
  <c r="J41" i="100"/>
  <c r="J50" i="100" s="1"/>
  <c r="E50" i="100"/>
  <c r="B91" i="100"/>
  <c r="I91" i="100" s="1"/>
  <c r="I12" i="100"/>
  <c r="E28" i="100"/>
  <c r="O51" i="54" s="1" a="1"/>
  <c r="O51" i="54" s="1"/>
  <c r="E50" i="99"/>
  <c r="J41" i="99"/>
  <c r="J50" i="99" s="1"/>
  <c r="T64" i="99"/>
  <c r="X65" i="99" s="1"/>
  <c r="X70" i="99" s="1"/>
  <c r="Y70" i="99" s="1"/>
  <c r="T61" i="99"/>
  <c r="X62" i="99" s="1"/>
  <c r="X67" i="99" s="1"/>
  <c r="Y67" i="99" s="1"/>
  <c r="T58" i="99"/>
  <c r="X59" i="99" s="1"/>
  <c r="X71" i="99" s="1"/>
  <c r="Y71" i="99" s="1"/>
  <c r="T52" i="99"/>
  <c r="X53" i="99" s="1"/>
  <c r="I12" i="99"/>
  <c r="E28" i="99"/>
  <c r="O50" i="54" s="1" a="1"/>
  <c r="O50" i="54" s="1"/>
  <c r="Y102" i="99"/>
  <c r="Y104" i="99"/>
  <c r="B91" i="99"/>
  <c r="I91" i="99" s="1"/>
  <c r="J16" i="99"/>
  <c r="B92" i="99"/>
  <c r="I92" i="99" s="1"/>
  <c r="X90" i="99"/>
  <c r="Y93" i="99" s="1"/>
  <c r="S93" i="99"/>
  <c r="Y28" i="99"/>
  <c r="Y33" i="99" s="1"/>
  <c r="T64" i="98"/>
  <c r="X65" i="98" s="1"/>
  <c r="X70" i="98" s="1"/>
  <c r="Y70" i="98" s="1"/>
  <c r="X53" i="98"/>
  <c r="T61" i="98"/>
  <c r="X62" i="98" s="1"/>
  <c r="X67" i="98" s="1"/>
  <c r="Y67" i="98" s="1"/>
  <c r="T58" i="98"/>
  <c r="X59" i="98" s="1"/>
  <c r="X71" i="98" s="1"/>
  <c r="Y71" i="98" s="1"/>
  <c r="B91" i="98"/>
  <c r="I91" i="98" s="1"/>
  <c r="E28" i="98"/>
  <c r="O49" i="54" s="1" a="1"/>
  <c r="O49" i="54" s="1"/>
  <c r="I12" i="98"/>
  <c r="X90" i="98"/>
  <c r="Y93" i="98" s="1"/>
  <c r="S93" i="98"/>
  <c r="J16" i="98"/>
  <c r="B92" i="98"/>
  <c r="I92" i="98" s="1"/>
  <c r="Y28" i="98"/>
  <c r="Y33" i="98" s="1"/>
  <c r="J41" i="98"/>
  <c r="J50" i="98" s="1"/>
  <c r="E50" i="98"/>
  <c r="T64" i="97"/>
  <c r="X65" i="97" s="1"/>
  <c r="X70" i="97" s="1"/>
  <c r="Y70" i="97" s="1"/>
  <c r="T52" i="97"/>
  <c r="X53" i="97" s="1"/>
  <c r="T61" i="97"/>
  <c r="X62" i="97" s="1"/>
  <c r="X67" i="97" s="1"/>
  <c r="Y67" i="97" s="1"/>
  <c r="T58" i="97"/>
  <c r="X59" i="97" s="1"/>
  <c r="X71" i="97" s="1"/>
  <c r="Y71" i="97" s="1"/>
  <c r="B91" i="97"/>
  <c r="I91" i="97" s="1"/>
  <c r="J41" i="97"/>
  <c r="J50" i="97" s="1"/>
  <c r="E50" i="97"/>
  <c r="I12" i="97"/>
  <c r="E28" i="97"/>
  <c r="X90" i="97"/>
  <c r="Y93" i="97" s="1"/>
  <c r="S93" i="97"/>
  <c r="J16" i="97"/>
  <c r="B92" i="97"/>
  <c r="I92" i="97" s="1"/>
  <c r="Y28" i="97"/>
  <c r="B91" i="96"/>
  <c r="I91" i="96" s="1"/>
  <c r="T64" i="96"/>
  <c r="X65" i="96" s="1"/>
  <c r="X70" i="96" s="1"/>
  <c r="Y70" i="96" s="1"/>
  <c r="T61" i="96"/>
  <c r="X62" i="96" s="1"/>
  <c r="X67" i="96" s="1"/>
  <c r="Y67" i="96" s="1"/>
  <c r="T58" i="96"/>
  <c r="X59" i="96" s="1"/>
  <c r="X71" i="96" s="1"/>
  <c r="Y71" i="96" s="1"/>
  <c r="S90" i="96"/>
  <c r="S93" i="96" s="1"/>
  <c r="X87" i="96"/>
  <c r="Y87" i="96" s="1"/>
  <c r="X69" i="96"/>
  <c r="J16" i="96"/>
  <c r="B92" i="96"/>
  <c r="I92" i="96" s="1"/>
  <c r="I12" i="96"/>
  <c r="E28" i="96"/>
  <c r="O47" i="54" s="1" a="1"/>
  <c r="O47" i="54" s="1"/>
  <c r="Y28" i="96"/>
  <c r="Y102" i="96"/>
  <c r="Y105" i="96" s="1"/>
  <c r="J41" i="96"/>
  <c r="J50" i="96" s="1"/>
  <c r="E50" i="96"/>
  <c r="S90" i="95"/>
  <c r="X90" i="95" s="1"/>
  <c r="Y93" i="95" s="1"/>
  <c r="Y104" i="95"/>
  <c r="Y102" i="95"/>
  <c r="J41" i="95"/>
  <c r="J50" i="95" s="1"/>
  <c r="E50" i="95"/>
  <c r="Y28" i="95"/>
  <c r="Y33" i="95" s="1"/>
  <c r="B91" i="95"/>
  <c r="I91" i="95" s="1"/>
  <c r="J16" i="95"/>
  <c r="B92" i="95"/>
  <c r="I92" i="95" s="1"/>
  <c r="X28" i="95"/>
  <c r="I12" i="95"/>
  <c r="E28" i="95"/>
  <c r="O46" i="54" s="1" a="1"/>
  <c r="O46" i="54" s="1"/>
  <c r="J16" i="94"/>
  <c r="B92" i="94"/>
  <c r="I92" i="94" s="1"/>
  <c r="Y28" i="94"/>
  <c r="B91" i="94"/>
  <c r="I91" i="94" s="1"/>
  <c r="E50" i="94"/>
  <c r="J41" i="94"/>
  <c r="J50" i="94" s="1"/>
  <c r="E28" i="94"/>
  <c r="O45" i="54" s="1" a="1"/>
  <c r="O45" i="54" s="1"/>
  <c r="I12" i="94"/>
  <c r="X28" i="94"/>
  <c r="S90" i="94"/>
  <c r="J16" i="93"/>
  <c r="B92" i="93"/>
  <c r="I92" i="93" s="1"/>
  <c r="X90" i="93"/>
  <c r="Y93" i="93" s="1"/>
  <c r="S93" i="93"/>
  <c r="E28" i="93"/>
  <c r="O44" i="54" s="1" a="1"/>
  <c r="O44" i="54" s="1"/>
  <c r="I12" i="93"/>
  <c r="E50" i="93"/>
  <c r="J41" i="93"/>
  <c r="J50" i="93" s="1"/>
  <c r="Y28" i="93"/>
  <c r="Y33" i="93" s="1"/>
  <c r="B91" i="93"/>
  <c r="I91" i="93" s="1"/>
  <c r="T58" i="93"/>
  <c r="X59" i="93" s="1"/>
  <c r="X71" i="93" s="1"/>
  <c r="Y71" i="93" s="1"/>
  <c r="T61" i="93"/>
  <c r="X62" i="93" s="1"/>
  <c r="X67" i="93" s="1"/>
  <c r="Y67" i="93" s="1"/>
  <c r="T64" i="93"/>
  <c r="X65" i="93" s="1"/>
  <c r="X70" i="93" s="1"/>
  <c r="Y70" i="93" s="1"/>
  <c r="T52" i="93"/>
  <c r="X53" i="93" s="1"/>
  <c r="T64" i="92"/>
  <c r="X65" i="92" s="1"/>
  <c r="X70" i="92" s="1"/>
  <c r="Y70" i="92" s="1"/>
  <c r="T58" i="92"/>
  <c r="X59" i="92" s="1"/>
  <c r="X71" i="92" s="1"/>
  <c r="Y71" i="92" s="1"/>
  <c r="T52" i="92"/>
  <c r="X53" i="92" s="1"/>
  <c r="X87" i="92" s="1"/>
  <c r="Y87" i="92" s="1"/>
  <c r="S90" i="92"/>
  <c r="Y104" i="92"/>
  <c r="Y102" i="92"/>
  <c r="J16" i="92"/>
  <c r="B92" i="92"/>
  <c r="I92" i="92" s="1"/>
  <c r="B91" i="92"/>
  <c r="I91" i="92" s="1"/>
  <c r="J41" i="92"/>
  <c r="J50" i="92" s="1"/>
  <c r="E50" i="92"/>
  <c r="I12" i="92"/>
  <c r="E28" i="92"/>
  <c r="O43" i="54" s="1" a="1"/>
  <c r="O43" i="54" s="1"/>
  <c r="T52" i="91"/>
  <c r="X53" i="91" s="1"/>
  <c r="X69" i="91" s="1"/>
  <c r="T64" i="91"/>
  <c r="X65" i="91" s="1"/>
  <c r="X70" i="91" s="1"/>
  <c r="Y70" i="91" s="1"/>
  <c r="T61" i="91"/>
  <c r="X62" i="91" s="1"/>
  <c r="X67" i="91" s="1"/>
  <c r="Y67" i="91" s="1"/>
  <c r="Y71" i="91"/>
  <c r="J16" i="91"/>
  <c r="B92" i="91"/>
  <c r="I92" i="91" s="1"/>
  <c r="B91" i="91"/>
  <c r="I91" i="91" s="1"/>
  <c r="Y104" i="91"/>
  <c r="Y102" i="91"/>
  <c r="J41" i="91"/>
  <c r="J50" i="91" s="1"/>
  <c r="E50" i="91"/>
  <c r="S90" i="91"/>
  <c r="X28" i="91"/>
  <c r="V33" i="91" s="1"/>
  <c r="Y28" i="91"/>
  <c r="Y33" i="91" s="1"/>
  <c r="I12" i="91"/>
  <c r="E28" i="91"/>
  <c r="O42" i="54" s="1" a="1"/>
  <c r="O42" i="54" s="1"/>
  <c r="B91" i="90"/>
  <c r="I91" i="90" s="1"/>
  <c r="X90" i="90"/>
  <c r="Y93" i="90" s="1"/>
  <c r="S93" i="90"/>
  <c r="Y28" i="90"/>
  <c r="Y33" i="90" s="1"/>
  <c r="T64" i="90"/>
  <c r="X65" i="90" s="1"/>
  <c r="X70" i="90" s="1"/>
  <c r="Y70" i="90" s="1"/>
  <c r="T52" i="90"/>
  <c r="X53" i="90" s="1"/>
  <c r="T58" i="90"/>
  <c r="X59" i="90" s="1"/>
  <c r="X71" i="90" s="1"/>
  <c r="Y71" i="90" s="1"/>
  <c r="T61" i="90"/>
  <c r="X62" i="90" s="1"/>
  <c r="X67" i="90" s="1"/>
  <c r="Y67" i="90" s="1"/>
  <c r="J41" i="90"/>
  <c r="J50" i="90" s="1"/>
  <c r="E50" i="90"/>
  <c r="I12" i="90"/>
  <c r="E28" i="90"/>
  <c r="O41" i="54" s="1" a="1"/>
  <c r="O41" i="54" s="1"/>
  <c r="J16" i="90"/>
  <c r="B92" i="90"/>
  <c r="I92" i="90" s="1"/>
  <c r="B91" i="89"/>
  <c r="I91" i="89" s="1"/>
  <c r="J41" i="89"/>
  <c r="J50" i="89" s="1"/>
  <c r="E50" i="89"/>
  <c r="I12" i="89"/>
  <c r="E28" i="89"/>
  <c r="O40" i="54" s="1" a="1"/>
  <c r="O40" i="54" s="1"/>
  <c r="J16" i="89"/>
  <c r="B92" i="89"/>
  <c r="I92" i="89" s="1"/>
  <c r="S90" i="89"/>
  <c r="X28" i="89"/>
  <c r="X87" i="89"/>
  <c r="Y87" i="89" s="1"/>
  <c r="X69" i="89"/>
  <c r="X28" i="88"/>
  <c r="Y28" i="88"/>
  <c r="Y33" i="88" s="1"/>
  <c r="B91" i="88"/>
  <c r="I91" i="88" s="1"/>
  <c r="J16" i="88"/>
  <c r="B92" i="88"/>
  <c r="I92" i="88" s="1"/>
  <c r="X87" i="88"/>
  <c r="Y87" i="88" s="1"/>
  <c r="X69" i="88"/>
  <c r="I12" i="88"/>
  <c r="E28" i="88"/>
  <c r="J41" i="88"/>
  <c r="J50" i="88" s="1"/>
  <c r="E50" i="88"/>
  <c r="B91" i="87"/>
  <c r="I91" i="87" s="1"/>
  <c r="S91" i="87"/>
  <c r="X91" i="87" s="1"/>
  <c r="Y14" i="87"/>
  <c r="Y28" i="87" s="1"/>
  <c r="Y33" i="87" s="1"/>
  <c r="J16" i="87"/>
  <c r="B92" i="87"/>
  <c r="I92" i="87" s="1"/>
  <c r="J41" i="87"/>
  <c r="J50" i="87" s="1"/>
  <c r="E50" i="87"/>
  <c r="X90" i="87"/>
  <c r="X87" i="87"/>
  <c r="Y87" i="87" s="1"/>
  <c r="X69" i="87"/>
  <c r="E28" i="87"/>
  <c r="O38" i="54" s="1" a="1"/>
  <c r="O38" i="54" s="1"/>
  <c r="I12" i="87"/>
  <c r="X28" i="87"/>
  <c r="T58" i="86"/>
  <c r="X59" i="86" s="1"/>
  <c r="X71" i="86" s="1"/>
  <c r="Y71" i="86" s="1"/>
  <c r="B91" i="86"/>
  <c r="I91" i="86" s="1"/>
  <c r="X87" i="86"/>
  <c r="Y87" i="86" s="1"/>
  <c r="X69" i="86"/>
  <c r="Y104" i="86"/>
  <c r="Y102" i="86"/>
  <c r="X28" i="86"/>
  <c r="J41" i="86"/>
  <c r="J50" i="86" s="1"/>
  <c r="E50" i="86"/>
  <c r="S90" i="86"/>
  <c r="E28" i="86"/>
  <c r="O37" i="54" s="1" a="1"/>
  <c r="O37" i="54" s="1"/>
  <c r="I12" i="86"/>
  <c r="J16" i="86"/>
  <c r="B92" i="86"/>
  <c r="I92" i="86" s="1"/>
  <c r="Y28" i="86"/>
  <c r="Y33" i="86" s="1"/>
  <c r="T64" i="85"/>
  <c r="X65" i="85" s="1"/>
  <c r="X70" i="85" s="1"/>
  <c r="Y70" i="85" s="1"/>
  <c r="E50" i="85"/>
  <c r="J41" i="85"/>
  <c r="J50" i="85" s="1"/>
  <c r="X28" i="85"/>
  <c r="B91" i="85"/>
  <c r="I91" i="85" s="1"/>
  <c r="E28" i="85"/>
  <c r="O36" i="54" s="1" a="1"/>
  <c r="O36" i="54" s="1"/>
  <c r="I12" i="85"/>
  <c r="S90" i="85"/>
  <c r="J16" i="85"/>
  <c r="B92" i="85"/>
  <c r="I92" i="85" s="1"/>
  <c r="Y28" i="85"/>
  <c r="T61" i="84"/>
  <c r="X62" i="84" s="1"/>
  <c r="X67" i="84" s="1"/>
  <c r="Y67" i="84" s="1"/>
  <c r="B91" i="84"/>
  <c r="I91" i="84" s="1"/>
  <c r="Y28" i="84"/>
  <c r="Y33" i="84" s="1"/>
  <c r="T52" i="84"/>
  <c r="X53" i="84" s="1"/>
  <c r="X87" i="84" s="1"/>
  <c r="Y87" i="84" s="1"/>
  <c r="T58" i="84"/>
  <c r="X59" i="84" s="1"/>
  <c r="X71" i="84" s="1"/>
  <c r="Y71" i="84" s="1"/>
  <c r="J41" i="84"/>
  <c r="J50" i="84" s="1"/>
  <c r="E50" i="84"/>
  <c r="E28" i="84"/>
  <c r="I12" i="84"/>
  <c r="J16" i="84"/>
  <c r="B92" i="84"/>
  <c r="I92" i="84" s="1"/>
  <c r="B91" i="83"/>
  <c r="I91" i="83" s="1"/>
  <c r="S90" i="83"/>
  <c r="S93" i="83" s="1"/>
  <c r="X28" i="83"/>
  <c r="J16" i="83"/>
  <c r="J28" i="83" s="1"/>
  <c r="B92" i="83"/>
  <c r="I92" i="83" s="1"/>
  <c r="I28" i="83"/>
  <c r="G33" i="83" s="1"/>
  <c r="E56" i="83" s="1"/>
  <c r="E28" i="83"/>
  <c r="O34" i="54" s="1" a="1"/>
  <c r="O34" i="54" s="1"/>
  <c r="B90" i="83"/>
  <c r="Y28" i="83"/>
  <c r="Y33" i="83" s="1"/>
  <c r="T58" i="83"/>
  <c r="X59" i="83" s="1"/>
  <c r="X71" i="83" s="1"/>
  <c r="Y71" i="83" s="1"/>
  <c r="T64" i="83"/>
  <c r="X65" i="83" s="1"/>
  <c r="X70" i="83" s="1"/>
  <c r="Y70" i="83" s="1"/>
  <c r="T52" i="83"/>
  <c r="X53" i="83" s="1"/>
  <c r="T61" i="83"/>
  <c r="X62" i="83" s="1"/>
  <c r="X67" i="83" s="1"/>
  <c r="Y67" i="83" s="1"/>
  <c r="J41" i="83"/>
  <c r="J50" i="83" s="1"/>
  <c r="E50" i="83"/>
  <c r="B91" i="82"/>
  <c r="I91" i="82" s="1"/>
  <c r="J16" i="82"/>
  <c r="B92" i="82"/>
  <c r="I92" i="82" s="1"/>
  <c r="X69" i="82"/>
  <c r="X87" i="82"/>
  <c r="Y87" i="82" s="1"/>
  <c r="Y28" i="82"/>
  <c r="Y33" i="82" s="1"/>
  <c r="S90" i="82"/>
  <c r="J41" i="82"/>
  <c r="J50" i="82" s="1"/>
  <c r="E50" i="82"/>
  <c r="X28" i="82"/>
  <c r="V33" i="82" s="1"/>
  <c r="I12" i="82"/>
  <c r="E28" i="82"/>
  <c r="O33" i="54" s="1" a="1"/>
  <c r="O33" i="54" s="1"/>
  <c r="I12" i="81"/>
  <c r="E28" i="81"/>
  <c r="O32" i="54" s="1" a="1"/>
  <c r="O32" i="54" s="1"/>
  <c r="X28" i="81"/>
  <c r="V33" i="81" s="1"/>
  <c r="X56" i="81" s="1"/>
  <c r="X87" i="81"/>
  <c r="Y87" i="81" s="1"/>
  <c r="X69" i="81"/>
  <c r="J16" i="81"/>
  <c r="B92" i="81"/>
  <c r="I92" i="81" s="1"/>
  <c r="J41" i="81"/>
  <c r="J50" i="81" s="1"/>
  <c r="E50" i="81"/>
  <c r="B91" i="81"/>
  <c r="I91" i="81" s="1"/>
  <c r="S90" i="81"/>
  <c r="Y28" i="81"/>
  <c r="Y33" i="81" s="1"/>
  <c r="I12" i="80"/>
  <c r="E28" i="80"/>
  <c r="O31" i="54" s="1" a="1"/>
  <c r="O31" i="54" s="1"/>
  <c r="Y102" i="80"/>
  <c r="Y105" i="80" s="1"/>
  <c r="Y28" i="80"/>
  <c r="X87" i="80"/>
  <c r="Y87" i="80" s="1"/>
  <c r="X69" i="80"/>
  <c r="J41" i="80"/>
  <c r="J50" i="80" s="1"/>
  <c r="E50" i="80"/>
  <c r="J16" i="80"/>
  <c r="B92" i="80"/>
  <c r="I92" i="80" s="1"/>
  <c r="T52" i="79"/>
  <c r="X53" i="79" s="1"/>
  <c r="X87" i="79" s="1"/>
  <c r="Y87" i="79" s="1"/>
  <c r="T58" i="79"/>
  <c r="X59" i="79" s="1"/>
  <c r="X71" i="79" s="1"/>
  <c r="Y71" i="79" s="1"/>
  <c r="T64" i="79"/>
  <c r="X65" i="79" s="1"/>
  <c r="X70" i="79" s="1"/>
  <c r="Y70" i="79" s="1"/>
  <c r="J16" i="79"/>
  <c r="B92" i="79"/>
  <c r="I92" i="79" s="1"/>
  <c r="Y28" i="79"/>
  <c r="Y33" i="79" s="1"/>
  <c r="X28" i="79"/>
  <c r="B91" i="79"/>
  <c r="I91" i="79" s="1"/>
  <c r="S90" i="79"/>
  <c r="J41" i="79"/>
  <c r="J50" i="79" s="1"/>
  <c r="E50" i="79"/>
  <c r="I12" i="79"/>
  <c r="E28" i="79"/>
  <c r="O30" i="54" s="1" a="1"/>
  <c r="O30" i="54" s="1"/>
  <c r="T52" i="78"/>
  <c r="X53" i="78" s="1"/>
  <c r="T58" i="78"/>
  <c r="X59" i="78" s="1"/>
  <c r="X71" i="78" s="1"/>
  <c r="Y71" i="78" s="1"/>
  <c r="T64" i="78"/>
  <c r="X65" i="78" s="1"/>
  <c r="X70" i="78" s="1"/>
  <c r="Y70" i="78" s="1"/>
  <c r="T61" i="78"/>
  <c r="X62" i="78" s="1"/>
  <c r="X67" i="78" s="1"/>
  <c r="Y67" i="78" s="1"/>
  <c r="I12" i="78"/>
  <c r="E28" i="78"/>
  <c r="O29" i="54" s="1" a="1"/>
  <c r="O29" i="54" s="1"/>
  <c r="X90" i="78"/>
  <c r="Y93" i="78" s="1"/>
  <c r="S93" i="78"/>
  <c r="Y28" i="78"/>
  <c r="Y33" i="78" s="1"/>
  <c r="B91" i="78"/>
  <c r="I91" i="78" s="1"/>
  <c r="J16" i="78"/>
  <c r="B92" i="78"/>
  <c r="I92" i="78" s="1"/>
  <c r="J41" i="78"/>
  <c r="J50" i="78" s="1"/>
  <c r="E50" i="78"/>
  <c r="J41" i="77"/>
  <c r="J50" i="77" s="1"/>
  <c r="E50" i="77"/>
  <c r="T15" i="77"/>
  <c r="X15" i="77" s="1"/>
  <c r="I15" i="77"/>
  <c r="J15" i="77" s="1"/>
  <c r="I22" i="77"/>
  <c r="J22" i="77" s="1"/>
  <c r="T22" i="77"/>
  <c r="X22" i="77" s="1"/>
  <c r="Y22" i="77" s="1"/>
  <c r="I12" i="77"/>
  <c r="E28" i="77"/>
  <c r="O28" i="54" s="1" a="1"/>
  <c r="O28" i="54" s="1"/>
  <c r="Y102" i="77"/>
  <c r="T25" i="77"/>
  <c r="X25" i="77" s="1"/>
  <c r="Y25" i="77" s="1"/>
  <c r="I25" i="77"/>
  <c r="J25" i="77" s="1"/>
  <c r="I27" i="77"/>
  <c r="J27" i="77" s="1"/>
  <c r="T27" i="77"/>
  <c r="X27" i="77" s="1"/>
  <c r="Y27" i="77" s="1"/>
  <c r="I13" i="77"/>
  <c r="J13" i="77" s="1"/>
  <c r="T13" i="77"/>
  <c r="X13" i="77" s="1"/>
  <c r="Y13" i="77" s="1"/>
  <c r="I26" i="77"/>
  <c r="J26" i="77" s="1"/>
  <c r="T26" i="77"/>
  <c r="X26" i="77" s="1"/>
  <c r="Y26" i="77" s="1"/>
  <c r="I17" i="77"/>
  <c r="J17" i="77" s="1"/>
  <c r="T17" i="77"/>
  <c r="X17" i="77" s="1"/>
  <c r="Y17" i="77" s="1"/>
  <c r="I16" i="77"/>
  <c r="T16" i="77"/>
  <c r="X16" i="77" s="1"/>
  <c r="I18" i="77"/>
  <c r="J18" i="77" s="1"/>
  <c r="T18" i="77"/>
  <c r="X18" i="77" s="1"/>
  <c r="Y18" i="77" s="1"/>
  <c r="T19" i="77"/>
  <c r="X19" i="77" s="1"/>
  <c r="Y19" i="77" s="1"/>
  <c r="I19" i="77"/>
  <c r="J19" i="77" s="1"/>
  <c r="T21" i="77"/>
  <c r="X21" i="77" s="1"/>
  <c r="Y21" i="77" s="1"/>
  <c r="I21" i="77"/>
  <c r="J21" i="77" s="1"/>
  <c r="Y104" i="76"/>
  <c r="Y102" i="76"/>
  <c r="I12" i="76"/>
  <c r="E28" i="76"/>
  <c r="O27" i="54" s="1" a="1"/>
  <c r="O27" i="54" s="1"/>
  <c r="J41" i="76"/>
  <c r="J50" i="76" s="1"/>
  <c r="E50" i="76"/>
  <c r="T61" i="75"/>
  <c r="X62" i="75" s="1"/>
  <c r="X67" i="75" s="1"/>
  <c r="Y67" i="75" s="1"/>
  <c r="T64" i="75"/>
  <c r="X65" i="75" s="1"/>
  <c r="X70" i="75" s="1"/>
  <c r="Y70" i="75" s="1"/>
  <c r="T58" i="75"/>
  <c r="X59" i="75" s="1"/>
  <c r="X71" i="75" s="1"/>
  <c r="Y71" i="75" s="1"/>
  <c r="S90" i="75"/>
  <c r="X90" i="75" s="1"/>
  <c r="Y93" i="75" s="1"/>
  <c r="X28" i="75"/>
  <c r="Y28" i="75"/>
  <c r="Y33" i="75" s="1"/>
  <c r="I12" i="75"/>
  <c r="E28" i="75"/>
  <c r="O26" i="54" s="1" a="1"/>
  <c r="O26" i="54" s="1"/>
  <c r="Y104" i="75"/>
  <c r="Y102" i="75"/>
  <c r="Y83" i="75"/>
  <c r="X87" i="75"/>
  <c r="Y87" i="75" s="1"/>
  <c r="X69" i="75"/>
  <c r="B91" i="75"/>
  <c r="I91" i="75" s="1"/>
  <c r="J16" i="75"/>
  <c r="B92" i="75"/>
  <c r="I92" i="75" s="1"/>
  <c r="J41" i="75"/>
  <c r="J50" i="75" s="1"/>
  <c r="E50" i="75"/>
  <c r="J16" i="74"/>
  <c r="B92" i="74"/>
  <c r="I92" i="74" s="1"/>
  <c r="B91" i="74"/>
  <c r="I91" i="74" s="1"/>
  <c r="S90" i="74"/>
  <c r="X28" i="74"/>
  <c r="J41" i="74"/>
  <c r="J50" i="74" s="1"/>
  <c r="E50" i="74"/>
  <c r="I12" i="74"/>
  <c r="E28" i="74"/>
  <c r="O25" i="54" s="1" a="1"/>
  <c r="O25" i="54" s="1"/>
  <c r="Y102" i="74"/>
  <c r="Y105" i="74" s="1"/>
  <c r="X69" i="74"/>
  <c r="X87" i="74"/>
  <c r="Y87" i="74" s="1"/>
  <c r="Y28" i="74"/>
  <c r="Y33" i="74" s="1"/>
  <c r="Y28" i="73"/>
  <c r="Y33" i="73" s="1"/>
  <c r="S91" i="73"/>
  <c r="X91" i="73" s="1"/>
  <c r="X28" i="73"/>
  <c r="J16" i="73"/>
  <c r="B92" i="73"/>
  <c r="I92" i="73" s="1"/>
  <c r="J41" i="73"/>
  <c r="J50" i="73" s="1"/>
  <c r="E50" i="73"/>
  <c r="X87" i="73"/>
  <c r="Y87" i="73" s="1"/>
  <c r="X69" i="73"/>
  <c r="B91" i="73"/>
  <c r="I91" i="73" s="1"/>
  <c r="I12" i="73"/>
  <c r="E28" i="73"/>
  <c r="O24" i="54" s="1" a="1"/>
  <c r="O24" i="54" s="1"/>
  <c r="X90" i="73"/>
  <c r="Y104" i="73"/>
  <c r="Y102" i="73"/>
  <c r="J105" i="73"/>
  <c r="B91" i="72"/>
  <c r="I91" i="72" s="1"/>
  <c r="Y28" i="72"/>
  <c r="Y33" i="72" s="1"/>
  <c r="I12" i="72"/>
  <c r="E28" i="72"/>
  <c r="O23" i="54" s="1" a="1"/>
  <c r="O23" i="54" s="1"/>
  <c r="J41" i="72"/>
  <c r="J50" i="72" s="1"/>
  <c r="E50" i="72"/>
  <c r="J16" i="72"/>
  <c r="B92" i="72"/>
  <c r="I92" i="72" s="1"/>
  <c r="Y102" i="72"/>
  <c r="Y104" i="72"/>
  <c r="Y28" i="71"/>
  <c r="Y33" i="71" s="1"/>
  <c r="J16" i="71"/>
  <c r="B92" i="71"/>
  <c r="I92" i="71" s="1"/>
  <c r="Y102" i="71"/>
  <c r="Y104" i="71"/>
  <c r="B91" i="71"/>
  <c r="I91" i="71" s="1"/>
  <c r="E28" i="71"/>
  <c r="I12" i="71"/>
  <c r="T64" i="71"/>
  <c r="X65" i="71" s="1"/>
  <c r="X70" i="71" s="1"/>
  <c r="Y70" i="71" s="1"/>
  <c r="T52" i="71"/>
  <c r="X53" i="71" s="1"/>
  <c r="T58" i="71"/>
  <c r="X59" i="71" s="1"/>
  <c r="X71" i="71" s="1"/>
  <c r="Y71" i="71" s="1"/>
  <c r="T61" i="71"/>
  <c r="X62" i="71" s="1"/>
  <c r="X67" i="71" s="1"/>
  <c r="Y67" i="71" s="1"/>
  <c r="J41" i="71"/>
  <c r="J50" i="71" s="1"/>
  <c r="E50" i="71"/>
  <c r="Y71" i="70"/>
  <c r="J16" i="70"/>
  <c r="B92" i="70"/>
  <c r="I92" i="70" s="1"/>
  <c r="S90" i="70"/>
  <c r="X28" i="70"/>
  <c r="J41" i="70"/>
  <c r="J50" i="70" s="1"/>
  <c r="E50" i="70"/>
  <c r="Y28" i="70"/>
  <c r="Y33" i="70" s="1"/>
  <c r="B91" i="70"/>
  <c r="I91" i="70" s="1"/>
  <c r="I12" i="70"/>
  <c r="E28" i="70"/>
  <c r="T12" i="69"/>
  <c r="E28" i="69"/>
  <c r="I12" i="69"/>
  <c r="T13" i="69"/>
  <c r="X13" i="69" s="1"/>
  <c r="Y13" i="69" s="1"/>
  <c r="I13" i="69"/>
  <c r="J13" i="69" s="1"/>
  <c r="T19" i="69"/>
  <c r="X19" i="69" s="1"/>
  <c r="Y19" i="69" s="1"/>
  <c r="I19" i="69"/>
  <c r="J19" i="69" s="1"/>
  <c r="T22" i="69"/>
  <c r="X22" i="69" s="1"/>
  <c r="Y22" i="69" s="1"/>
  <c r="I22" i="69"/>
  <c r="J22" i="69" s="1"/>
  <c r="J41" i="69"/>
  <c r="J50" i="69" s="1"/>
  <c r="E50" i="69"/>
  <c r="I15" i="69"/>
  <c r="J15" i="69" s="1"/>
  <c r="T15" i="69"/>
  <c r="X15" i="69" s="1"/>
  <c r="I16" i="69"/>
  <c r="T16" i="69"/>
  <c r="X16" i="69" s="1"/>
  <c r="I25" i="69"/>
  <c r="J25" i="69" s="1"/>
  <c r="T25" i="69"/>
  <c r="X25" i="69" s="1"/>
  <c r="Y25" i="69" s="1"/>
  <c r="I26" i="69"/>
  <c r="J26" i="69" s="1"/>
  <c r="T26" i="69"/>
  <c r="X26" i="69" s="1"/>
  <c r="Y26" i="69" s="1"/>
  <c r="I26" i="68"/>
  <c r="J26" i="68" s="1"/>
  <c r="T26" i="68"/>
  <c r="X26" i="68" s="1"/>
  <c r="Y26" i="68" s="1"/>
  <c r="I13" i="68"/>
  <c r="J13" i="68" s="1"/>
  <c r="T13" i="68"/>
  <c r="X13" i="68" s="1"/>
  <c r="Y13" i="68" s="1"/>
  <c r="Y102" i="68"/>
  <c r="Y105" i="68" s="1"/>
  <c r="J41" i="68"/>
  <c r="J50" i="68" s="1"/>
  <c r="E50" i="68"/>
  <c r="T15" i="68"/>
  <c r="X15" i="68" s="1"/>
  <c r="Y15" i="68" s="1"/>
  <c r="I15" i="68"/>
  <c r="I16" i="68"/>
  <c r="T16" i="68"/>
  <c r="X16" i="68" s="1"/>
  <c r="I22" i="68"/>
  <c r="J22" i="68" s="1"/>
  <c r="T22" i="68"/>
  <c r="X22" i="68" s="1"/>
  <c r="Y22" i="68" s="1"/>
  <c r="I12" i="68"/>
  <c r="T12" i="68"/>
  <c r="E28" i="68"/>
  <c r="T25" i="68"/>
  <c r="X25" i="68" s="1"/>
  <c r="Y25" i="68" s="1"/>
  <c r="I25" i="68"/>
  <c r="J25" i="68" s="1"/>
  <c r="T19" i="67"/>
  <c r="X19" i="67" s="1"/>
  <c r="Y19" i="67" s="1"/>
  <c r="I19" i="67"/>
  <c r="J19" i="67" s="1"/>
  <c r="I25" i="67"/>
  <c r="J25" i="67" s="1"/>
  <c r="T25" i="67"/>
  <c r="X25" i="67" s="1"/>
  <c r="Y25" i="67" s="1"/>
  <c r="I26" i="67"/>
  <c r="J26" i="67" s="1"/>
  <c r="T26" i="67"/>
  <c r="X26" i="67" s="1"/>
  <c r="Y26" i="67" s="1"/>
  <c r="I16" i="67"/>
  <c r="T16" i="67"/>
  <c r="X16" i="67" s="1"/>
  <c r="T22" i="67"/>
  <c r="X22" i="67" s="1"/>
  <c r="Y22" i="67" s="1"/>
  <c r="I22" i="67"/>
  <c r="J22" i="67" s="1"/>
  <c r="T13" i="67"/>
  <c r="X13" i="67" s="1"/>
  <c r="Y13" i="67" s="1"/>
  <c r="I13" i="67"/>
  <c r="J13" i="67" s="1"/>
  <c r="J41" i="67"/>
  <c r="J50" i="67" s="1"/>
  <c r="E50" i="67"/>
  <c r="I15" i="67"/>
  <c r="T15" i="67"/>
  <c r="X15" i="67" s="1"/>
  <c r="Y15" i="67" s="1"/>
  <c r="T12" i="67"/>
  <c r="E28" i="67"/>
  <c r="O17" i="54" s="1" a="1"/>
  <c r="O17" i="54" s="1"/>
  <c r="I12" i="67"/>
  <c r="Y102" i="66"/>
  <c r="Y105" i="66" s="1"/>
  <c r="E28" i="66"/>
  <c r="O16" i="54" s="1" a="1"/>
  <c r="O16" i="54" s="1"/>
  <c r="J41" i="66"/>
  <c r="J50" i="66" s="1"/>
  <c r="E50" i="66"/>
  <c r="E28" i="65"/>
  <c r="O15" i="54" s="1" a="1"/>
  <c r="O15" i="54" s="1"/>
  <c r="I12" i="65"/>
  <c r="J16" i="65"/>
  <c r="B92" i="65"/>
  <c r="I92" i="65" s="1"/>
  <c r="X87" i="65"/>
  <c r="Y87" i="65" s="1"/>
  <c r="X69" i="65"/>
  <c r="J41" i="65"/>
  <c r="J50" i="65" s="1"/>
  <c r="E50" i="65"/>
  <c r="B91" i="65"/>
  <c r="I91" i="65" s="1"/>
  <c r="Y104" i="64"/>
  <c r="Y105" i="64" s="1"/>
  <c r="I13" i="64"/>
  <c r="J13" i="64" s="1"/>
  <c r="T13" i="64"/>
  <c r="X13" i="64" s="1"/>
  <c r="Y13" i="64" s="1"/>
  <c r="I12" i="64"/>
  <c r="E28" i="64"/>
  <c r="O14" i="54" s="1" a="1"/>
  <c r="O14" i="54" s="1"/>
  <c r="T12" i="64"/>
  <c r="T19" i="64"/>
  <c r="X19" i="64" s="1"/>
  <c r="Y19" i="64" s="1"/>
  <c r="I19" i="64"/>
  <c r="J19" i="64" s="1"/>
  <c r="Y14" i="64"/>
  <c r="I26" i="64"/>
  <c r="J26" i="64" s="1"/>
  <c r="T26" i="64"/>
  <c r="X26" i="64" s="1"/>
  <c r="Y26" i="64" s="1"/>
  <c r="I16" i="64"/>
  <c r="T16" i="64"/>
  <c r="X16" i="64" s="1"/>
  <c r="I22" i="64"/>
  <c r="J22" i="64" s="1"/>
  <c r="T22" i="64"/>
  <c r="X22" i="64" s="1"/>
  <c r="Y22" i="64" s="1"/>
  <c r="J41" i="64"/>
  <c r="J50" i="64" s="1"/>
  <c r="E50" i="64"/>
  <c r="T25" i="64"/>
  <c r="X25" i="64" s="1"/>
  <c r="Y25" i="64" s="1"/>
  <c r="I25" i="64"/>
  <c r="J25" i="64" s="1"/>
  <c r="T15" i="64"/>
  <c r="X15" i="64" s="1"/>
  <c r="Y15" i="64" s="1"/>
  <c r="I15" i="64"/>
  <c r="T21" i="64"/>
  <c r="X21" i="64" s="1"/>
  <c r="Y21" i="64" s="1"/>
  <c r="I21" i="64"/>
  <c r="J21" i="64" s="1"/>
  <c r="T13" i="63"/>
  <c r="X13" i="63" s="1"/>
  <c r="Y13" i="63" s="1"/>
  <c r="I13" i="63"/>
  <c r="J13" i="63" s="1"/>
  <c r="T21" i="63"/>
  <c r="X21" i="63" s="1"/>
  <c r="Y21" i="63" s="1"/>
  <c r="I21" i="63"/>
  <c r="J21" i="63" s="1"/>
  <c r="E50" i="63"/>
  <c r="J41" i="63"/>
  <c r="J50" i="63" s="1"/>
  <c r="T18" i="63"/>
  <c r="X18" i="63" s="1"/>
  <c r="Y18" i="63" s="1"/>
  <c r="I18" i="63"/>
  <c r="J18" i="63" s="1"/>
  <c r="I16" i="63"/>
  <c r="T16" i="63"/>
  <c r="X16" i="63" s="1"/>
  <c r="I22" i="63"/>
  <c r="J22" i="63" s="1"/>
  <c r="T22" i="63"/>
  <c r="X22" i="63" s="1"/>
  <c r="Y22" i="63" s="1"/>
  <c r="T25" i="63"/>
  <c r="X25" i="63" s="1"/>
  <c r="Y25" i="63" s="1"/>
  <c r="I25" i="63"/>
  <c r="J25" i="63" s="1"/>
  <c r="T24" i="63"/>
  <c r="X24" i="63" s="1"/>
  <c r="Y24" i="63" s="1"/>
  <c r="I24" i="63"/>
  <c r="J24" i="63" s="1"/>
  <c r="T14" i="63"/>
  <c r="X14" i="63" s="1"/>
  <c r="I14" i="63"/>
  <c r="I26" i="63"/>
  <c r="J26" i="63" s="1"/>
  <c r="T26" i="63"/>
  <c r="X26" i="63" s="1"/>
  <c r="Y26" i="63" s="1"/>
  <c r="I12" i="63"/>
  <c r="T12" i="63"/>
  <c r="E28" i="63"/>
  <c r="O13" i="54" s="1" a="1"/>
  <c r="O13" i="54" s="1"/>
  <c r="T19" i="63"/>
  <c r="X19" i="63" s="1"/>
  <c r="Y19" i="63" s="1"/>
  <c r="I19" i="63"/>
  <c r="J19" i="63" s="1"/>
  <c r="T15" i="63"/>
  <c r="X15" i="63" s="1"/>
  <c r="Y15" i="63" s="1"/>
  <c r="I15" i="63"/>
  <c r="J15" i="63" s="1"/>
  <c r="I16" i="62"/>
  <c r="T16" i="62"/>
  <c r="X16" i="62" s="1"/>
  <c r="T22" i="62"/>
  <c r="X22" i="62" s="1"/>
  <c r="Y22" i="62" s="1"/>
  <c r="I22" i="62"/>
  <c r="J22" i="62" s="1"/>
  <c r="J41" i="62"/>
  <c r="J50" i="62" s="1"/>
  <c r="E50" i="62"/>
  <c r="T13" i="62"/>
  <c r="X13" i="62" s="1"/>
  <c r="Y13" i="62" s="1"/>
  <c r="I13" i="62"/>
  <c r="J13" i="62" s="1"/>
  <c r="T19" i="62"/>
  <c r="X19" i="62" s="1"/>
  <c r="Y19" i="62" s="1"/>
  <c r="I19" i="62"/>
  <c r="J19" i="62" s="1"/>
  <c r="T12" i="62"/>
  <c r="E28" i="62"/>
  <c r="O12" i="54" s="1" a="1"/>
  <c r="O12" i="54" s="1"/>
  <c r="I12" i="62"/>
  <c r="I15" i="62"/>
  <c r="T15" i="62"/>
  <c r="X15" i="62" s="1"/>
  <c r="Y15" i="62" s="1"/>
  <c r="I25" i="62"/>
  <c r="J25" i="62" s="1"/>
  <c r="T25" i="62"/>
  <c r="X25" i="62" s="1"/>
  <c r="Y25" i="62" s="1"/>
  <c r="I26" i="62"/>
  <c r="J26" i="62" s="1"/>
  <c r="T26" i="62"/>
  <c r="X26" i="62" s="1"/>
  <c r="Y26" i="62" s="1"/>
  <c r="J41" i="61"/>
  <c r="J50" i="61" s="1"/>
  <c r="E50" i="61"/>
  <c r="E28" i="61"/>
  <c r="I12" i="61"/>
  <c r="Y71" i="60"/>
  <c r="T64" i="60"/>
  <c r="X65" i="60" s="1"/>
  <c r="X70" i="60" s="1"/>
  <c r="Y70" i="60" s="1"/>
  <c r="T61" i="60"/>
  <c r="X62" i="60" s="1"/>
  <c r="X67" i="60" s="1"/>
  <c r="Y67" i="60" s="1"/>
  <c r="T52" i="60"/>
  <c r="X53" i="60" s="1"/>
  <c r="X69" i="60" s="1"/>
  <c r="B91" i="60"/>
  <c r="I91" i="60" s="1"/>
  <c r="J16" i="60"/>
  <c r="B92" i="60"/>
  <c r="I92" i="60" s="1"/>
  <c r="S90" i="60"/>
  <c r="X28" i="60"/>
  <c r="V33" i="60" s="1"/>
  <c r="J41" i="60"/>
  <c r="J50" i="60" s="1"/>
  <c r="E50" i="60"/>
  <c r="Y28" i="60"/>
  <c r="Y33" i="60" s="1"/>
  <c r="I12" i="60"/>
  <c r="E28" i="60"/>
  <c r="O10" i="54" s="1" a="1"/>
  <c r="O10" i="54" s="1"/>
  <c r="T22" i="59"/>
  <c r="X22" i="59" s="1"/>
  <c r="Y22" i="59" s="1"/>
  <c r="I27" i="59"/>
  <c r="J27" i="59" s="1"/>
  <c r="I18" i="59"/>
  <c r="J18" i="59" s="1"/>
  <c r="T18" i="59"/>
  <c r="X18" i="59" s="1"/>
  <c r="Y18" i="59" s="1"/>
  <c r="I19" i="59"/>
  <c r="J19" i="59" s="1"/>
  <c r="I25" i="59"/>
  <c r="J25" i="59" s="1"/>
  <c r="I15" i="59"/>
  <c r="J15" i="59" s="1"/>
  <c r="X12" i="59"/>
  <c r="Y14" i="59"/>
  <c r="J41" i="59"/>
  <c r="J50" i="59" s="1"/>
  <c r="E50" i="59"/>
  <c r="E28" i="59"/>
  <c r="O9" i="54" s="1" a="1"/>
  <c r="O9" i="54" s="1"/>
  <c r="I13" i="59"/>
  <c r="T13" i="59"/>
  <c r="X13" i="59" s="1"/>
  <c r="Y13" i="59" s="1"/>
  <c r="I26" i="59"/>
  <c r="J26" i="59" s="1"/>
  <c r="T26" i="59"/>
  <c r="X26" i="59" s="1"/>
  <c r="Y26" i="59" s="1"/>
  <c r="I16" i="59"/>
  <c r="T16" i="59"/>
  <c r="X16" i="59" s="1"/>
  <c r="J41" i="58"/>
  <c r="J50" i="58" s="1"/>
  <c r="E50" i="58"/>
  <c r="S93" i="84" l="1"/>
  <c r="B90" i="101"/>
  <c r="X90" i="96"/>
  <c r="Y93" i="96" s="1"/>
  <c r="J50" i="101"/>
  <c r="S93" i="71"/>
  <c r="V33" i="89"/>
  <c r="T55" i="89"/>
  <c r="V33" i="65"/>
  <c r="T55" i="65"/>
  <c r="V33" i="92"/>
  <c r="T55" i="92"/>
  <c r="V33" i="70"/>
  <c r="T55" i="70"/>
  <c r="V33" i="95"/>
  <c r="T55" i="95"/>
  <c r="S93" i="65"/>
  <c r="V33" i="74"/>
  <c r="T55" i="74"/>
  <c r="S93" i="88"/>
  <c r="V33" i="85"/>
  <c r="T55" i="85"/>
  <c r="V33" i="75"/>
  <c r="T55" i="75"/>
  <c r="V33" i="96"/>
  <c r="T55" i="96"/>
  <c r="V33" i="72"/>
  <c r="T55" i="72"/>
  <c r="V33" i="79"/>
  <c r="T55" i="79"/>
  <c r="V33" i="87"/>
  <c r="T55" i="87"/>
  <c r="V33" i="103"/>
  <c r="T55" i="103"/>
  <c r="V33" i="83"/>
  <c r="T55" i="83"/>
  <c r="X56" i="83" s="1"/>
  <c r="V33" i="86"/>
  <c r="T55" i="86"/>
  <c r="V33" i="105"/>
  <c r="T55" i="105"/>
  <c r="V33" i="94"/>
  <c r="R55" i="94"/>
  <c r="V33" i="88"/>
  <c r="T55" i="88"/>
  <c r="V33" i="73"/>
  <c r="T55" i="73"/>
  <c r="Y33" i="96"/>
  <c r="V33" i="80"/>
  <c r="T55" i="80"/>
  <c r="Y33" i="94"/>
  <c r="X69" i="103"/>
  <c r="X69" i="85"/>
  <c r="X69" i="94"/>
  <c r="I57" i="83"/>
  <c r="I85" i="83" s="1"/>
  <c r="J85" i="83" s="1"/>
  <c r="X90" i="83"/>
  <c r="Y93" i="83" s="1"/>
  <c r="X87" i="72"/>
  <c r="Y87" i="72" s="1"/>
  <c r="S93" i="80"/>
  <c r="Y33" i="85"/>
  <c r="Y33" i="97"/>
  <c r="Y33" i="80"/>
  <c r="B92" i="101"/>
  <c r="I92" i="101" s="1"/>
  <c r="X87" i="95"/>
  <c r="Y87" i="95" s="1"/>
  <c r="Y105" i="95"/>
  <c r="J33" i="83"/>
  <c r="X69" i="100"/>
  <c r="Y105" i="79"/>
  <c r="X85" i="100"/>
  <c r="Y85" i="100" s="1"/>
  <c r="Y105" i="86"/>
  <c r="B90" i="66"/>
  <c r="I90" i="66" s="1"/>
  <c r="Y105" i="91"/>
  <c r="Y105" i="75"/>
  <c r="Y105" i="105"/>
  <c r="Y105" i="101"/>
  <c r="Y105" i="92"/>
  <c r="Y105" i="89"/>
  <c r="Y105" i="81"/>
  <c r="Y105" i="73"/>
  <c r="X69" i="70"/>
  <c r="B91" i="101"/>
  <c r="I91" i="101" s="1"/>
  <c r="S93" i="100"/>
  <c r="S93" i="95"/>
  <c r="X69" i="79"/>
  <c r="S93" i="72"/>
  <c r="O21" i="54" a="1"/>
  <c r="O21" i="54" s="1"/>
  <c r="O20" i="54" a="1"/>
  <c r="O20" i="54" s="1"/>
  <c r="O18" i="54" a="1"/>
  <c r="O18" i="54" s="1"/>
  <c r="B92" i="66"/>
  <c r="I92" i="66" s="1"/>
  <c r="O39" i="54" a="1"/>
  <c r="O39" i="54" s="1"/>
  <c r="Y15" i="101"/>
  <c r="S91" i="101"/>
  <c r="X91" i="101" s="1"/>
  <c r="J16" i="101"/>
  <c r="T28" i="101"/>
  <c r="X13" i="101"/>
  <c r="Y16" i="101"/>
  <c r="S92" i="101"/>
  <c r="X92" i="101" s="1"/>
  <c r="X87" i="91"/>
  <c r="Y87" i="91" s="1"/>
  <c r="S93" i="87"/>
  <c r="Y105" i="85"/>
  <c r="Y14" i="76"/>
  <c r="S91" i="76"/>
  <c r="X91" i="76" s="1"/>
  <c r="S92" i="76"/>
  <c r="X92" i="76" s="1"/>
  <c r="Y16" i="76"/>
  <c r="T28" i="76"/>
  <c r="X13" i="76"/>
  <c r="B91" i="76"/>
  <c r="I91" i="76" s="1"/>
  <c r="B92" i="76"/>
  <c r="I92" i="76" s="1"/>
  <c r="Y93" i="73"/>
  <c r="S93" i="73"/>
  <c r="S92" i="66"/>
  <c r="X92" i="66" s="1"/>
  <c r="Y16" i="66"/>
  <c r="Y28" i="66" s="1"/>
  <c r="Y33" i="66" s="1"/>
  <c r="T28" i="66"/>
  <c r="J15" i="66"/>
  <c r="J28" i="66" s="1"/>
  <c r="J33" i="66" s="1"/>
  <c r="B91" i="66"/>
  <c r="I91" i="66" s="1"/>
  <c r="S90" i="66"/>
  <c r="I28" i="66"/>
  <c r="G33" i="66" s="1"/>
  <c r="X28" i="66"/>
  <c r="S91" i="66"/>
  <c r="X91" i="66" s="1"/>
  <c r="Y105" i="65"/>
  <c r="X13" i="61"/>
  <c r="T28" i="61"/>
  <c r="S91" i="61"/>
  <c r="X91" i="61" s="1"/>
  <c r="B92" i="61"/>
  <c r="I92" i="61" s="1"/>
  <c r="B91" i="61"/>
  <c r="I91" i="61" s="1"/>
  <c r="O11" i="54" a="1"/>
  <c r="O11" i="54" s="1"/>
  <c r="Y16" i="61"/>
  <c r="S92" i="61"/>
  <c r="X92" i="61" s="1"/>
  <c r="Y105" i="60"/>
  <c r="B91" i="59"/>
  <c r="I91" i="59" s="1"/>
  <c r="J13" i="105"/>
  <c r="J28" i="105" s="1"/>
  <c r="J33" i="105" s="1"/>
  <c r="B90" i="105"/>
  <c r="I28" i="105"/>
  <c r="G33" i="105" s="1"/>
  <c r="E56" i="105" s="1"/>
  <c r="X87" i="105"/>
  <c r="Y87" i="105" s="1"/>
  <c r="X69" i="105"/>
  <c r="E59" i="105"/>
  <c r="I60" i="105" s="1"/>
  <c r="I72" i="105" s="1"/>
  <c r="J72" i="105" s="1"/>
  <c r="E53" i="105"/>
  <c r="I54" i="105" s="1"/>
  <c r="E65" i="105"/>
  <c r="I66" i="105" s="1"/>
  <c r="I71" i="105" s="1"/>
  <c r="J71" i="105" s="1"/>
  <c r="E62" i="105"/>
  <c r="I63" i="105" s="1"/>
  <c r="I68" i="105" s="1"/>
  <c r="J68" i="105" s="1"/>
  <c r="S93" i="105"/>
  <c r="X90" i="105"/>
  <c r="Y93" i="105" s="1"/>
  <c r="E59" i="104"/>
  <c r="I60" i="104" s="1"/>
  <c r="I72" i="104" s="1"/>
  <c r="J72" i="104" s="1"/>
  <c r="E62" i="104"/>
  <c r="I63" i="104" s="1"/>
  <c r="I68" i="104" s="1"/>
  <c r="J68" i="104" s="1"/>
  <c r="E65" i="104"/>
  <c r="I66" i="104" s="1"/>
  <c r="I71" i="104" s="1"/>
  <c r="J71" i="104" s="1"/>
  <c r="E53" i="104"/>
  <c r="I54" i="104" s="1"/>
  <c r="J12" i="104"/>
  <c r="J28" i="104" s="1"/>
  <c r="J33" i="104" s="1"/>
  <c r="I28" i="104"/>
  <c r="G33" i="104" s="1"/>
  <c r="E56" i="104" s="1"/>
  <c r="B90" i="104"/>
  <c r="X87" i="104"/>
  <c r="Y87" i="104" s="1"/>
  <c r="X69" i="104"/>
  <c r="X90" i="103"/>
  <c r="Y93" i="103" s="1"/>
  <c r="S93" i="103"/>
  <c r="J13" i="103"/>
  <c r="J28" i="103" s="1"/>
  <c r="J33" i="103" s="1"/>
  <c r="B90" i="103"/>
  <c r="I28" i="103"/>
  <c r="G33" i="103" s="1"/>
  <c r="E56" i="103" s="1"/>
  <c r="E59" i="103"/>
  <c r="I60" i="103" s="1"/>
  <c r="I72" i="103" s="1"/>
  <c r="J72" i="103" s="1"/>
  <c r="E65" i="103"/>
  <c r="I66" i="103" s="1"/>
  <c r="I71" i="103" s="1"/>
  <c r="J71" i="103" s="1"/>
  <c r="E62" i="103"/>
  <c r="I63" i="103" s="1"/>
  <c r="I68" i="103" s="1"/>
  <c r="J68" i="103" s="1"/>
  <c r="E53" i="103"/>
  <c r="I54" i="103" s="1"/>
  <c r="E59" i="102"/>
  <c r="I60" i="102" s="1"/>
  <c r="I72" i="102" s="1"/>
  <c r="J72" i="102" s="1"/>
  <c r="E62" i="102"/>
  <c r="I63" i="102" s="1"/>
  <c r="I68" i="102" s="1"/>
  <c r="J68" i="102" s="1"/>
  <c r="E65" i="102"/>
  <c r="I66" i="102" s="1"/>
  <c r="I71" i="102" s="1"/>
  <c r="J71" i="102" s="1"/>
  <c r="E53" i="102"/>
  <c r="I54" i="102" s="1"/>
  <c r="S92" i="102"/>
  <c r="X92" i="102" s="1"/>
  <c r="Y16" i="102"/>
  <c r="J12" i="102"/>
  <c r="I28" i="102"/>
  <c r="G33" i="102" s="1"/>
  <c r="E56" i="102" s="1"/>
  <c r="B90" i="102"/>
  <c r="J16" i="102"/>
  <c r="B92" i="102"/>
  <c r="I92" i="102" s="1"/>
  <c r="J15" i="102"/>
  <c r="B91" i="102"/>
  <c r="I91" i="102" s="1"/>
  <c r="X12" i="102"/>
  <c r="T28" i="102"/>
  <c r="S91" i="102"/>
  <c r="X91" i="102" s="1"/>
  <c r="E59" i="101"/>
  <c r="I60" i="101" s="1"/>
  <c r="I72" i="101" s="1"/>
  <c r="J72" i="101" s="1"/>
  <c r="E65" i="101"/>
  <c r="I66" i="101" s="1"/>
  <c r="I71" i="101" s="1"/>
  <c r="J71" i="101" s="1"/>
  <c r="E53" i="101"/>
  <c r="I54" i="101" s="1"/>
  <c r="E62" i="101"/>
  <c r="I63" i="101" s="1"/>
  <c r="I68" i="101" s="1"/>
  <c r="J68" i="101" s="1"/>
  <c r="I28" i="101"/>
  <c r="G33" i="101" s="1"/>
  <c r="J12" i="101"/>
  <c r="J12" i="100"/>
  <c r="J28" i="100" s="1"/>
  <c r="J33" i="100" s="1"/>
  <c r="B90" i="100"/>
  <c r="I28" i="100"/>
  <c r="G33" i="100" s="1"/>
  <c r="E56" i="100" s="1"/>
  <c r="I57" i="100" s="1"/>
  <c r="E59" i="100"/>
  <c r="I60" i="100" s="1"/>
  <c r="I72" i="100" s="1"/>
  <c r="J72" i="100" s="1"/>
  <c r="E53" i="100"/>
  <c r="I54" i="100" s="1"/>
  <c r="E65" i="100"/>
  <c r="I66" i="100" s="1"/>
  <c r="I71" i="100" s="1"/>
  <c r="J71" i="100" s="1"/>
  <c r="E62" i="100"/>
  <c r="I63" i="100" s="1"/>
  <c r="I68" i="100" s="1"/>
  <c r="J68" i="100" s="1"/>
  <c r="X69" i="99"/>
  <c r="X87" i="99"/>
  <c r="Y87" i="99" s="1"/>
  <c r="E59" i="99"/>
  <c r="I60" i="99" s="1"/>
  <c r="I72" i="99" s="1"/>
  <c r="J72" i="99" s="1"/>
  <c r="E53" i="99"/>
  <c r="I54" i="99" s="1"/>
  <c r="E62" i="99"/>
  <c r="I63" i="99" s="1"/>
  <c r="I68" i="99" s="1"/>
  <c r="J68" i="99" s="1"/>
  <c r="E65" i="99"/>
  <c r="I66" i="99" s="1"/>
  <c r="I71" i="99" s="1"/>
  <c r="J71" i="99" s="1"/>
  <c r="Y105" i="99"/>
  <c r="B90" i="99"/>
  <c r="J12" i="99"/>
  <c r="J28" i="99" s="1"/>
  <c r="J33" i="99" s="1"/>
  <c r="I28" i="99"/>
  <c r="G33" i="99" s="1"/>
  <c r="E56" i="99" s="1"/>
  <c r="J12" i="98"/>
  <c r="J28" i="98" s="1"/>
  <c r="J33" i="98" s="1"/>
  <c r="I28" i="98"/>
  <c r="G33" i="98" s="1"/>
  <c r="E56" i="98" s="1"/>
  <c r="B90" i="98"/>
  <c r="X87" i="98"/>
  <c r="Y87" i="98" s="1"/>
  <c r="X69" i="98"/>
  <c r="E59" i="98"/>
  <c r="I60" i="98" s="1"/>
  <c r="I72" i="98" s="1"/>
  <c r="J72" i="98" s="1"/>
  <c r="E62" i="98"/>
  <c r="I63" i="98" s="1"/>
  <c r="I68" i="98" s="1"/>
  <c r="J68" i="98" s="1"/>
  <c r="E65" i="98"/>
  <c r="I66" i="98" s="1"/>
  <c r="I71" i="98" s="1"/>
  <c r="J71" i="98" s="1"/>
  <c r="E53" i="98"/>
  <c r="I54" i="98" s="1"/>
  <c r="X87" i="97"/>
  <c r="Y87" i="97" s="1"/>
  <c r="X69" i="97"/>
  <c r="E59" i="97"/>
  <c r="I60" i="97" s="1"/>
  <c r="I72" i="97" s="1"/>
  <c r="J72" i="97" s="1"/>
  <c r="E62" i="97"/>
  <c r="I63" i="97" s="1"/>
  <c r="I68" i="97" s="1"/>
  <c r="J68" i="97" s="1"/>
  <c r="E53" i="97"/>
  <c r="I54" i="97" s="1"/>
  <c r="E65" i="97"/>
  <c r="I66" i="97" s="1"/>
  <c r="I71" i="97" s="1"/>
  <c r="J71" i="97" s="1"/>
  <c r="J12" i="97"/>
  <c r="J28" i="97" s="1"/>
  <c r="J33" i="97" s="1"/>
  <c r="I28" i="97"/>
  <c r="G33" i="97" s="1"/>
  <c r="E56" i="97" s="1"/>
  <c r="B90" i="97"/>
  <c r="J12" i="96"/>
  <c r="J28" i="96" s="1"/>
  <c r="J33" i="96" s="1"/>
  <c r="I28" i="96"/>
  <c r="G33" i="96" s="1"/>
  <c r="E56" i="96" s="1"/>
  <c r="B90" i="96"/>
  <c r="E59" i="96"/>
  <c r="I60" i="96" s="1"/>
  <c r="I72" i="96" s="1"/>
  <c r="J72" i="96" s="1"/>
  <c r="E62" i="96"/>
  <c r="I63" i="96" s="1"/>
  <c r="I68" i="96" s="1"/>
  <c r="J68" i="96" s="1"/>
  <c r="E65" i="96"/>
  <c r="I66" i="96" s="1"/>
  <c r="I71" i="96" s="1"/>
  <c r="J71" i="96" s="1"/>
  <c r="E53" i="96"/>
  <c r="I54" i="96" s="1"/>
  <c r="E59" i="95"/>
  <c r="I60" i="95" s="1"/>
  <c r="I72" i="95" s="1"/>
  <c r="J72" i="95" s="1"/>
  <c r="E62" i="95"/>
  <c r="I63" i="95" s="1"/>
  <c r="I68" i="95" s="1"/>
  <c r="J68" i="95" s="1"/>
  <c r="E65" i="95"/>
  <c r="I66" i="95" s="1"/>
  <c r="I71" i="95" s="1"/>
  <c r="J71" i="95" s="1"/>
  <c r="E53" i="95"/>
  <c r="I54" i="95" s="1"/>
  <c r="J12" i="95"/>
  <c r="J28" i="95" s="1"/>
  <c r="J33" i="95" s="1"/>
  <c r="I28" i="95"/>
  <c r="G33" i="95" s="1"/>
  <c r="E56" i="95" s="1"/>
  <c r="B90" i="95"/>
  <c r="I28" i="94"/>
  <c r="G33" i="94" s="1"/>
  <c r="E56" i="94" s="1"/>
  <c r="B90" i="94"/>
  <c r="J12" i="94"/>
  <c r="J28" i="94" s="1"/>
  <c r="J33" i="94" s="1"/>
  <c r="S93" i="94"/>
  <c r="X90" i="94"/>
  <c r="Y93" i="94" s="1"/>
  <c r="E59" i="94"/>
  <c r="I60" i="94" s="1"/>
  <c r="I72" i="94" s="1"/>
  <c r="J72" i="94" s="1"/>
  <c r="E65" i="94"/>
  <c r="I66" i="94" s="1"/>
  <c r="I71" i="94" s="1"/>
  <c r="J71" i="94" s="1"/>
  <c r="E53" i="94"/>
  <c r="I54" i="94" s="1"/>
  <c r="E62" i="94"/>
  <c r="I63" i="94" s="1"/>
  <c r="I68" i="94" s="1"/>
  <c r="J68" i="94" s="1"/>
  <c r="J12" i="93"/>
  <c r="J28" i="93" s="1"/>
  <c r="J33" i="93" s="1"/>
  <c r="I28" i="93"/>
  <c r="G33" i="93" s="1"/>
  <c r="E56" i="93" s="1"/>
  <c r="B90" i="93"/>
  <c r="E59" i="93"/>
  <c r="I60" i="93" s="1"/>
  <c r="I72" i="93" s="1"/>
  <c r="J72" i="93" s="1"/>
  <c r="E65" i="93"/>
  <c r="I66" i="93" s="1"/>
  <c r="I71" i="93" s="1"/>
  <c r="J71" i="93" s="1"/>
  <c r="E62" i="93"/>
  <c r="I63" i="93" s="1"/>
  <c r="I68" i="93" s="1"/>
  <c r="J68" i="93" s="1"/>
  <c r="E53" i="93"/>
  <c r="I54" i="93" s="1"/>
  <c r="X69" i="93"/>
  <c r="X87" i="93"/>
  <c r="Y87" i="93" s="1"/>
  <c r="X69" i="92"/>
  <c r="E59" i="92"/>
  <c r="I60" i="92" s="1"/>
  <c r="I72" i="92" s="1"/>
  <c r="J72" i="92" s="1"/>
  <c r="E65" i="92"/>
  <c r="I66" i="92" s="1"/>
  <c r="I71" i="92" s="1"/>
  <c r="J71" i="92" s="1"/>
  <c r="E62" i="92"/>
  <c r="I63" i="92" s="1"/>
  <c r="I68" i="92" s="1"/>
  <c r="J68" i="92" s="1"/>
  <c r="E53" i="92"/>
  <c r="I54" i="92" s="1"/>
  <c r="J12" i="92"/>
  <c r="J28" i="92" s="1"/>
  <c r="J33" i="92" s="1"/>
  <c r="I28" i="92"/>
  <c r="G33" i="92" s="1"/>
  <c r="E56" i="92" s="1"/>
  <c r="B90" i="92"/>
  <c r="X90" i="92"/>
  <c r="Y93" i="92" s="1"/>
  <c r="S93" i="92"/>
  <c r="E62" i="91"/>
  <c r="I63" i="91" s="1"/>
  <c r="I68" i="91" s="1"/>
  <c r="J68" i="91" s="1"/>
  <c r="E65" i="91"/>
  <c r="I66" i="91" s="1"/>
  <c r="I71" i="91" s="1"/>
  <c r="J71" i="91" s="1"/>
  <c r="E59" i="91"/>
  <c r="I60" i="91" s="1"/>
  <c r="I72" i="91" s="1"/>
  <c r="J72" i="91" s="1"/>
  <c r="E53" i="91"/>
  <c r="I54" i="91" s="1"/>
  <c r="J12" i="91"/>
  <c r="J28" i="91" s="1"/>
  <c r="J33" i="91" s="1"/>
  <c r="I28" i="91"/>
  <c r="G33" i="91" s="1"/>
  <c r="E56" i="91" s="1"/>
  <c r="B90" i="91"/>
  <c r="X90" i="91"/>
  <c r="Y93" i="91" s="1"/>
  <c r="S93" i="91"/>
  <c r="J12" i="90"/>
  <c r="J28" i="90" s="1"/>
  <c r="J33" i="90" s="1"/>
  <c r="B90" i="90"/>
  <c r="I28" i="90"/>
  <c r="G33" i="90" s="1"/>
  <c r="E56" i="90" s="1"/>
  <c r="X87" i="90"/>
  <c r="Y87" i="90" s="1"/>
  <c r="X69" i="90"/>
  <c r="E59" i="90"/>
  <c r="I60" i="90" s="1"/>
  <c r="I72" i="90" s="1"/>
  <c r="J72" i="90" s="1"/>
  <c r="E53" i="90"/>
  <c r="I54" i="90" s="1"/>
  <c r="E62" i="90"/>
  <c r="I63" i="90" s="1"/>
  <c r="I68" i="90" s="1"/>
  <c r="J68" i="90" s="1"/>
  <c r="E65" i="90"/>
  <c r="I66" i="90" s="1"/>
  <c r="I71" i="90" s="1"/>
  <c r="J71" i="90" s="1"/>
  <c r="X90" i="89"/>
  <c r="Y93" i="89" s="1"/>
  <c r="S93" i="89"/>
  <c r="J12" i="89"/>
  <c r="J28" i="89" s="1"/>
  <c r="J33" i="89" s="1"/>
  <c r="B90" i="89"/>
  <c r="I28" i="89"/>
  <c r="G33" i="89" s="1"/>
  <c r="E56" i="89" s="1"/>
  <c r="E59" i="89"/>
  <c r="I60" i="89" s="1"/>
  <c r="I72" i="89" s="1"/>
  <c r="J72" i="89" s="1"/>
  <c r="E62" i="89"/>
  <c r="I63" i="89" s="1"/>
  <c r="I68" i="89" s="1"/>
  <c r="J68" i="89" s="1"/>
  <c r="E53" i="89"/>
  <c r="I54" i="89" s="1"/>
  <c r="E65" i="89"/>
  <c r="I66" i="89" s="1"/>
  <c r="I71" i="89" s="1"/>
  <c r="J71" i="89" s="1"/>
  <c r="J12" i="88"/>
  <c r="J28" i="88" s="1"/>
  <c r="J33" i="88" s="1"/>
  <c r="I28" i="88"/>
  <c r="G33" i="88" s="1"/>
  <c r="E56" i="88" s="1"/>
  <c r="B90" i="88"/>
  <c r="E59" i="88"/>
  <c r="I60" i="88" s="1"/>
  <c r="I72" i="88" s="1"/>
  <c r="J72" i="88" s="1"/>
  <c r="E62" i="88"/>
  <c r="I63" i="88" s="1"/>
  <c r="I68" i="88" s="1"/>
  <c r="J68" i="88" s="1"/>
  <c r="E65" i="88"/>
  <c r="I66" i="88" s="1"/>
  <c r="I71" i="88" s="1"/>
  <c r="J71" i="88" s="1"/>
  <c r="E53" i="88"/>
  <c r="I54" i="88" s="1"/>
  <c r="Y93" i="87"/>
  <c r="J12" i="87"/>
  <c r="J28" i="87" s="1"/>
  <c r="J33" i="87" s="1"/>
  <c r="I28" i="87"/>
  <c r="G33" i="87" s="1"/>
  <c r="E56" i="87" s="1"/>
  <c r="B90" i="87"/>
  <c r="E59" i="87"/>
  <c r="I60" i="87" s="1"/>
  <c r="I72" i="87" s="1"/>
  <c r="J72" i="87" s="1"/>
  <c r="E65" i="87"/>
  <c r="I66" i="87" s="1"/>
  <c r="I71" i="87" s="1"/>
  <c r="J71" i="87" s="1"/>
  <c r="E53" i="87"/>
  <c r="I54" i="87" s="1"/>
  <c r="E62" i="87"/>
  <c r="I63" i="87" s="1"/>
  <c r="I68" i="87" s="1"/>
  <c r="J68" i="87" s="1"/>
  <c r="X90" i="86"/>
  <c r="Y93" i="86" s="1"/>
  <c r="S93" i="86"/>
  <c r="J12" i="86"/>
  <c r="J28" i="86" s="1"/>
  <c r="J33" i="86" s="1"/>
  <c r="I28" i="86"/>
  <c r="G33" i="86" s="1"/>
  <c r="E56" i="86" s="1"/>
  <c r="I57" i="86" s="1"/>
  <c r="B90" i="86"/>
  <c r="Y109" i="86"/>
  <c r="J111" i="86" s="1"/>
  <c r="E65" i="86"/>
  <c r="I66" i="86" s="1"/>
  <c r="I71" i="86" s="1"/>
  <c r="J71" i="86" s="1"/>
  <c r="E62" i="86"/>
  <c r="I63" i="86" s="1"/>
  <c r="I68" i="86" s="1"/>
  <c r="J68" i="86" s="1"/>
  <c r="E59" i="86"/>
  <c r="I60" i="86" s="1"/>
  <c r="I72" i="86" s="1"/>
  <c r="J72" i="86" s="1"/>
  <c r="E53" i="86"/>
  <c r="I54" i="86" s="1"/>
  <c r="E59" i="85"/>
  <c r="I60" i="85" s="1"/>
  <c r="I72" i="85" s="1"/>
  <c r="J72" i="85" s="1"/>
  <c r="E65" i="85"/>
  <c r="I66" i="85" s="1"/>
  <c r="I71" i="85" s="1"/>
  <c r="J71" i="85" s="1"/>
  <c r="E62" i="85"/>
  <c r="I63" i="85" s="1"/>
  <c r="I68" i="85" s="1"/>
  <c r="J68" i="85" s="1"/>
  <c r="E53" i="85"/>
  <c r="I54" i="85" s="1"/>
  <c r="I28" i="85"/>
  <c r="G33" i="85" s="1"/>
  <c r="E56" i="85" s="1"/>
  <c r="J12" i="85"/>
  <c r="J28" i="85" s="1"/>
  <c r="J33" i="85" s="1"/>
  <c r="B90" i="85"/>
  <c r="S93" i="85"/>
  <c r="X90" i="85"/>
  <c r="Y93" i="85" s="1"/>
  <c r="X69" i="84"/>
  <c r="I28" i="84"/>
  <c r="G33" i="84" s="1"/>
  <c r="E56" i="84" s="1"/>
  <c r="J12" i="84"/>
  <c r="J28" i="84" s="1"/>
  <c r="J33" i="84" s="1"/>
  <c r="B90" i="84"/>
  <c r="E59" i="84"/>
  <c r="I60" i="84" s="1"/>
  <c r="I72" i="84" s="1"/>
  <c r="J72" i="84" s="1"/>
  <c r="E65" i="84"/>
  <c r="I66" i="84" s="1"/>
  <c r="I71" i="84" s="1"/>
  <c r="J71" i="84" s="1"/>
  <c r="E62" i="84"/>
  <c r="I63" i="84" s="1"/>
  <c r="I68" i="84" s="1"/>
  <c r="J68" i="84" s="1"/>
  <c r="E53" i="84"/>
  <c r="I54" i="84" s="1"/>
  <c r="B93" i="83"/>
  <c r="I90" i="83"/>
  <c r="J93" i="83" s="1"/>
  <c r="E59" i="83"/>
  <c r="I60" i="83" s="1"/>
  <c r="I72" i="83" s="1"/>
  <c r="J72" i="83" s="1"/>
  <c r="E53" i="83"/>
  <c r="I54" i="83" s="1"/>
  <c r="E62" i="83"/>
  <c r="I63" i="83" s="1"/>
  <c r="I68" i="83" s="1"/>
  <c r="J68" i="83" s="1"/>
  <c r="E65" i="83"/>
  <c r="I66" i="83" s="1"/>
  <c r="I71" i="83" s="1"/>
  <c r="J71" i="83" s="1"/>
  <c r="X87" i="83"/>
  <c r="Y87" i="83" s="1"/>
  <c r="X69" i="83"/>
  <c r="E59" i="82"/>
  <c r="I60" i="82" s="1"/>
  <c r="I72" i="82" s="1"/>
  <c r="J72" i="82" s="1"/>
  <c r="E65" i="82"/>
  <c r="I66" i="82" s="1"/>
  <c r="I71" i="82" s="1"/>
  <c r="J71" i="82" s="1"/>
  <c r="E62" i="82"/>
  <c r="I63" i="82" s="1"/>
  <c r="I68" i="82" s="1"/>
  <c r="J68" i="82" s="1"/>
  <c r="E53" i="82"/>
  <c r="I54" i="82" s="1"/>
  <c r="J12" i="82"/>
  <c r="J28" i="82" s="1"/>
  <c r="J33" i="82" s="1"/>
  <c r="I28" i="82"/>
  <c r="G33" i="82" s="1"/>
  <c r="E56" i="82" s="1"/>
  <c r="B90" i="82"/>
  <c r="X90" i="82"/>
  <c r="Y93" i="82" s="1"/>
  <c r="S93" i="82"/>
  <c r="X86" i="81"/>
  <c r="Y86" i="81" s="1"/>
  <c r="X85" i="81"/>
  <c r="Y85" i="81" s="1"/>
  <c r="E59" i="81"/>
  <c r="I60" i="81" s="1"/>
  <c r="I72" i="81" s="1"/>
  <c r="J72" i="81" s="1"/>
  <c r="E62" i="81"/>
  <c r="I63" i="81" s="1"/>
  <c r="I68" i="81" s="1"/>
  <c r="J68" i="81" s="1"/>
  <c r="E53" i="81"/>
  <c r="I54" i="81" s="1"/>
  <c r="E65" i="81"/>
  <c r="I66" i="81" s="1"/>
  <c r="I71" i="81" s="1"/>
  <c r="J71" i="81" s="1"/>
  <c r="B90" i="81"/>
  <c r="J12" i="81"/>
  <c r="J28" i="81" s="1"/>
  <c r="J33" i="81" s="1"/>
  <c r="I28" i="81"/>
  <c r="G33" i="81" s="1"/>
  <c r="E56" i="81" s="1"/>
  <c r="I57" i="81" s="1"/>
  <c r="X90" i="81"/>
  <c r="Y93" i="81" s="1"/>
  <c r="S93" i="81"/>
  <c r="J12" i="80"/>
  <c r="J28" i="80" s="1"/>
  <c r="J33" i="80" s="1"/>
  <c r="B90" i="80"/>
  <c r="I28" i="80"/>
  <c r="G33" i="80" s="1"/>
  <c r="E56" i="80" s="1"/>
  <c r="E59" i="80"/>
  <c r="I60" i="80" s="1"/>
  <c r="I72" i="80" s="1"/>
  <c r="J72" i="80" s="1"/>
  <c r="E62" i="80"/>
  <c r="I63" i="80" s="1"/>
  <c r="I68" i="80" s="1"/>
  <c r="J68" i="80" s="1"/>
  <c r="E53" i="80"/>
  <c r="I54" i="80" s="1"/>
  <c r="E65" i="80"/>
  <c r="I66" i="80" s="1"/>
  <c r="I71" i="80" s="1"/>
  <c r="J71" i="80" s="1"/>
  <c r="I28" i="79"/>
  <c r="G33" i="79" s="1"/>
  <c r="E56" i="79" s="1"/>
  <c r="J12" i="79"/>
  <c r="J28" i="79" s="1"/>
  <c r="J33" i="79" s="1"/>
  <c r="B90" i="79"/>
  <c r="S93" i="79"/>
  <c r="X90" i="79"/>
  <c r="Y93" i="79" s="1"/>
  <c r="E59" i="79"/>
  <c r="I60" i="79" s="1"/>
  <c r="I72" i="79" s="1"/>
  <c r="J72" i="79" s="1"/>
  <c r="E65" i="79"/>
  <c r="I66" i="79" s="1"/>
  <c r="I71" i="79" s="1"/>
  <c r="J71" i="79" s="1"/>
  <c r="E53" i="79"/>
  <c r="I54" i="79" s="1"/>
  <c r="E62" i="79"/>
  <c r="I63" i="79" s="1"/>
  <c r="I68" i="79" s="1"/>
  <c r="J68" i="79" s="1"/>
  <c r="E59" i="78"/>
  <c r="I60" i="78" s="1"/>
  <c r="I72" i="78" s="1"/>
  <c r="J72" i="78" s="1"/>
  <c r="E53" i="78"/>
  <c r="I54" i="78" s="1"/>
  <c r="E62" i="78"/>
  <c r="I63" i="78" s="1"/>
  <c r="I68" i="78" s="1"/>
  <c r="J68" i="78" s="1"/>
  <c r="E65" i="78"/>
  <c r="I66" i="78" s="1"/>
  <c r="I71" i="78" s="1"/>
  <c r="J71" i="78" s="1"/>
  <c r="X87" i="78"/>
  <c r="Y87" i="78" s="1"/>
  <c r="X69" i="78"/>
  <c r="B90" i="78"/>
  <c r="J12" i="78"/>
  <c r="J28" i="78" s="1"/>
  <c r="J33" i="78" s="1"/>
  <c r="I28" i="78"/>
  <c r="G33" i="78" s="1"/>
  <c r="E56" i="78" s="1"/>
  <c r="J12" i="77"/>
  <c r="I28" i="77"/>
  <c r="G33" i="77" s="1"/>
  <c r="E56" i="77" s="1"/>
  <c r="B90" i="77"/>
  <c r="B91" i="77"/>
  <c r="I91" i="77" s="1"/>
  <c r="T28" i="77"/>
  <c r="T52" i="77" s="1"/>
  <c r="X12" i="77"/>
  <c r="J16" i="77"/>
  <c r="B92" i="77"/>
  <c r="I92" i="77" s="1"/>
  <c r="Y15" i="77"/>
  <c r="S91" i="77"/>
  <c r="X91" i="77" s="1"/>
  <c r="E59" i="77"/>
  <c r="I60" i="77" s="1"/>
  <c r="I72" i="77" s="1"/>
  <c r="J72" i="77" s="1"/>
  <c r="E65" i="77"/>
  <c r="I66" i="77" s="1"/>
  <c r="I71" i="77" s="1"/>
  <c r="J71" i="77" s="1"/>
  <c r="E62" i="77"/>
  <c r="I63" i="77" s="1"/>
  <c r="I68" i="77" s="1"/>
  <c r="J68" i="77" s="1"/>
  <c r="E53" i="77"/>
  <c r="I54" i="77" s="1"/>
  <c r="S92" i="77"/>
  <c r="X92" i="77" s="1"/>
  <c r="Y16" i="77"/>
  <c r="E59" i="76"/>
  <c r="I60" i="76" s="1"/>
  <c r="I72" i="76" s="1"/>
  <c r="J72" i="76" s="1"/>
  <c r="E62" i="76"/>
  <c r="I63" i="76" s="1"/>
  <c r="I68" i="76" s="1"/>
  <c r="J68" i="76" s="1"/>
  <c r="E65" i="76"/>
  <c r="I66" i="76" s="1"/>
  <c r="I71" i="76" s="1"/>
  <c r="J71" i="76" s="1"/>
  <c r="E53" i="76"/>
  <c r="I54" i="76" s="1"/>
  <c r="J12" i="76"/>
  <c r="J28" i="76" s="1"/>
  <c r="J33" i="76" s="1"/>
  <c r="I28" i="76"/>
  <c r="G33" i="76" s="1"/>
  <c r="E56" i="76" s="1"/>
  <c r="I57" i="76" s="1"/>
  <c r="B90" i="76"/>
  <c r="Y105" i="76"/>
  <c r="S93" i="75"/>
  <c r="E59" i="75"/>
  <c r="I60" i="75" s="1"/>
  <c r="I72" i="75" s="1"/>
  <c r="J72" i="75" s="1"/>
  <c r="E62" i="75"/>
  <c r="I63" i="75" s="1"/>
  <c r="I68" i="75" s="1"/>
  <c r="J68" i="75" s="1"/>
  <c r="E65" i="75"/>
  <c r="I66" i="75" s="1"/>
  <c r="I71" i="75" s="1"/>
  <c r="J71" i="75" s="1"/>
  <c r="E53" i="75"/>
  <c r="I54" i="75" s="1"/>
  <c r="J12" i="75"/>
  <c r="J28" i="75" s="1"/>
  <c r="J33" i="75" s="1"/>
  <c r="I28" i="75"/>
  <c r="G33" i="75" s="1"/>
  <c r="E56" i="75" s="1"/>
  <c r="B90" i="75"/>
  <c r="E59" i="74"/>
  <c r="I60" i="74" s="1"/>
  <c r="I72" i="74" s="1"/>
  <c r="J72" i="74" s="1"/>
  <c r="E62" i="74"/>
  <c r="I63" i="74" s="1"/>
  <c r="I68" i="74" s="1"/>
  <c r="J68" i="74" s="1"/>
  <c r="E65" i="74"/>
  <c r="I66" i="74" s="1"/>
  <c r="I71" i="74" s="1"/>
  <c r="J71" i="74" s="1"/>
  <c r="E53" i="74"/>
  <c r="I54" i="74" s="1"/>
  <c r="J12" i="74"/>
  <c r="J28" i="74" s="1"/>
  <c r="J33" i="74" s="1"/>
  <c r="I28" i="74"/>
  <c r="G33" i="74" s="1"/>
  <c r="E56" i="74" s="1"/>
  <c r="B90" i="74"/>
  <c r="X90" i="74"/>
  <c r="Y93" i="74" s="1"/>
  <c r="S93" i="74"/>
  <c r="E59" i="73"/>
  <c r="I60" i="73" s="1"/>
  <c r="I72" i="73" s="1"/>
  <c r="J72" i="73" s="1"/>
  <c r="E65" i="73"/>
  <c r="I66" i="73" s="1"/>
  <c r="I71" i="73" s="1"/>
  <c r="J71" i="73" s="1"/>
  <c r="E62" i="73"/>
  <c r="I63" i="73" s="1"/>
  <c r="I68" i="73" s="1"/>
  <c r="J68" i="73" s="1"/>
  <c r="E53" i="73"/>
  <c r="I54" i="73" s="1"/>
  <c r="I28" i="73"/>
  <c r="G33" i="73" s="1"/>
  <c r="E56" i="73" s="1"/>
  <c r="J12" i="73"/>
  <c r="J28" i="73" s="1"/>
  <c r="J33" i="73" s="1"/>
  <c r="B90" i="73"/>
  <c r="E59" i="72"/>
  <c r="I60" i="72" s="1"/>
  <c r="I72" i="72" s="1"/>
  <c r="J72" i="72" s="1"/>
  <c r="E53" i="72"/>
  <c r="I54" i="72" s="1"/>
  <c r="E62" i="72"/>
  <c r="I63" i="72" s="1"/>
  <c r="I68" i="72" s="1"/>
  <c r="J68" i="72" s="1"/>
  <c r="E65" i="72"/>
  <c r="I66" i="72" s="1"/>
  <c r="I71" i="72" s="1"/>
  <c r="J71" i="72" s="1"/>
  <c r="Y105" i="72"/>
  <c r="J12" i="72"/>
  <c r="J28" i="72" s="1"/>
  <c r="J33" i="72" s="1"/>
  <c r="I28" i="72"/>
  <c r="G33" i="72" s="1"/>
  <c r="E56" i="72" s="1"/>
  <c r="B90" i="72"/>
  <c r="X87" i="71"/>
  <c r="Y87" i="71" s="1"/>
  <c r="X69" i="71"/>
  <c r="E59" i="71"/>
  <c r="I60" i="71" s="1"/>
  <c r="I72" i="71" s="1"/>
  <c r="J72" i="71" s="1"/>
  <c r="E65" i="71"/>
  <c r="I66" i="71" s="1"/>
  <c r="I71" i="71" s="1"/>
  <c r="J71" i="71" s="1"/>
  <c r="E62" i="71"/>
  <c r="I63" i="71" s="1"/>
  <c r="I68" i="71" s="1"/>
  <c r="J68" i="71" s="1"/>
  <c r="E53" i="71"/>
  <c r="I54" i="71" s="1"/>
  <c r="I28" i="71"/>
  <c r="G33" i="71" s="1"/>
  <c r="E56" i="71" s="1"/>
  <c r="B90" i="71"/>
  <c r="J12" i="71"/>
  <c r="J28" i="71" s="1"/>
  <c r="J33" i="71" s="1"/>
  <c r="Y105" i="71"/>
  <c r="J12" i="70"/>
  <c r="J28" i="70" s="1"/>
  <c r="J33" i="70" s="1"/>
  <c r="B90" i="70"/>
  <c r="I28" i="70"/>
  <c r="G33" i="70" s="1"/>
  <c r="E56" i="70" s="1"/>
  <c r="E59" i="70"/>
  <c r="I60" i="70" s="1"/>
  <c r="I72" i="70" s="1"/>
  <c r="J72" i="70" s="1"/>
  <c r="E62" i="70"/>
  <c r="I63" i="70" s="1"/>
  <c r="I68" i="70" s="1"/>
  <c r="J68" i="70" s="1"/>
  <c r="E53" i="70"/>
  <c r="I54" i="70" s="1"/>
  <c r="E65" i="70"/>
  <c r="I66" i="70" s="1"/>
  <c r="I71" i="70" s="1"/>
  <c r="J71" i="70" s="1"/>
  <c r="X90" i="70"/>
  <c r="Y93" i="70" s="1"/>
  <c r="S93" i="70"/>
  <c r="Y15" i="69"/>
  <c r="S91" i="69"/>
  <c r="X91" i="69" s="1"/>
  <c r="J16" i="69"/>
  <c r="B92" i="69"/>
  <c r="I92" i="69" s="1"/>
  <c r="B91" i="69"/>
  <c r="I91" i="69" s="1"/>
  <c r="E59" i="69"/>
  <c r="I60" i="69" s="1"/>
  <c r="I72" i="69" s="1"/>
  <c r="J72" i="69" s="1"/>
  <c r="E53" i="69"/>
  <c r="I54" i="69" s="1"/>
  <c r="E65" i="69"/>
  <c r="I66" i="69" s="1"/>
  <c r="I71" i="69" s="1"/>
  <c r="J71" i="69" s="1"/>
  <c r="E62" i="69"/>
  <c r="I63" i="69" s="1"/>
  <c r="I68" i="69" s="1"/>
  <c r="J68" i="69" s="1"/>
  <c r="J12" i="69"/>
  <c r="B90" i="69"/>
  <c r="I28" i="69"/>
  <c r="G33" i="69" s="1"/>
  <c r="E56" i="69" s="1"/>
  <c r="X12" i="69"/>
  <c r="T28" i="69"/>
  <c r="S92" i="69"/>
  <c r="X92" i="69" s="1"/>
  <c r="Y16" i="69"/>
  <c r="Y16" i="68"/>
  <c r="S92" i="68"/>
  <c r="X92" i="68" s="1"/>
  <c r="J15" i="68"/>
  <c r="B91" i="68"/>
  <c r="I91" i="68" s="1"/>
  <c r="J12" i="68"/>
  <c r="I28" i="68"/>
  <c r="G33" i="68" s="1"/>
  <c r="E56" i="68" s="1"/>
  <c r="I57" i="68" s="1"/>
  <c r="B90" i="68"/>
  <c r="J16" i="68"/>
  <c r="B92" i="68"/>
  <c r="I92" i="68" s="1"/>
  <c r="S91" i="68"/>
  <c r="X91" i="68" s="1"/>
  <c r="E59" i="68"/>
  <c r="I60" i="68" s="1"/>
  <c r="I72" i="68" s="1"/>
  <c r="J72" i="68" s="1"/>
  <c r="E62" i="68"/>
  <c r="I63" i="68" s="1"/>
  <c r="I68" i="68" s="1"/>
  <c r="J68" i="68" s="1"/>
  <c r="E65" i="68"/>
  <c r="I66" i="68" s="1"/>
  <c r="I71" i="68" s="1"/>
  <c r="J71" i="68" s="1"/>
  <c r="E53" i="68"/>
  <c r="I54" i="68" s="1"/>
  <c r="T28" i="68"/>
  <c r="X12" i="68"/>
  <c r="J16" i="67"/>
  <c r="B92" i="67"/>
  <c r="I92" i="67" s="1"/>
  <c r="I28" i="67"/>
  <c r="G33" i="67" s="1"/>
  <c r="E56" i="67" s="1"/>
  <c r="I57" i="67" s="1"/>
  <c r="J12" i="67"/>
  <c r="B90" i="67"/>
  <c r="J15" i="67"/>
  <c r="B91" i="67"/>
  <c r="I91" i="67" s="1"/>
  <c r="S92" i="67"/>
  <c r="X92" i="67" s="1"/>
  <c r="Y16" i="67"/>
  <c r="S91" i="67"/>
  <c r="X91" i="67" s="1"/>
  <c r="E59" i="67"/>
  <c r="I60" i="67" s="1"/>
  <c r="I72" i="67" s="1"/>
  <c r="J72" i="67" s="1"/>
  <c r="E65" i="67"/>
  <c r="I66" i="67" s="1"/>
  <c r="I71" i="67" s="1"/>
  <c r="J71" i="67" s="1"/>
  <c r="E53" i="67"/>
  <c r="I54" i="67" s="1"/>
  <c r="E62" i="67"/>
  <c r="I63" i="67" s="1"/>
  <c r="I68" i="67" s="1"/>
  <c r="J68" i="67" s="1"/>
  <c r="X12" i="67"/>
  <c r="T28" i="67"/>
  <c r="E59" i="66"/>
  <c r="I60" i="66" s="1"/>
  <c r="I72" i="66" s="1"/>
  <c r="J72" i="66" s="1"/>
  <c r="E62" i="66"/>
  <c r="I63" i="66" s="1"/>
  <c r="I68" i="66" s="1"/>
  <c r="J68" i="66" s="1"/>
  <c r="E65" i="66"/>
  <c r="I66" i="66" s="1"/>
  <c r="I71" i="66" s="1"/>
  <c r="J71" i="66" s="1"/>
  <c r="E53" i="66"/>
  <c r="I54" i="66" s="1"/>
  <c r="E59" i="65"/>
  <c r="I60" i="65" s="1"/>
  <c r="I72" i="65" s="1"/>
  <c r="J72" i="65" s="1"/>
  <c r="E65" i="65"/>
  <c r="I66" i="65" s="1"/>
  <c r="I71" i="65" s="1"/>
  <c r="J71" i="65" s="1"/>
  <c r="E62" i="65"/>
  <c r="I63" i="65" s="1"/>
  <c r="I68" i="65" s="1"/>
  <c r="J68" i="65" s="1"/>
  <c r="E53" i="65"/>
  <c r="I54" i="65" s="1"/>
  <c r="J12" i="65"/>
  <c r="J28" i="65" s="1"/>
  <c r="J33" i="65" s="1"/>
  <c r="B90" i="65"/>
  <c r="I28" i="65"/>
  <c r="G33" i="65" s="1"/>
  <c r="E56" i="65" s="1"/>
  <c r="S91" i="64"/>
  <c r="X91" i="64" s="1"/>
  <c r="J15" i="64"/>
  <c r="B91" i="64"/>
  <c r="I91" i="64" s="1"/>
  <c r="J12" i="64"/>
  <c r="I28" i="64"/>
  <c r="G33" i="64" s="1"/>
  <c r="E56" i="64" s="1"/>
  <c r="B90" i="64"/>
  <c r="Y16" i="64"/>
  <c r="S92" i="64"/>
  <c r="X92" i="64" s="1"/>
  <c r="T28" i="64"/>
  <c r="X12" i="64"/>
  <c r="J16" i="64"/>
  <c r="B92" i="64"/>
  <c r="I92" i="64" s="1"/>
  <c r="E59" i="64"/>
  <c r="I60" i="64" s="1"/>
  <c r="I72" i="64" s="1"/>
  <c r="J72" i="64" s="1"/>
  <c r="E65" i="64"/>
  <c r="I66" i="64" s="1"/>
  <c r="I71" i="64" s="1"/>
  <c r="J71" i="64" s="1"/>
  <c r="E62" i="64"/>
  <c r="I63" i="64" s="1"/>
  <c r="I68" i="64" s="1"/>
  <c r="J68" i="64" s="1"/>
  <c r="E53" i="64"/>
  <c r="I54" i="64" s="1"/>
  <c r="J16" i="63"/>
  <c r="B92" i="63"/>
  <c r="I92" i="63" s="1"/>
  <c r="X12" i="63"/>
  <c r="T28" i="63"/>
  <c r="S91" i="63"/>
  <c r="X91" i="63" s="1"/>
  <c r="Y14" i="63"/>
  <c r="Y16" i="63"/>
  <c r="S92" i="63"/>
  <c r="X92" i="63" s="1"/>
  <c r="E59" i="63"/>
  <c r="I60" i="63" s="1"/>
  <c r="I72" i="63" s="1"/>
  <c r="J72" i="63" s="1"/>
  <c r="E65" i="63"/>
  <c r="I66" i="63" s="1"/>
  <c r="I71" i="63" s="1"/>
  <c r="J71" i="63" s="1"/>
  <c r="E53" i="63"/>
  <c r="I54" i="63" s="1"/>
  <c r="E62" i="63"/>
  <c r="I63" i="63" s="1"/>
  <c r="I68" i="63" s="1"/>
  <c r="J68" i="63" s="1"/>
  <c r="J12" i="63"/>
  <c r="I28" i="63"/>
  <c r="G33" i="63" s="1"/>
  <c r="E56" i="63" s="1"/>
  <c r="I57" i="63" s="1"/>
  <c r="B90" i="63"/>
  <c r="B91" i="63"/>
  <c r="I91" i="63" s="1"/>
  <c r="J14" i="63"/>
  <c r="S91" i="62"/>
  <c r="X91" i="62" s="1"/>
  <c r="E59" i="62"/>
  <c r="I60" i="62" s="1"/>
  <c r="I72" i="62" s="1"/>
  <c r="J72" i="62" s="1"/>
  <c r="E62" i="62"/>
  <c r="I63" i="62" s="1"/>
  <c r="I68" i="62" s="1"/>
  <c r="J68" i="62" s="1"/>
  <c r="E65" i="62"/>
  <c r="I66" i="62" s="1"/>
  <c r="I71" i="62" s="1"/>
  <c r="J71" i="62" s="1"/>
  <c r="E53" i="62"/>
  <c r="I54" i="62" s="1"/>
  <c r="Y16" i="62"/>
  <c r="S92" i="62"/>
  <c r="X92" i="62" s="1"/>
  <c r="X12" i="62"/>
  <c r="T28" i="62"/>
  <c r="J16" i="62"/>
  <c r="B92" i="62"/>
  <c r="I92" i="62" s="1"/>
  <c r="J12" i="62"/>
  <c r="I28" i="62"/>
  <c r="G33" i="62" s="1"/>
  <c r="E56" i="62" s="1"/>
  <c r="I57" i="62" s="1"/>
  <c r="B90" i="62"/>
  <c r="J15" i="62"/>
  <c r="B91" i="62"/>
  <c r="I91" i="62" s="1"/>
  <c r="I28" i="61"/>
  <c r="G33" i="61" s="1"/>
  <c r="E56" i="61" s="1"/>
  <c r="I57" i="61" s="1"/>
  <c r="J12" i="61"/>
  <c r="J28" i="61" s="1"/>
  <c r="J33" i="61" s="1"/>
  <c r="B90" i="61"/>
  <c r="E59" i="61"/>
  <c r="I60" i="61" s="1"/>
  <c r="I72" i="61" s="1"/>
  <c r="J72" i="61" s="1"/>
  <c r="E65" i="61"/>
  <c r="I66" i="61" s="1"/>
  <c r="I71" i="61" s="1"/>
  <c r="J71" i="61" s="1"/>
  <c r="E53" i="61"/>
  <c r="I54" i="61" s="1"/>
  <c r="E62" i="61"/>
  <c r="I63" i="61" s="1"/>
  <c r="I68" i="61" s="1"/>
  <c r="J68" i="61" s="1"/>
  <c r="X87" i="60"/>
  <c r="Y87" i="60" s="1"/>
  <c r="E59" i="60"/>
  <c r="E53" i="60"/>
  <c r="E62" i="60"/>
  <c r="E65" i="60"/>
  <c r="B90" i="60"/>
  <c r="J12" i="60"/>
  <c r="J28" i="60" s="1"/>
  <c r="J33" i="60" s="1"/>
  <c r="I28" i="60"/>
  <c r="G33" i="60" s="1"/>
  <c r="E56" i="60" s="1"/>
  <c r="X90" i="60"/>
  <c r="Y93" i="60" s="1"/>
  <c r="S93" i="60"/>
  <c r="S91" i="59"/>
  <c r="X91" i="59" s="1"/>
  <c r="S92" i="59"/>
  <c r="X92" i="59" s="1"/>
  <c r="Y16" i="59"/>
  <c r="J16" i="59"/>
  <c r="B92" i="59"/>
  <c r="I92" i="59" s="1"/>
  <c r="J13" i="59"/>
  <c r="I28" i="59"/>
  <c r="G33" i="59" s="1"/>
  <c r="C56" i="59" s="1"/>
  <c r="B90" i="59"/>
  <c r="C59" i="59"/>
  <c r="I60" i="59" s="1"/>
  <c r="I72" i="59" s="1"/>
  <c r="J72" i="59" s="1"/>
  <c r="C65" i="59"/>
  <c r="I66" i="59" s="1"/>
  <c r="I71" i="59" s="1"/>
  <c r="J71" i="59" s="1"/>
  <c r="C53" i="59"/>
  <c r="I54" i="59" s="1"/>
  <c r="C62" i="59"/>
  <c r="I63" i="59" s="1"/>
  <c r="I68" i="59" s="1"/>
  <c r="J68" i="59" s="1"/>
  <c r="T28" i="59"/>
  <c r="Y12" i="59"/>
  <c r="X28" i="59"/>
  <c r="S90" i="59"/>
  <c r="I63" i="60" l="1"/>
  <c r="I68" i="60" s="1"/>
  <c r="J68" i="60" s="1"/>
  <c r="C80" i="56"/>
  <c r="I66" i="60"/>
  <c r="I71" i="60" s="1"/>
  <c r="J71" i="60" s="1"/>
  <c r="C83" i="56"/>
  <c r="I54" i="60"/>
  <c r="I70" i="60" s="1"/>
  <c r="C71" i="56"/>
  <c r="I60" i="60"/>
  <c r="I72" i="60" s="1"/>
  <c r="J72" i="60" s="1"/>
  <c r="C77" i="56"/>
  <c r="V33" i="66"/>
  <c r="T55" i="66"/>
  <c r="X56" i="86"/>
  <c r="I86" i="83"/>
  <c r="J86" i="83" s="1"/>
  <c r="I57" i="71"/>
  <c r="I85" i="71" s="1"/>
  <c r="J85" i="71" s="1"/>
  <c r="T55" i="71"/>
  <c r="X56" i="71" s="1"/>
  <c r="I57" i="84"/>
  <c r="I86" i="84" s="1"/>
  <c r="J86" i="84" s="1"/>
  <c r="T55" i="84"/>
  <c r="X56" i="84" s="1"/>
  <c r="V33" i="59"/>
  <c r="T55" i="59"/>
  <c r="X56" i="59" s="1"/>
  <c r="I57" i="105"/>
  <c r="I86" i="105" s="1"/>
  <c r="J86" i="105" s="1"/>
  <c r="X56" i="105"/>
  <c r="I57" i="104"/>
  <c r="I86" i="104" s="1"/>
  <c r="J86" i="104" s="1"/>
  <c r="X56" i="104"/>
  <c r="I57" i="103"/>
  <c r="I85" i="103" s="1"/>
  <c r="J85" i="103" s="1"/>
  <c r="X56" i="103"/>
  <c r="I57" i="102"/>
  <c r="I86" i="102" s="1"/>
  <c r="J86" i="102" s="1"/>
  <c r="I57" i="99"/>
  <c r="I86" i="99" s="1"/>
  <c r="J86" i="99" s="1"/>
  <c r="X56" i="99"/>
  <c r="I57" i="98"/>
  <c r="I86" i="98" s="1"/>
  <c r="J86" i="98" s="1"/>
  <c r="X56" i="98"/>
  <c r="I57" i="96"/>
  <c r="I86" i="96" s="1"/>
  <c r="J86" i="96" s="1"/>
  <c r="X56" i="96"/>
  <c r="I57" i="95"/>
  <c r="I86" i="95" s="1"/>
  <c r="J86" i="95" s="1"/>
  <c r="X56" i="95"/>
  <c r="I57" i="94"/>
  <c r="I85" i="94" s="1"/>
  <c r="J85" i="94" s="1"/>
  <c r="T55" i="94"/>
  <c r="X56" i="94" s="1"/>
  <c r="I57" i="93"/>
  <c r="I86" i="93" s="1"/>
  <c r="J86" i="93" s="1"/>
  <c r="X56" i="93"/>
  <c r="I57" i="92"/>
  <c r="I86" i="92" s="1"/>
  <c r="J86" i="92" s="1"/>
  <c r="X56" i="92"/>
  <c r="I57" i="91"/>
  <c r="I85" i="91" s="1"/>
  <c r="J85" i="91" s="1"/>
  <c r="T55" i="91"/>
  <c r="X56" i="91" s="1"/>
  <c r="I57" i="90"/>
  <c r="I86" i="90" s="1"/>
  <c r="J86" i="90" s="1"/>
  <c r="X56" i="90"/>
  <c r="I57" i="89"/>
  <c r="I85" i="89" s="1"/>
  <c r="J85" i="89" s="1"/>
  <c r="X56" i="89"/>
  <c r="I57" i="88"/>
  <c r="I86" i="88" s="1"/>
  <c r="J86" i="88" s="1"/>
  <c r="X56" i="88"/>
  <c r="I57" i="87"/>
  <c r="I86" i="87" s="1"/>
  <c r="J86" i="87" s="1"/>
  <c r="X56" i="87"/>
  <c r="I57" i="85"/>
  <c r="I86" i="85" s="1"/>
  <c r="J86" i="85" s="1"/>
  <c r="X56" i="85"/>
  <c r="X86" i="83"/>
  <c r="Y86" i="83" s="1"/>
  <c r="X85" i="83"/>
  <c r="Y85" i="83" s="1"/>
  <c r="I57" i="82"/>
  <c r="I86" i="82" s="1"/>
  <c r="J86" i="82" s="1"/>
  <c r="X56" i="82"/>
  <c r="I57" i="80"/>
  <c r="I86" i="80" s="1"/>
  <c r="J86" i="80" s="1"/>
  <c r="X56" i="80"/>
  <c r="I57" i="79"/>
  <c r="I86" i="79" s="1"/>
  <c r="J86" i="79" s="1"/>
  <c r="X56" i="79"/>
  <c r="I57" i="78"/>
  <c r="I86" i="78" s="1"/>
  <c r="J86" i="78" s="1"/>
  <c r="X56" i="78"/>
  <c r="I57" i="77"/>
  <c r="I86" i="77" s="1"/>
  <c r="J86" i="77" s="1"/>
  <c r="I57" i="75"/>
  <c r="I86" i="75" s="1"/>
  <c r="J86" i="75" s="1"/>
  <c r="X56" i="75"/>
  <c r="I57" i="74"/>
  <c r="I86" i="74" s="1"/>
  <c r="J86" i="74" s="1"/>
  <c r="X56" i="74"/>
  <c r="I57" i="73"/>
  <c r="I85" i="73" s="1"/>
  <c r="J85" i="73" s="1"/>
  <c r="X56" i="73"/>
  <c r="I57" i="72"/>
  <c r="I86" i="72" s="1"/>
  <c r="J86" i="72" s="1"/>
  <c r="X56" i="72"/>
  <c r="I57" i="70"/>
  <c r="I86" i="70" s="1"/>
  <c r="J86" i="70" s="1"/>
  <c r="X56" i="70"/>
  <c r="I57" i="69"/>
  <c r="I86" i="69" s="1"/>
  <c r="J86" i="69" s="1"/>
  <c r="I57" i="65"/>
  <c r="I86" i="65" s="1"/>
  <c r="J86" i="65" s="1"/>
  <c r="X56" i="65"/>
  <c r="I57" i="64"/>
  <c r="I86" i="64" s="1"/>
  <c r="J86" i="64" s="1"/>
  <c r="T55" i="101"/>
  <c r="T52" i="101"/>
  <c r="X53" i="101" s="1"/>
  <c r="E56" i="101"/>
  <c r="I57" i="101" s="1"/>
  <c r="J93" i="66"/>
  <c r="I57" i="60"/>
  <c r="I86" i="60" s="1"/>
  <c r="J86" i="60" s="1"/>
  <c r="T55" i="60"/>
  <c r="X56" i="60" s="1"/>
  <c r="I57" i="97"/>
  <c r="I86" i="97" s="1"/>
  <c r="J86" i="97" s="1"/>
  <c r="T55" i="97"/>
  <c r="X56" i="97" s="1"/>
  <c r="I57" i="59"/>
  <c r="I86" i="59" s="1"/>
  <c r="J86" i="59" s="1"/>
  <c r="J28" i="101"/>
  <c r="J33" i="101" s="1"/>
  <c r="J28" i="59"/>
  <c r="J33" i="59" s="1"/>
  <c r="S93" i="66"/>
  <c r="B93" i="66"/>
  <c r="T61" i="101"/>
  <c r="X62" i="101" s="1"/>
  <c r="X67" i="101" s="1"/>
  <c r="Y67" i="101" s="1"/>
  <c r="T58" i="101"/>
  <c r="X59" i="101" s="1"/>
  <c r="X71" i="101" s="1"/>
  <c r="Y71" i="101" s="1"/>
  <c r="T64" i="101"/>
  <c r="X65" i="101" s="1"/>
  <c r="X70" i="101" s="1"/>
  <c r="Y70" i="101" s="1"/>
  <c r="Y13" i="101"/>
  <c r="Y28" i="101" s="1"/>
  <c r="Y33" i="101" s="1"/>
  <c r="S90" i="101"/>
  <c r="X28" i="101"/>
  <c r="V33" i="101" s="1"/>
  <c r="Y13" i="76"/>
  <c r="Y28" i="76" s="1"/>
  <c r="Y33" i="76" s="1"/>
  <c r="S90" i="76"/>
  <c r="X28" i="76"/>
  <c r="T58" i="76"/>
  <c r="X59" i="76" s="1"/>
  <c r="X71" i="76" s="1"/>
  <c r="Y71" i="76" s="1"/>
  <c r="T64" i="76"/>
  <c r="X65" i="76" s="1"/>
  <c r="X70" i="76" s="1"/>
  <c r="Y70" i="76" s="1"/>
  <c r="T52" i="76"/>
  <c r="X53" i="76" s="1"/>
  <c r="T61" i="76"/>
  <c r="X62" i="76" s="1"/>
  <c r="X67" i="76" s="1"/>
  <c r="Y67" i="76" s="1"/>
  <c r="X90" i="66"/>
  <c r="Y93" i="66" s="1"/>
  <c r="T58" i="66"/>
  <c r="X59" i="66" s="1"/>
  <c r="X71" i="66" s="1"/>
  <c r="Y71" i="66" s="1"/>
  <c r="T64" i="66"/>
  <c r="X65" i="66" s="1"/>
  <c r="X70" i="66" s="1"/>
  <c r="Y70" i="66" s="1"/>
  <c r="T52" i="66"/>
  <c r="X53" i="66" s="1"/>
  <c r="T61" i="66"/>
  <c r="X62" i="66" s="1"/>
  <c r="X67" i="66" s="1"/>
  <c r="Y67" i="66" s="1"/>
  <c r="E56" i="66"/>
  <c r="I57" i="66" s="1"/>
  <c r="T64" i="61"/>
  <c r="X65" i="61" s="1"/>
  <c r="X70" i="61" s="1"/>
  <c r="Y70" i="61" s="1"/>
  <c r="T58" i="61"/>
  <c r="X59" i="61" s="1"/>
  <c r="X71" i="61" s="1"/>
  <c r="Y71" i="61" s="1"/>
  <c r="T52" i="61"/>
  <c r="X53" i="61" s="1"/>
  <c r="T61" i="61"/>
  <c r="X62" i="61" s="1"/>
  <c r="X67" i="61" s="1"/>
  <c r="Y67" i="61" s="1"/>
  <c r="Y13" i="61"/>
  <c r="Y28" i="61" s="1"/>
  <c r="Y33" i="61" s="1"/>
  <c r="S90" i="61"/>
  <c r="X28" i="61"/>
  <c r="Y28" i="59"/>
  <c r="Y33" i="59" s="1"/>
  <c r="I87" i="105"/>
  <c r="J87" i="105" s="1"/>
  <c r="I70" i="105"/>
  <c r="B93" i="105"/>
  <c r="I90" i="105"/>
  <c r="J93" i="105" s="1"/>
  <c r="B93" i="104"/>
  <c r="I90" i="104"/>
  <c r="J93" i="104" s="1"/>
  <c r="I70" i="104"/>
  <c r="I87" i="104"/>
  <c r="J87" i="104" s="1"/>
  <c r="I70" i="103"/>
  <c r="I87" i="103"/>
  <c r="J87" i="103" s="1"/>
  <c r="B93" i="103"/>
  <c r="I90" i="103"/>
  <c r="J93" i="103" s="1"/>
  <c r="J28" i="102"/>
  <c r="J33" i="102" s="1"/>
  <c r="I70" i="102"/>
  <c r="I87" i="102"/>
  <c r="J87" i="102" s="1"/>
  <c r="Y12" i="102"/>
  <c r="Y28" i="102" s="1"/>
  <c r="Y33" i="102" s="1"/>
  <c r="X28" i="102"/>
  <c r="S90" i="102"/>
  <c r="B93" i="102"/>
  <c r="I90" i="102"/>
  <c r="J93" i="102" s="1"/>
  <c r="T52" i="102"/>
  <c r="X53" i="102" s="1"/>
  <c r="T64" i="102"/>
  <c r="X65" i="102" s="1"/>
  <c r="X70" i="102" s="1"/>
  <c r="Y70" i="102" s="1"/>
  <c r="T58" i="102"/>
  <c r="X59" i="102" s="1"/>
  <c r="X71" i="102" s="1"/>
  <c r="Y71" i="102" s="1"/>
  <c r="T61" i="102"/>
  <c r="X62" i="102" s="1"/>
  <c r="X67" i="102" s="1"/>
  <c r="Y67" i="102" s="1"/>
  <c r="B93" i="101"/>
  <c r="I90" i="101"/>
  <c r="J93" i="101" s="1"/>
  <c r="I87" i="101"/>
  <c r="J87" i="101" s="1"/>
  <c r="I70" i="101"/>
  <c r="I87" i="100"/>
  <c r="J87" i="100" s="1"/>
  <c r="I70" i="100"/>
  <c r="I86" i="100"/>
  <c r="J86" i="100" s="1"/>
  <c r="I85" i="100"/>
  <c r="J85" i="100" s="1"/>
  <c r="B93" i="100"/>
  <c r="I90" i="100"/>
  <c r="J93" i="100" s="1"/>
  <c r="B93" i="99"/>
  <c r="I90" i="99"/>
  <c r="J93" i="99" s="1"/>
  <c r="I87" i="99"/>
  <c r="J87" i="99" s="1"/>
  <c r="I70" i="99"/>
  <c r="I70" i="98"/>
  <c r="I87" i="98"/>
  <c r="J87" i="98" s="1"/>
  <c r="B93" i="98"/>
  <c r="I90" i="98"/>
  <c r="J93" i="98" s="1"/>
  <c r="I70" i="97"/>
  <c r="I87" i="97"/>
  <c r="J87" i="97" s="1"/>
  <c r="B93" i="97"/>
  <c r="I90" i="97"/>
  <c r="J93" i="97" s="1"/>
  <c r="I70" i="96"/>
  <c r="I87" i="96"/>
  <c r="J87" i="96" s="1"/>
  <c r="B93" i="96"/>
  <c r="I90" i="96"/>
  <c r="J93" i="96" s="1"/>
  <c r="I87" i="95"/>
  <c r="J87" i="95" s="1"/>
  <c r="I70" i="95"/>
  <c r="B93" i="95"/>
  <c r="I90" i="95"/>
  <c r="J93" i="95" s="1"/>
  <c r="I70" i="94"/>
  <c r="I87" i="94"/>
  <c r="J87" i="94" s="1"/>
  <c r="B93" i="94"/>
  <c r="I90" i="94"/>
  <c r="J93" i="94" s="1"/>
  <c r="I87" i="93"/>
  <c r="J87" i="93" s="1"/>
  <c r="I70" i="93"/>
  <c r="B93" i="93"/>
  <c r="I90" i="93"/>
  <c r="J93" i="93" s="1"/>
  <c r="I87" i="92"/>
  <c r="J87" i="92" s="1"/>
  <c r="I70" i="92"/>
  <c r="B93" i="92"/>
  <c r="I90" i="92"/>
  <c r="J93" i="92" s="1"/>
  <c r="B93" i="91"/>
  <c r="I90" i="91"/>
  <c r="J93" i="91" s="1"/>
  <c r="I70" i="91"/>
  <c r="I87" i="91"/>
  <c r="J87" i="91" s="1"/>
  <c r="B93" i="90"/>
  <c r="I90" i="90"/>
  <c r="J93" i="90" s="1"/>
  <c r="I70" i="90"/>
  <c r="I87" i="90"/>
  <c r="J87" i="90" s="1"/>
  <c r="I70" i="89"/>
  <c r="I87" i="89"/>
  <c r="J87" i="89" s="1"/>
  <c r="B93" i="89"/>
  <c r="I90" i="89"/>
  <c r="J93" i="89" s="1"/>
  <c r="I70" i="88"/>
  <c r="I87" i="88"/>
  <c r="J87" i="88" s="1"/>
  <c r="B93" i="88"/>
  <c r="I90" i="88"/>
  <c r="J93" i="88" s="1"/>
  <c r="I70" i="87"/>
  <c r="I87" i="87"/>
  <c r="J87" i="87" s="1"/>
  <c r="B93" i="87"/>
  <c r="I90" i="87"/>
  <c r="J93" i="87" s="1"/>
  <c r="I70" i="86"/>
  <c r="I87" i="86"/>
  <c r="J87" i="86" s="1"/>
  <c r="I86" i="86"/>
  <c r="J86" i="86" s="1"/>
  <c r="I85" i="86"/>
  <c r="J85" i="86" s="1"/>
  <c r="B93" i="86"/>
  <c r="I90" i="86"/>
  <c r="J93" i="86" s="1"/>
  <c r="B93" i="85"/>
  <c r="I90" i="85"/>
  <c r="J93" i="85" s="1"/>
  <c r="I70" i="85"/>
  <c r="I87" i="85"/>
  <c r="J87" i="85" s="1"/>
  <c r="B93" i="84"/>
  <c r="I90" i="84"/>
  <c r="J93" i="84" s="1"/>
  <c r="I70" i="84"/>
  <c r="I87" i="84"/>
  <c r="J87" i="84" s="1"/>
  <c r="I70" i="83"/>
  <c r="I87" i="83"/>
  <c r="J87" i="83" s="1"/>
  <c r="B93" i="82"/>
  <c r="I90" i="82"/>
  <c r="J93" i="82" s="1"/>
  <c r="I70" i="82"/>
  <c r="I87" i="82"/>
  <c r="J87" i="82" s="1"/>
  <c r="I86" i="81"/>
  <c r="J86" i="81" s="1"/>
  <c r="I85" i="81"/>
  <c r="J85" i="81" s="1"/>
  <c r="B93" i="81"/>
  <c r="I90" i="81"/>
  <c r="J93" i="81" s="1"/>
  <c r="I70" i="81"/>
  <c r="I87" i="81"/>
  <c r="J87" i="81" s="1"/>
  <c r="I70" i="80"/>
  <c r="I87" i="80"/>
  <c r="J87" i="80" s="1"/>
  <c r="B93" i="80"/>
  <c r="I90" i="80"/>
  <c r="J93" i="80" s="1"/>
  <c r="Y109" i="79"/>
  <c r="J111" i="79" s="1"/>
  <c r="B93" i="79"/>
  <c r="I90" i="79"/>
  <c r="J93" i="79" s="1"/>
  <c r="I70" i="79"/>
  <c r="I87" i="79"/>
  <c r="J87" i="79" s="1"/>
  <c r="B93" i="78"/>
  <c r="I90" i="78"/>
  <c r="J93" i="78" s="1"/>
  <c r="I70" i="78"/>
  <c r="I87" i="78"/>
  <c r="J87" i="78" s="1"/>
  <c r="I70" i="77"/>
  <c r="I87" i="77"/>
  <c r="J87" i="77" s="1"/>
  <c r="X28" i="77"/>
  <c r="Y12" i="77"/>
  <c r="Y28" i="77" s="1"/>
  <c r="Y33" i="77" s="1"/>
  <c r="S90" i="77"/>
  <c r="B93" i="77"/>
  <c r="I90" i="77"/>
  <c r="J93" i="77" s="1"/>
  <c r="T58" i="77"/>
  <c r="X59" i="77" s="1"/>
  <c r="X71" i="77" s="1"/>
  <c r="Y71" i="77" s="1"/>
  <c r="T64" i="77"/>
  <c r="X65" i="77" s="1"/>
  <c r="X70" i="77" s="1"/>
  <c r="Y70" i="77" s="1"/>
  <c r="X53" i="77"/>
  <c r="T61" i="77"/>
  <c r="X62" i="77" s="1"/>
  <c r="X67" i="77" s="1"/>
  <c r="Y67" i="77" s="1"/>
  <c r="J28" i="77"/>
  <c r="J33" i="77" s="1"/>
  <c r="B93" i="76"/>
  <c r="I90" i="76"/>
  <c r="J93" i="76" s="1"/>
  <c r="I70" i="76"/>
  <c r="I87" i="76"/>
  <c r="J87" i="76" s="1"/>
  <c r="I86" i="76"/>
  <c r="J86" i="76" s="1"/>
  <c r="I85" i="76"/>
  <c r="J85" i="76" s="1"/>
  <c r="B93" i="75"/>
  <c r="I90" i="75"/>
  <c r="J93" i="75" s="1"/>
  <c r="I70" i="75"/>
  <c r="I87" i="75"/>
  <c r="J87" i="75" s="1"/>
  <c r="B93" i="74"/>
  <c r="I90" i="74"/>
  <c r="J93" i="74" s="1"/>
  <c r="I87" i="74"/>
  <c r="J87" i="74" s="1"/>
  <c r="I70" i="74"/>
  <c r="B93" i="73"/>
  <c r="I90" i="73"/>
  <c r="J93" i="73" s="1"/>
  <c r="I70" i="73"/>
  <c r="I87" i="73"/>
  <c r="J87" i="73" s="1"/>
  <c r="B93" i="72"/>
  <c r="I90" i="72"/>
  <c r="J93" i="72" s="1"/>
  <c r="I70" i="72"/>
  <c r="I87" i="72"/>
  <c r="J87" i="72" s="1"/>
  <c r="B93" i="71"/>
  <c r="I90" i="71"/>
  <c r="J93" i="71" s="1"/>
  <c r="I70" i="71"/>
  <c r="I87" i="71"/>
  <c r="J87" i="71" s="1"/>
  <c r="I70" i="70"/>
  <c r="I87" i="70"/>
  <c r="J87" i="70" s="1"/>
  <c r="B93" i="70"/>
  <c r="I90" i="70"/>
  <c r="J93" i="70" s="1"/>
  <c r="T61" i="69"/>
  <c r="X62" i="69" s="1"/>
  <c r="X67" i="69" s="1"/>
  <c r="Y67" i="69" s="1"/>
  <c r="T58" i="69"/>
  <c r="X59" i="69" s="1"/>
  <c r="X71" i="69" s="1"/>
  <c r="Y71" i="69" s="1"/>
  <c r="T64" i="69"/>
  <c r="X65" i="69" s="1"/>
  <c r="X70" i="69" s="1"/>
  <c r="Y70" i="69" s="1"/>
  <c r="T52" i="69"/>
  <c r="X53" i="69" s="1"/>
  <c r="B93" i="69"/>
  <c r="I90" i="69"/>
  <c r="J93" i="69" s="1"/>
  <c r="Y12" i="69"/>
  <c r="Y28" i="69" s="1"/>
  <c r="Y33" i="69" s="1"/>
  <c r="X28" i="69"/>
  <c r="S90" i="69"/>
  <c r="J28" i="69"/>
  <c r="J33" i="69" s="1"/>
  <c r="I87" i="69"/>
  <c r="J87" i="69" s="1"/>
  <c r="I70" i="69"/>
  <c r="I87" i="68"/>
  <c r="J87" i="68" s="1"/>
  <c r="I70" i="68"/>
  <c r="B93" i="68"/>
  <c r="I90" i="68"/>
  <c r="J93" i="68" s="1"/>
  <c r="T64" i="68"/>
  <c r="X65" i="68" s="1"/>
  <c r="X70" i="68" s="1"/>
  <c r="Y70" i="68" s="1"/>
  <c r="T58" i="68"/>
  <c r="X59" i="68" s="1"/>
  <c r="X71" i="68" s="1"/>
  <c r="Y71" i="68" s="1"/>
  <c r="T61" i="68"/>
  <c r="X62" i="68" s="1"/>
  <c r="X67" i="68" s="1"/>
  <c r="Y67" i="68" s="1"/>
  <c r="T52" i="68"/>
  <c r="X53" i="68" s="1"/>
  <c r="I86" i="68"/>
  <c r="J86" i="68" s="1"/>
  <c r="I85" i="68"/>
  <c r="J85" i="68" s="1"/>
  <c r="Y12" i="68"/>
  <c r="Y28" i="68" s="1"/>
  <c r="Y33" i="68" s="1"/>
  <c r="X28" i="68"/>
  <c r="S90" i="68"/>
  <c r="J28" i="68"/>
  <c r="J33" i="68" s="1"/>
  <c r="T64" i="67"/>
  <c r="X65" i="67" s="1"/>
  <c r="X70" i="67" s="1"/>
  <c r="Y70" i="67" s="1"/>
  <c r="T52" i="67"/>
  <c r="X53" i="67" s="1"/>
  <c r="T58" i="67"/>
  <c r="X59" i="67" s="1"/>
  <c r="X71" i="67" s="1"/>
  <c r="Y71" i="67" s="1"/>
  <c r="T61" i="67"/>
  <c r="X62" i="67" s="1"/>
  <c r="X67" i="67" s="1"/>
  <c r="Y67" i="67" s="1"/>
  <c r="S90" i="67"/>
  <c r="Y12" i="67"/>
  <c r="Y28" i="67" s="1"/>
  <c r="Y33" i="67" s="1"/>
  <c r="X28" i="67"/>
  <c r="I70" i="67"/>
  <c r="I87" i="67"/>
  <c r="J87" i="67" s="1"/>
  <c r="J28" i="67"/>
  <c r="J33" i="67" s="1"/>
  <c r="I86" i="67"/>
  <c r="J86" i="67" s="1"/>
  <c r="I85" i="67"/>
  <c r="J85" i="67" s="1"/>
  <c r="B93" i="67"/>
  <c r="I90" i="67"/>
  <c r="J93" i="67" s="1"/>
  <c r="I70" i="66"/>
  <c r="I87" i="66"/>
  <c r="J87" i="66" s="1"/>
  <c r="B93" i="65"/>
  <c r="I90" i="65"/>
  <c r="J93" i="65" s="1"/>
  <c r="I70" i="65"/>
  <c r="I87" i="65"/>
  <c r="J87" i="65" s="1"/>
  <c r="T52" i="64"/>
  <c r="X53" i="64" s="1"/>
  <c r="T58" i="64"/>
  <c r="X59" i="64" s="1"/>
  <c r="X71" i="64" s="1"/>
  <c r="Y71" i="64" s="1"/>
  <c r="T64" i="64"/>
  <c r="X65" i="64" s="1"/>
  <c r="X70" i="64" s="1"/>
  <c r="Y70" i="64" s="1"/>
  <c r="T61" i="64"/>
  <c r="X62" i="64" s="1"/>
  <c r="X67" i="64" s="1"/>
  <c r="Y67" i="64" s="1"/>
  <c r="J28" i="64"/>
  <c r="J33" i="64" s="1"/>
  <c r="I70" i="64"/>
  <c r="I87" i="64"/>
  <c r="J87" i="64" s="1"/>
  <c r="B93" i="64"/>
  <c r="I90" i="64"/>
  <c r="J93" i="64" s="1"/>
  <c r="X28" i="64"/>
  <c r="S90" i="64"/>
  <c r="Y12" i="64"/>
  <c r="Y28" i="64" s="1"/>
  <c r="Y33" i="64" s="1"/>
  <c r="J28" i="63"/>
  <c r="J33" i="63" s="1"/>
  <c r="I70" i="63"/>
  <c r="I87" i="63"/>
  <c r="J87" i="63" s="1"/>
  <c r="I86" i="63"/>
  <c r="J86" i="63" s="1"/>
  <c r="I85" i="63"/>
  <c r="J85" i="63" s="1"/>
  <c r="Y12" i="63"/>
  <c r="Y28" i="63" s="1"/>
  <c r="Y33" i="63" s="1"/>
  <c r="X28" i="63"/>
  <c r="S90" i="63"/>
  <c r="B93" i="63"/>
  <c r="I90" i="63"/>
  <c r="J93" i="63" s="1"/>
  <c r="T58" i="63"/>
  <c r="X59" i="63" s="1"/>
  <c r="X71" i="63" s="1"/>
  <c r="Y71" i="63" s="1"/>
  <c r="T64" i="63"/>
  <c r="X65" i="63" s="1"/>
  <c r="X70" i="63" s="1"/>
  <c r="Y70" i="63" s="1"/>
  <c r="T52" i="63"/>
  <c r="X53" i="63" s="1"/>
  <c r="T61" i="63"/>
  <c r="X62" i="63" s="1"/>
  <c r="X67" i="63" s="1"/>
  <c r="Y67" i="63" s="1"/>
  <c r="T64" i="62"/>
  <c r="X65" i="62" s="1"/>
  <c r="X70" i="62" s="1"/>
  <c r="Y70" i="62" s="1"/>
  <c r="T52" i="62"/>
  <c r="X53" i="62" s="1"/>
  <c r="T61" i="62"/>
  <c r="X62" i="62" s="1"/>
  <c r="X67" i="62" s="1"/>
  <c r="Y67" i="62" s="1"/>
  <c r="T58" i="62"/>
  <c r="X59" i="62" s="1"/>
  <c r="X71" i="62" s="1"/>
  <c r="Y71" i="62" s="1"/>
  <c r="B93" i="62"/>
  <c r="I90" i="62"/>
  <c r="J93" i="62" s="1"/>
  <c r="J28" i="62"/>
  <c r="J33" i="62" s="1"/>
  <c r="Y12" i="62"/>
  <c r="Y28" i="62" s="1"/>
  <c r="Y33" i="62" s="1"/>
  <c r="X28" i="62"/>
  <c r="S90" i="62"/>
  <c r="I86" i="62"/>
  <c r="J86" i="62" s="1"/>
  <c r="I85" i="62"/>
  <c r="J85" i="62" s="1"/>
  <c r="I70" i="62"/>
  <c r="I87" i="62"/>
  <c r="J87" i="62" s="1"/>
  <c r="I70" i="61"/>
  <c r="I87" i="61"/>
  <c r="J87" i="61" s="1"/>
  <c r="I86" i="61"/>
  <c r="J86" i="61" s="1"/>
  <c r="I85" i="61"/>
  <c r="J85" i="61" s="1"/>
  <c r="B93" i="61"/>
  <c r="I90" i="61"/>
  <c r="J93" i="61" s="1"/>
  <c r="B93" i="60"/>
  <c r="I90" i="60"/>
  <c r="J93" i="60" s="1"/>
  <c r="S93" i="59"/>
  <c r="X90" i="59"/>
  <c r="Y93" i="59" s="1"/>
  <c r="T58" i="59"/>
  <c r="X59" i="59" s="1"/>
  <c r="X71" i="59" s="1"/>
  <c r="Y71" i="59" s="1"/>
  <c r="T52" i="59"/>
  <c r="X53" i="59" s="1"/>
  <c r="T64" i="59"/>
  <c r="X65" i="59" s="1"/>
  <c r="X70" i="59" s="1"/>
  <c r="Y70" i="59" s="1"/>
  <c r="T61" i="59"/>
  <c r="X62" i="59" s="1"/>
  <c r="X67" i="59" s="1"/>
  <c r="Y67" i="59" s="1"/>
  <c r="I70" i="59"/>
  <c r="I87" i="59"/>
  <c r="J87" i="59" s="1"/>
  <c r="B93" i="59"/>
  <c r="I90" i="59"/>
  <c r="J93" i="59" s="1"/>
  <c r="Y38" i="58"/>
  <c r="I86" i="71" l="1"/>
  <c r="J86" i="71" s="1"/>
  <c r="I87" i="60"/>
  <c r="J87" i="60" s="1"/>
  <c r="C74" i="56"/>
  <c r="I85" i="96"/>
  <c r="J85" i="96" s="1"/>
  <c r="I85" i="105"/>
  <c r="J85" i="105" s="1"/>
  <c r="I85" i="102"/>
  <c r="J85" i="102" s="1"/>
  <c r="V33" i="62"/>
  <c r="T55" i="62"/>
  <c r="V33" i="67"/>
  <c r="T55" i="67"/>
  <c r="V33" i="68"/>
  <c r="T55" i="68"/>
  <c r="V33" i="69"/>
  <c r="T55" i="69"/>
  <c r="X56" i="69" s="1"/>
  <c r="X85" i="69" s="1"/>
  <c r="Y85" i="69" s="1"/>
  <c r="V33" i="61"/>
  <c r="T55" i="61"/>
  <c r="V33" i="64"/>
  <c r="T55" i="64"/>
  <c r="X85" i="86"/>
  <c r="Y85" i="86" s="1"/>
  <c r="X86" i="86"/>
  <c r="Y86" i="86" s="1"/>
  <c r="V33" i="102"/>
  <c r="T55" i="102"/>
  <c r="V33" i="77"/>
  <c r="T55" i="77"/>
  <c r="X56" i="77" s="1"/>
  <c r="X86" i="77" s="1"/>
  <c r="Y86" i="77" s="1"/>
  <c r="I85" i="84"/>
  <c r="J85" i="84" s="1"/>
  <c r="V33" i="76"/>
  <c r="T55" i="76"/>
  <c r="V33" i="63"/>
  <c r="T55" i="63"/>
  <c r="X56" i="66"/>
  <c r="I86" i="103"/>
  <c r="J86" i="103" s="1"/>
  <c r="I85" i="95"/>
  <c r="J85" i="95" s="1"/>
  <c r="I85" i="104"/>
  <c r="J85" i="104" s="1"/>
  <c r="I85" i="79"/>
  <c r="J85" i="79" s="1"/>
  <c r="X85" i="84"/>
  <c r="Y85" i="84" s="1"/>
  <c r="X86" i="84"/>
  <c r="Y86" i="84" s="1"/>
  <c r="X85" i="71"/>
  <c r="Y85" i="71" s="1"/>
  <c r="X86" i="71"/>
  <c r="Y86" i="71" s="1"/>
  <c r="I85" i="88"/>
  <c r="J85" i="88" s="1"/>
  <c r="I85" i="93"/>
  <c r="J85" i="93" s="1"/>
  <c r="I85" i="90"/>
  <c r="J85" i="90" s="1"/>
  <c r="I86" i="89"/>
  <c r="J86" i="89" s="1"/>
  <c r="I85" i="82"/>
  <c r="J85" i="82" s="1"/>
  <c r="I85" i="99"/>
  <c r="J85" i="99" s="1"/>
  <c r="I85" i="78"/>
  <c r="J85" i="78" s="1"/>
  <c r="I85" i="98"/>
  <c r="J85" i="98" s="1"/>
  <c r="I85" i="85"/>
  <c r="J85" i="85" s="1"/>
  <c r="I85" i="87"/>
  <c r="J85" i="87" s="1"/>
  <c r="I85" i="92"/>
  <c r="J85" i="92" s="1"/>
  <c r="I86" i="94"/>
  <c r="J86" i="94" s="1"/>
  <c r="X86" i="105"/>
  <c r="Y86" i="105" s="1"/>
  <c r="X85" i="105"/>
  <c r="Y85" i="105" s="1"/>
  <c r="X86" i="104"/>
  <c r="Y86" i="104" s="1"/>
  <c r="X85" i="104"/>
  <c r="Y85" i="104" s="1"/>
  <c r="X85" i="103"/>
  <c r="Y85" i="103" s="1"/>
  <c r="X86" i="103"/>
  <c r="Y86" i="103" s="1"/>
  <c r="X86" i="99"/>
  <c r="Y86" i="99" s="1"/>
  <c r="X85" i="99"/>
  <c r="Y85" i="99" s="1"/>
  <c r="X86" i="98"/>
  <c r="Y86" i="98" s="1"/>
  <c r="X85" i="98"/>
  <c r="Y85" i="98" s="1"/>
  <c r="X86" i="96"/>
  <c r="Y86" i="96" s="1"/>
  <c r="X85" i="96"/>
  <c r="Y85" i="96" s="1"/>
  <c r="X86" i="95"/>
  <c r="Y86" i="95" s="1"/>
  <c r="X85" i="95"/>
  <c r="Y85" i="95" s="1"/>
  <c r="X86" i="94"/>
  <c r="Y86" i="94" s="1"/>
  <c r="X85" i="94"/>
  <c r="Y85" i="94" s="1"/>
  <c r="X85" i="93"/>
  <c r="Y85" i="93" s="1"/>
  <c r="X86" i="93"/>
  <c r="Y86" i="93" s="1"/>
  <c r="X86" i="92"/>
  <c r="Y86" i="92" s="1"/>
  <c r="X85" i="92"/>
  <c r="Y85" i="92" s="1"/>
  <c r="I86" i="91"/>
  <c r="J86" i="91" s="1"/>
  <c r="X85" i="91"/>
  <c r="Y85" i="91" s="1"/>
  <c r="X86" i="91"/>
  <c r="Y86" i="91" s="1"/>
  <c r="X86" i="90"/>
  <c r="Y86" i="90" s="1"/>
  <c r="X85" i="90"/>
  <c r="Y85" i="90" s="1"/>
  <c r="X86" i="89"/>
  <c r="Y86" i="89" s="1"/>
  <c r="X85" i="89"/>
  <c r="Y85" i="89" s="1"/>
  <c r="X86" i="88"/>
  <c r="Y86" i="88" s="1"/>
  <c r="X85" i="88"/>
  <c r="Y85" i="88" s="1"/>
  <c r="X86" i="87"/>
  <c r="Y86" i="87" s="1"/>
  <c r="X85" i="87"/>
  <c r="Y85" i="87" s="1"/>
  <c r="X85" i="85"/>
  <c r="Y85" i="85" s="1"/>
  <c r="X86" i="85"/>
  <c r="Y86" i="85" s="1"/>
  <c r="X85" i="82"/>
  <c r="Y85" i="82" s="1"/>
  <c r="X86" i="82"/>
  <c r="Y86" i="82" s="1"/>
  <c r="I85" i="70"/>
  <c r="J85" i="70" s="1"/>
  <c r="I86" i="73"/>
  <c r="J86" i="73" s="1"/>
  <c r="I85" i="80"/>
  <c r="J85" i="80" s="1"/>
  <c r="I85" i="64"/>
  <c r="J85" i="64" s="1"/>
  <c r="I85" i="69"/>
  <c r="J85" i="69" s="1"/>
  <c r="X86" i="80"/>
  <c r="Y86" i="80" s="1"/>
  <c r="X85" i="80"/>
  <c r="Y85" i="80" s="1"/>
  <c r="X85" i="79"/>
  <c r="Y85" i="79" s="1"/>
  <c r="X86" i="79"/>
  <c r="Y86" i="79" s="1"/>
  <c r="X85" i="78"/>
  <c r="Y85" i="78" s="1"/>
  <c r="X86" i="78"/>
  <c r="Y86" i="78" s="1"/>
  <c r="I85" i="77"/>
  <c r="J85" i="77" s="1"/>
  <c r="I85" i="75"/>
  <c r="J85" i="75" s="1"/>
  <c r="X86" i="75"/>
  <c r="Y86" i="75" s="1"/>
  <c r="X85" i="75"/>
  <c r="Y85" i="75" s="1"/>
  <c r="I85" i="74"/>
  <c r="J85" i="74" s="1"/>
  <c r="X86" i="74"/>
  <c r="Y86" i="74" s="1"/>
  <c r="X85" i="74"/>
  <c r="Y85" i="74" s="1"/>
  <c r="X86" i="73"/>
  <c r="Y86" i="73" s="1"/>
  <c r="X85" i="73"/>
  <c r="Y85" i="73" s="1"/>
  <c r="I85" i="72"/>
  <c r="J85" i="72" s="1"/>
  <c r="X86" i="72"/>
  <c r="Y86" i="72" s="1"/>
  <c r="X85" i="72"/>
  <c r="Y85" i="72" s="1"/>
  <c r="X85" i="70"/>
  <c r="Y85" i="70" s="1"/>
  <c r="X86" i="70"/>
  <c r="Y86" i="70" s="1"/>
  <c r="I85" i="65"/>
  <c r="J85" i="65" s="1"/>
  <c r="X86" i="65"/>
  <c r="Y86" i="65" s="1"/>
  <c r="X85" i="65"/>
  <c r="Y85" i="65" s="1"/>
  <c r="X56" i="101"/>
  <c r="X85" i="101" s="1"/>
  <c r="Y85" i="101" s="1"/>
  <c r="I85" i="101"/>
  <c r="J85" i="101" s="1"/>
  <c r="I86" i="101"/>
  <c r="J86" i="101" s="1"/>
  <c r="I85" i="60"/>
  <c r="J85" i="60" s="1"/>
  <c r="I85" i="97"/>
  <c r="J85" i="97" s="1"/>
  <c r="I85" i="59"/>
  <c r="J85" i="59" s="1"/>
  <c r="X86" i="60"/>
  <c r="Y86" i="60" s="1"/>
  <c r="X85" i="60"/>
  <c r="Y85" i="60" s="1"/>
  <c r="X85" i="97"/>
  <c r="Y85" i="97" s="1"/>
  <c r="X86" i="97"/>
  <c r="Y86" i="97" s="1"/>
  <c r="X85" i="59"/>
  <c r="Y85" i="59" s="1"/>
  <c r="X86" i="59"/>
  <c r="Y86" i="59" s="1"/>
  <c r="X87" i="101"/>
  <c r="Y87" i="101" s="1"/>
  <c r="X69" i="101"/>
  <c r="S93" i="101"/>
  <c r="X90" i="101"/>
  <c r="Y93" i="101" s="1"/>
  <c r="X87" i="76"/>
  <c r="Y87" i="76" s="1"/>
  <c r="X69" i="76"/>
  <c r="X90" i="76"/>
  <c r="Y93" i="76" s="1"/>
  <c r="S93" i="76"/>
  <c r="I86" i="66"/>
  <c r="J86" i="66" s="1"/>
  <c r="I85" i="66"/>
  <c r="J85" i="66" s="1"/>
  <c r="X69" i="66"/>
  <c r="X87" i="66"/>
  <c r="Y87" i="66" s="1"/>
  <c r="X87" i="61"/>
  <c r="Y87" i="61" s="1"/>
  <c r="X69" i="61"/>
  <c r="X90" i="61"/>
  <c r="Y93" i="61" s="1"/>
  <c r="S93" i="61"/>
  <c r="X90" i="102"/>
  <c r="Y93" i="102" s="1"/>
  <c r="S93" i="102"/>
  <c r="X87" i="102"/>
  <c r="Y87" i="102" s="1"/>
  <c r="X69" i="102"/>
  <c r="S93" i="77"/>
  <c r="X90" i="77"/>
  <c r="Y93" i="77" s="1"/>
  <c r="X87" i="77"/>
  <c r="Y87" i="77" s="1"/>
  <c r="X69" i="77"/>
  <c r="X90" i="69"/>
  <c r="Y93" i="69" s="1"/>
  <c r="S93" i="69"/>
  <c r="X87" i="69"/>
  <c r="Y87" i="69" s="1"/>
  <c r="X69" i="69"/>
  <c r="X90" i="68"/>
  <c r="Y93" i="68" s="1"/>
  <c r="S93" i="68"/>
  <c r="X69" i="68"/>
  <c r="X87" i="68"/>
  <c r="Y87" i="68" s="1"/>
  <c r="X90" i="67"/>
  <c r="Y93" i="67" s="1"/>
  <c r="S93" i="67"/>
  <c r="X87" i="67"/>
  <c r="Y87" i="67" s="1"/>
  <c r="X69" i="67"/>
  <c r="X90" i="64"/>
  <c r="Y93" i="64" s="1"/>
  <c r="S93" i="64"/>
  <c r="X87" i="64"/>
  <c r="Y87" i="64" s="1"/>
  <c r="X69" i="64"/>
  <c r="X69" i="63"/>
  <c r="X87" i="63"/>
  <c r="Y87" i="63" s="1"/>
  <c r="S93" i="63"/>
  <c r="X90" i="63"/>
  <c r="Y93" i="63" s="1"/>
  <c r="X90" i="62"/>
  <c r="Y93" i="62" s="1"/>
  <c r="S93" i="62"/>
  <c r="X87" i="62"/>
  <c r="Y87" i="62" s="1"/>
  <c r="X69" i="62"/>
  <c r="X87" i="59"/>
  <c r="Y87" i="59" s="1"/>
  <c r="X69" i="59"/>
  <c r="X56" i="62" l="1"/>
  <c r="X56" i="63"/>
  <c r="X56" i="102"/>
  <c r="X56" i="76"/>
  <c r="X56" i="64"/>
  <c r="X56" i="68"/>
  <c r="X56" i="61"/>
  <c r="X56" i="67"/>
  <c r="X86" i="66"/>
  <c r="Y86" i="66" s="1"/>
  <c r="X85" i="66"/>
  <c r="Y85" i="66" s="1"/>
  <c r="X85" i="77"/>
  <c r="Y85" i="77" s="1"/>
  <c r="X86" i="101"/>
  <c r="Y86" i="101" s="1"/>
  <c r="X86" i="69"/>
  <c r="Y86" i="69" s="1"/>
  <c r="J114" i="97"/>
  <c r="X86" i="62" l="1"/>
  <c r="Y86" i="62" s="1"/>
  <c r="X85" i="62"/>
  <c r="Y85" i="62" s="1"/>
  <c r="X85" i="61"/>
  <c r="Y85" i="61" s="1"/>
  <c r="X86" i="61"/>
  <c r="Y86" i="61" s="1"/>
  <c r="X85" i="102"/>
  <c r="Y85" i="102" s="1"/>
  <c r="X86" i="102"/>
  <c r="Y86" i="102" s="1"/>
  <c r="X86" i="67"/>
  <c r="Y86" i="67" s="1"/>
  <c r="X85" i="67"/>
  <c r="Y85" i="67" s="1"/>
  <c r="X86" i="68"/>
  <c r="Y86" i="68" s="1"/>
  <c r="X85" i="68"/>
  <c r="Y85" i="68" s="1"/>
  <c r="X85" i="64"/>
  <c r="Y85" i="64" s="1"/>
  <c r="X86" i="64"/>
  <c r="Y86" i="64" s="1"/>
  <c r="X85" i="76"/>
  <c r="Y85" i="76" s="1"/>
  <c r="X86" i="76"/>
  <c r="Y86" i="76" s="1"/>
  <c r="X86" i="63"/>
  <c r="Y86" i="63" s="1"/>
  <c r="X85" i="63"/>
  <c r="Y85" i="63" s="1"/>
  <c r="J114" i="84"/>
  <c r="J114" i="71"/>
  <c r="I45" i="56" l="1"/>
  <c r="I47" i="56" s="1"/>
  <c r="E45" i="56"/>
  <c r="T6" i="2" l="1"/>
  <c r="R2" i="2"/>
  <c r="T91" i="2"/>
  <c r="T90" i="2"/>
  <c r="Y80" i="2"/>
  <c r="T92" i="2"/>
  <c r="J37" i="2"/>
  <c r="J36" i="2"/>
  <c r="I55" i="56" l="1"/>
  <c r="V90" i="2"/>
  <c r="V67" i="2"/>
  <c r="J38" i="2"/>
  <c r="Y104" i="2"/>
  <c r="V103" i="2"/>
  <c r="Y103" i="2" s="1"/>
  <c r="X83" i="2"/>
  <c r="Y102" i="2" l="1"/>
  <c r="Y105" i="2" s="1"/>
  <c r="E98" i="2" l="1"/>
  <c r="D50" i="2"/>
  <c r="E46" i="2" s="1"/>
  <c r="E64" i="56" s="1"/>
  <c r="C50" i="2"/>
  <c r="E49" i="2" l="1"/>
  <c r="E67" i="56" s="1"/>
  <c r="E48" i="2"/>
  <c r="E66" i="56" s="1"/>
  <c r="E47" i="2"/>
  <c r="E65" i="56" s="1"/>
  <c r="E41" i="2"/>
  <c r="E59" i="56" s="1"/>
  <c r="E42" i="2"/>
  <c r="E60" i="56" s="1"/>
  <c r="E43" i="2"/>
  <c r="E61" i="56" s="1"/>
  <c r="E44" i="2"/>
  <c r="E62" i="56" s="1"/>
  <c r="E45" i="2"/>
  <c r="E63" i="56" s="1"/>
  <c r="T24" i="2" l="1"/>
  <c r="X24" i="2" s="1"/>
  <c r="T23" i="2"/>
  <c r="X23" i="2" s="1"/>
  <c r="T21" i="2"/>
  <c r="X21" i="2" s="1"/>
  <c r="T16" i="2"/>
  <c r="X16" i="2" s="1"/>
  <c r="T15" i="2"/>
  <c r="X15" i="2" s="1"/>
  <c r="E68" i="56"/>
  <c r="T22" i="2"/>
  <c r="X22" i="2" s="1"/>
  <c r="T20" i="2"/>
  <c r="X20" i="2" s="1"/>
  <c r="T19" i="2"/>
  <c r="X19" i="2" s="1"/>
  <c r="T18" i="2"/>
  <c r="X18" i="2" s="1"/>
  <c r="T17" i="2"/>
  <c r="X17" i="2" s="1"/>
  <c r="T13" i="2"/>
  <c r="X13" i="2" s="1"/>
  <c r="T12" i="2"/>
  <c r="X12" i="2" s="1"/>
  <c r="T26" i="2"/>
  <c r="X26" i="2" s="1"/>
  <c r="T14" i="2"/>
  <c r="X14" i="2" s="1"/>
  <c r="T25" i="2"/>
  <c r="X25" i="2" s="1"/>
  <c r="T27" i="2"/>
  <c r="X27" i="2" s="1"/>
  <c r="S92" i="2" l="1"/>
  <c r="S91" i="2"/>
  <c r="S90" i="2"/>
  <c r="X90" i="2" s="1"/>
  <c r="T28" i="2"/>
  <c r="T64" i="2" s="1"/>
  <c r="X28" i="2"/>
  <c r="V33" i="2" s="1"/>
  <c r="J104" i="2"/>
  <c r="G103" i="2"/>
  <c r="J81" i="2"/>
  <c r="I84" i="2" s="1"/>
  <c r="E50" i="2"/>
  <c r="T61" i="2" l="1"/>
  <c r="T52" i="2"/>
  <c r="T58" i="2"/>
  <c r="V85" i="2"/>
  <c r="V92" i="2"/>
  <c r="X92" i="2" s="1"/>
  <c r="X52" i="2"/>
  <c r="X58" i="2"/>
  <c r="V91" i="2"/>
  <c r="X91" i="2" s="1"/>
  <c r="X61" i="2"/>
  <c r="V71" i="2"/>
  <c r="X64" i="2"/>
  <c r="X65" i="2" s="1"/>
  <c r="X70" i="2" s="1"/>
  <c r="X55" i="2"/>
  <c r="J106" i="56"/>
  <c r="V70" i="2"/>
  <c r="Y24" i="2"/>
  <c r="Y21" i="2"/>
  <c r="Y23" i="2"/>
  <c r="Y15" i="2"/>
  <c r="Y26" i="2"/>
  <c r="Y17" i="2"/>
  <c r="Y14" i="2"/>
  <c r="Y22" i="2"/>
  <c r="Y12" i="2"/>
  <c r="Y27" i="2"/>
  <c r="Y20" i="2"/>
  <c r="Y25" i="2"/>
  <c r="Y19" i="2"/>
  <c r="Y18" i="2"/>
  <c r="Y16" i="2"/>
  <c r="Y13" i="2"/>
  <c r="S93" i="2"/>
  <c r="J84" i="2"/>
  <c r="V83" i="2"/>
  <c r="Y83" i="2" s="1"/>
  <c r="J42" i="2"/>
  <c r="I60" i="56" s="1"/>
  <c r="X42" i="2"/>
  <c r="Y42" i="2" s="1"/>
  <c r="J44" i="2"/>
  <c r="I62" i="56" s="1"/>
  <c r="X44" i="2"/>
  <c r="Y44" i="2" s="1"/>
  <c r="J48" i="2"/>
  <c r="I66" i="56" s="1"/>
  <c r="X48" i="2"/>
  <c r="Y48" i="2" s="1"/>
  <c r="D92" i="2"/>
  <c r="J45" i="2"/>
  <c r="I63" i="56" s="1"/>
  <c r="X45" i="2"/>
  <c r="Y45" i="2" s="1"/>
  <c r="J46" i="2"/>
  <c r="I64" i="56" s="1"/>
  <c r="X46" i="2"/>
  <c r="Y46" i="2" s="1"/>
  <c r="J98" i="2"/>
  <c r="X97" i="2"/>
  <c r="Y97" i="2" s="1"/>
  <c r="J41" i="2"/>
  <c r="I59" i="56" s="1"/>
  <c r="X41" i="2"/>
  <c r="Y41" i="2" s="1"/>
  <c r="X43" i="2"/>
  <c r="Y43" i="2" s="1"/>
  <c r="J43" i="2"/>
  <c r="I61" i="56" s="1"/>
  <c r="J97" i="2"/>
  <c r="I127" i="56" s="1"/>
  <c r="X96" i="2"/>
  <c r="Y96" i="2" s="1"/>
  <c r="J47" i="2"/>
  <c r="I65" i="56" s="1"/>
  <c r="X47" i="2"/>
  <c r="Y47" i="2" s="1"/>
  <c r="J49" i="2"/>
  <c r="I67" i="56" s="1"/>
  <c r="X49" i="2"/>
  <c r="Y49" i="2" s="1"/>
  <c r="J103" i="2"/>
  <c r="J31" i="2"/>
  <c r="J102" i="2"/>
  <c r="D90" i="2"/>
  <c r="D91" i="2"/>
  <c r="X59" i="2" l="1"/>
  <c r="X71" i="2" s="1"/>
  <c r="Y71" i="2" s="1"/>
  <c r="X53" i="2"/>
  <c r="X69" i="2" s="1"/>
  <c r="X62" i="2"/>
  <c r="X67" i="2" s="1"/>
  <c r="Y67" i="2" s="1"/>
  <c r="Y93" i="2"/>
  <c r="Y70" i="2"/>
  <c r="I68" i="56"/>
  <c r="H84" i="56"/>
  <c r="H91" i="56" s="1"/>
  <c r="K91" i="56" s="1"/>
  <c r="H72" i="56"/>
  <c r="H81" i="56"/>
  <c r="H86" i="56" s="1"/>
  <c r="K86" i="56" s="1"/>
  <c r="H78" i="56"/>
  <c r="H93" i="56" s="1"/>
  <c r="K93" i="56" s="1"/>
  <c r="J50" i="2"/>
  <c r="Y28" i="2"/>
  <c r="Y50" i="2"/>
  <c r="J32" i="2"/>
  <c r="Y31" i="2"/>
  <c r="Y32" i="2" s="1"/>
  <c r="J105" i="2"/>
  <c r="X87" i="2" l="1"/>
  <c r="Y87" i="2" s="1"/>
  <c r="H89" i="56"/>
  <c r="H112" i="56"/>
  <c r="H75" i="56"/>
  <c r="Y33" i="2"/>
  <c r="T55" i="2" s="1"/>
  <c r="X56" i="2" s="1"/>
  <c r="V37" i="2"/>
  <c r="Y37" i="2" s="1"/>
  <c r="V36" i="2"/>
  <c r="Y36" i="2" s="1"/>
  <c r="X85" i="2" l="1"/>
  <c r="Y85" i="2" s="1"/>
  <c r="X86" i="2"/>
  <c r="Y86" i="2" s="1"/>
  <c r="Y38" i="2"/>
  <c r="H108" i="56"/>
  <c r="K108" i="56" s="1"/>
  <c r="H110" i="56"/>
  <c r="J70" i="67" l="1"/>
  <c r="J107" i="67" s="1"/>
  <c r="J109" i="67" s="1"/>
  <c r="J17" i="54" s="1"/>
  <c r="J70" i="69"/>
  <c r="J107" i="69" s="1"/>
  <c r="J109" i="69" s="1"/>
  <c r="J70" i="99"/>
  <c r="J107" i="99" s="1"/>
  <c r="V69" i="76"/>
  <c r="Y69" i="76" s="1"/>
  <c r="Y107" i="76" s="1"/>
  <c r="Y109" i="76" s="1"/>
  <c r="J111" i="76" s="1"/>
  <c r="I114" i="76" s="1"/>
  <c r="J70" i="90"/>
  <c r="J107" i="90" s="1"/>
  <c r="J70" i="71"/>
  <c r="J107" i="71" s="1"/>
  <c r="V69" i="67"/>
  <c r="Y69" i="67" s="1"/>
  <c r="Y107" i="67" s="1"/>
  <c r="Y109" i="67" s="1"/>
  <c r="J111" i="67" s="1"/>
  <c r="I114" i="67" s="1"/>
  <c r="V69" i="61"/>
  <c r="Y69" i="61" s="1"/>
  <c r="Y107" i="61" s="1"/>
  <c r="Y109" i="61" s="1"/>
  <c r="J111" i="61" s="1"/>
  <c r="I114" i="61" s="1"/>
  <c r="V69" i="58"/>
  <c r="J70" i="60"/>
  <c r="J107" i="60" s="1"/>
  <c r="J70" i="76"/>
  <c r="J107" i="76" s="1"/>
  <c r="V69" i="63"/>
  <c r="Y69" i="63" s="1"/>
  <c r="Y107" i="63" s="1"/>
  <c r="Y109" i="63" s="1"/>
  <c r="J111" i="63" s="1"/>
  <c r="I114" i="63" s="1"/>
  <c r="J70" i="68"/>
  <c r="J107" i="68" s="1"/>
  <c r="V69" i="66"/>
  <c r="Y69" i="66" s="1"/>
  <c r="Y107" i="66" s="1"/>
  <c r="Y109" i="66" s="1"/>
  <c r="J111" i="66" s="1"/>
  <c r="I114" i="66" s="1"/>
  <c r="V69" i="101"/>
  <c r="Y69" i="101" s="1"/>
  <c r="Y107" i="101" s="1"/>
  <c r="Y109" i="101" s="1"/>
  <c r="J111" i="101" s="1"/>
  <c r="I114" i="101" s="1"/>
  <c r="J70" i="65"/>
  <c r="J107" i="65" s="1"/>
  <c r="J70" i="63"/>
  <c r="J107" i="63" s="1"/>
  <c r="J70" i="59"/>
  <c r="J107" i="59" s="1"/>
  <c r="V69" i="69"/>
  <c r="Y69" i="69" s="1"/>
  <c r="Y107" i="69" s="1"/>
  <c r="Y109" i="69" s="1"/>
  <c r="J111" i="69" s="1"/>
  <c r="J70" i="80"/>
  <c r="J107" i="80" s="1"/>
  <c r="J70" i="72"/>
  <c r="J107" i="72" s="1"/>
  <c r="V69" i="72"/>
  <c r="Y69" i="72" s="1"/>
  <c r="Y107" i="72" s="1"/>
  <c r="Y109" i="72" s="1"/>
  <c r="J111" i="72" s="1"/>
  <c r="J70" i="70"/>
  <c r="J107" i="70" s="1"/>
  <c r="J70" i="87"/>
  <c r="J107" i="87" s="1"/>
  <c r="V69" i="87"/>
  <c r="Y69" i="87" s="1"/>
  <c r="Y107" i="87" s="1"/>
  <c r="Y109" i="87" s="1"/>
  <c r="J111" i="87" s="1"/>
  <c r="J70" i="104"/>
  <c r="J107" i="104" s="1"/>
  <c r="J70" i="81"/>
  <c r="J107" i="81" s="1"/>
  <c r="V69" i="81"/>
  <c r="Y69" i="81" s="1"/>
  <c r="Y107" i="81" s="1"/>
  <c r="Y109" i="81" s="1"/>
  <c r="J111" i="81" s="1"/>
  <c r="J70" i="95"/>
  <c r="J107" i="95" s="1"/>
  <c r="J70" i="89"/>
  <c r="J107" i="89" s="1"/>
  <c r="V69" i="89"/>
  <c r="Y69" i="89" s="1"/>
  <c r="Y107" i="89" s="1"/>
  <c r="Y109" i="89" s="1"/>
  <c r="J111" i="89" s="1"/>
  <c r="J70" i="85"/>
  <c r="J107" i="85" s="1"/>
  <c r="J70" i="108"/>
  <c r="J107" i="108" s="1"/>
  <c r="J70" i="77"/>
  <c r="J107" i="77" s="1"/>
  <c r="J70" i="91"/>
  <c r="J107" i="91" s="1"/>
  <c r="V69" i="91"/>
  <c r="Y69" i="91" s="1"/>
  <c r="Y107" i="91" s="1"/>
  <c r="Y109" i="91" s="1"/>
  <c r="J111" i="91" s="1"/>
  <c r="J70" i="100"/>
  <c r="J107" i="100" s="1"/>
  <c r="J70" i="88"/>
  <c r="J107" i="88" s="1"/>
  <c r="V69" i="88"/>
  <c r="Y69" i="88" s="1"/>
  <c r="Y107" i="88" s="1"/>
  <c r="Y109" i="88" s="1"/>
  <c r="J111" i="88" s="1"/>
  <c r="J70" i="93"/>
  <c r="J107" i="93" s="1"/>
  <c r="V69" i="99"/>
  <c r="Y69" i="99"/>
  <c r="Y107" i="99" s="1"/>
  <c r="Y109" i="99" s="1"/>
  <c r="J111" i="99" s="1"/>
  <c r="J70" i="103"/>
  <c r="J107" i="103" s="1"/>
  <c r="V69" i="71"/>
  <c r="Y69" i="71"/>
  <c r="Y107" i="71" s="1"/>
  <c r="Y109" i="71" s="1"/>
  <c r="J111" i="71" s="1"/>
  <c r="J70" i="96"/>
  <c r="J107" i="96" s="1"/>
  <c r="J70" i="73"/>
  <c r="J107" i="73" s="1"/>
  <c r="V69" i="73"/>
  <c r="Y69" i="73" s="1"/>
  <c r="Y107" i="73" s="1"/>
  <c r="Y109" i="73" s="1"/>
  <c r="J111" i="73" s="1"/>
  <c r="V69" i="86"/>
  <c r="Y69" i="86" s="1"/>
  <c r="J70" i="64"/>
  <c r="J107" i="64" s="1"/>
  <c r="V69" i="64"/>
  <c r="Y69" i="64" s="1"/>
  <c r="Y107" i="64" s="1"/>
  <c r="Y109" i="64" s="1"/>
  <c r="J111" i="64" s="1"/>
  <c r="J70" i="75"/>
  <c r="J107" i="75" s="1"/>
  <c r="V69" i="75"/>
  <c r="Y69" i="75" s="1"/>
  <c r="Y107" i="75" s="1"/>
  <c r="Y109" i="75" s="1"/>
  <c r="J111" i="75" s="1"/>
  <c r="V69" i="65"/>
  <c r="Y69" i="65" s="1"/>
  <c r="Y107" i="65" s="1"/>
  <c r="Y109" i="65" s="1"/>
  <c r="J111" i="65" s="1"/>
  <c r="J70" i="107"/>
  <c r="J107" i="107" s="1"/>
  <c r="V69" i="107"/>
  <c r="Y69" i="107" s="1"/>
  <c r="Y107" i="107" s="1"/>
  <c r="Y109" i="107" s="1"/>
  <c r="J111" i="107" s="1"/>
  <c r="J70" i="97"/>
  <c r="J107" i="97" s="1"/>
  <c r="V69" i="97"/>
  <c r="Y69" i="97" s="1"/>
  <c r="Y107" i="97" s="1"/>
  <c r="Y109" i="97" s="1"/>
  <c r="J111" i="97" s="1"/>
  <c r="J70" i="78"/>
  <c r="J107" i="78" s="1"/>
  <c r="V69" i="78"/>
  <c r="Y69" i="78" s="1"/>
  <c r="Y107" i="78" s="1"/>
  <c r="Y109" i="78" s="1"/>
  <c r="J111" i="78" s="1"/>
  <c r="J70" i="74"/>
  <c r="J107" i="74" s="1"/>
  <c r="V69" i="74"/>
  <c r="Y69" i="74" s="1"/>
  <c r="Y107" i="74" s="1"/>
  <c r="Y109" i="74" s="1"/>
  <c r="J111" i="74" s="1"/>
  <c r="V69" i="90"/>
  <c r="Y69" i="90" s="1"/>
  <c r="Y107" i="90" s="1"/>
  <c r="Y109" i="90" s="1"/>
  <c r="J111" i="90" s="1"/>
  <c r="J70" i="102"/>
  <c r="J107" i="102" s="1"/>
  <c r="V69" i="102"/>
  <c r="Y69" i="102" s="1"/>
  <c r="Y107" i="102" s="1"/>
  <c r="Y109" i="102" s="1"/>
  <c r="J111" i="102" s="1"/>
  <c r="J70" i="94"/>
  <c r="J107" i="94" s="1"/>
  <c r="V69" i="94"/>
  <c r="Y69" i="94" s="1"/>
  <c r="Y107" i="94" s="1"/>
  <c r="Y109" i="94" s="1"/>
  <c r="J111" i="94" s="1"/>
  <c r="V69" i="60"/>
  <c r="Y69" i="60" s="1"/>
  <c r="Y107" i="60" s="1"/>
  <c r="Y109" i="60" s="1"/>
  <c r="J111" i="60" s="1"/>
  <c r="J70" i="79"/>
  <c r="J107" i="79" s="1"/>
  <c r="J70" i="92"/>
  <c r="J107" i="92" s="1"/>
  <c r="J70" i="82"/>
  <c r="J107" i="82" s="1"/>
  <c r="J70" i="105"/>
  <c r="J107" i="105" s="1"/>
  <c r="J70" i="98"/>
  <c r="J107" i="98" s="1"/>
  <c r="V69" i="98"/>
  <c r="Y69" i="98" s="1"/>
  <c r="Y107" i="98" s="1"/>
  <c r="Y109" i="98" s="1"/>
  <c r="J111" i="98" s="1"/>
  <c r="J70" i="83"/>
  <c r="J107" i="83" s="1"/>
  <c r="J70" i="84"/>
  <c r="J107" i="84" s="1"/>
  <c r="V69" i="84"/>
  <c r="Y69" i="84" s="1"/>
  <c r="Y107" i="84" s="1"/>
  <c r="Y109" i="84" s="1"/>
  <c r="J111" i="84" s="1"/>
  <c r="V69" i="83"/>
  <c r="Y69" i="83" s="1"/>
  <c r="Y107" i="83" s="1"/>
  <c r="Y109" i="83" s="1"/>
  <c r="J111" i="83" s="1"/>
  <c r="V69" i="2"/>
  <c r="Y69" i="2" s="1"/>
  <c r="Y107" i="2" s="1"/>
  <c r="Y109" i="2" s="1"/>
  <c r="J111" i="2" s="1"/>
  <c r="I43" i="54" l="1"/>
  <c r="Q43" i="54" s="1"/>
  <c r="J109" i="92"/>
  <c r="J109" i="82"/>
  <c r="I33" i="54"/>
  <c r="Q33" i="54" s="1"/>
  <c r="J109" i="74"/>
  <c r="I25" i="54"/>
  <c r="Q25" i="54" s="1"/>
  <c r="J109" i="64"/>
  <c r="I14" i="54"/>
  <c r="Q14" i="54" s="1"/>
  <c r="J109" i="95"/>
  <c r="I46" i="54"/>
  <c r="Q46" i="54" s="1"/>
  <c r="J109" i="59"/>
  <c r="I9" i="54"/>
  <c r="Q9" i="54" s="1"/>
  <c r="J109" i="81"/>
  <c r="I32" i="54"/>
  <c r="Q32" i="54" s="1"/>
  <c r="J109" i="88"/>
  <c r="I39" i="54"/>
  <c r="Q39" i="54" s="1"/>
  <c r="I55" i="54"/>
  <c r="J109" i="104"/>
  <c r="J109" i="65"/>
  <c r="I15" i="54"/>
  <c r="Q15" i="54" s="1"/>
  <c r="I44" i="54"/>
  <c r="Q44" i="54" s="1"/>
  <c r="J109" i="93"/>
  <c r="I24" i="54"/>
  <c r="Q24" i="54" s="1"/>
  <c r="J109" i="73"/>
  <c r="J109" i="100"/>
  <c r="I51" i="54"/>
  <c r="Q51" i="54" s="1"/>
  <c r="J114" i="101"/>
  <c r="K52" i="54" s="1"/>
  <c r="J114" i="61"/>
  <c r="K11" i="54" s="1"/>
  <c r="J109" i="96"/>
  <c r="I47" i="54"/>
  <c r="Q47" i="54" s="1"/>
  <c r="J109" i="87"/>
  <c r="I38" i="54"/>
  <c r="Q38" i="54" s="1"/>
  <c r="J114" i="66"/>
  <c r="K16" i="54" s="1"/>
  <c r="J114" i="67"/>
  <c r="K17" i="54" s="1"/>
  <c r="J109" i="94"/>
  <c r="I45" i="54"/>
  <c r="Q45" i="54" s="1"/>
  <c r="J109" i="91"/>
  <c r="I42" i="54"/>
  <c r="Q42" i="54" s="1"/>
  <c r="J109" i="70"/>
  <c r="I21" i="54"/>
  <c r="Q21" i="54" s="1"/>
  <c r="I18" i="54"/>
  <c r="Q18" i="54" s="1"/>
  <c r="J109" i="68"/>
  <c r="J18" i="54" s="1"/>
  <c r="J109" i="79"/>
  <c r="I30" i="54"/>
  <c r="Q30" i="54" s="1"/>
  <c r="J114" i="63"/>
  <c r="K13" i="54" s="1"/>
  <c r="J109" i="71"/>
  <c r="I114" i="71" s="1"/>
  <c r="J126" i="71" s="1"/>
  <c r="J116" i="71"/>
  <c r="J120" i="71" s="1"/>
  <c r="J124" i="71" s="1"/>
  <c r="E165" i="106" s="1"/>
  <c r="J116" i="97"/>
  <c r="J109" i="97"/>
  <c r="I114" i="97" s="1"/>
  <c r="J126" i="97" s="1"/>
  <c r="J109" i="84"/>
  <c r="I114" i="84" s="1"/>
  <c r="J126" i="84" s="1"/>
  <c r="J116" i="84"/>
  <c r="J120" i="84" s="1"/>
  <c r="J124" i="84" s="1"/>
  <c r="E284" i="106" s="1"/>
  <c r="J109" i="102"/>
  <c r="I53" i="54"/>
  <c r="J109" i="108"/>
  <c r="I19" i="54"/>
  <c r="Q19" i="54" s="1"/>
  <c r="J109" i="72"/>
  <c r="I23" i="54"/>
  <c r="Q23" i="54" s="1"/>
  <c r="J109" i="76"/>
  <c r="J27" i="54" s="1"/>
  <c r="I27" i="54"/>
  <c r="Q27" i="54" s="1"/>
  <c r="I41" i="54"/>
  <c r="Q41" i="54" s="1"/>
  <c r="J109" i="90"/>
  <c r="I13" i="54"/>
  <c r="Q13" i="54" s="1"/>
  <c r="J109" i="63"/>
  <c r="J13" i="54" s="1"/>
  <c r="I7" i="54"/>
  <c r="Q7" i="54" s="1"/>
  <c r="J109" i="107"/>
  <c r="I54" i="54"/>
  <c r="J109" i="103"/>
  <c r="J109" i="85"/>
  <c r="I36" i="54"/>
  <c r="Q36" i="54" s="1"/>
  <c r="I31" i="54"/>
  <c r="Q31" i="54" s="1"/>
  <c r="J109" i="80"/>
  <c r="J114" i="76"/>
  <c r="K27" i="54" s="1"/>
  <c r="I29" i="54"/>
  <c r="Q29" i="54" s="1"/>
  <c r="J109" i="78"/>
  <c r="J109" i="83"/>
  <c r="I34" i="54"/>
  <c r="Q34" i="54" s="1"/>
  <c r="J109" i="77"/>
  <c r="I28" i="54"/>
  <c r="Q28" i="54" s="1"/>
  <c r="J109" i="98"/>
  <c r="I49" i="54"/>
  <c r="Q49" i="54" s="1"/>
  <c r="J109" i="60"/>
  <c r="I10" i="54"/>
  <c r="Q10" i="54" s="1"/>
  <c r="J109" i="99"/>
  <c r="I50" i="54"/>
  <c r="Q50" i="54" s="1"/>
  <c r="J109" i="75"/>
  <c r="I26" i="54"/>
  <c r="Q26" i="54" s="1"/>
  <c r="J109" i="105"/>
  <c r="I56" i="54"/>
  <c r="J109" i="89"/>
  <c r="I40" i="54"/>
  <c r="Q40" i="54" s="1"/>
  <c r="I114" i="69"/>
  <c r="J20" i="54"/>
  <c r="V69" i="105"/>
  <c r="Y69" i="105" s="1"/>
  <c r="Y107" i="105" s="1"/>
  <c r="Y109" i="105" s="1"/>
  <c r="J111" i="105" s="1"/>
  <c r="V69" i="92"/>
  <c r="Y69" i="92" s="1"/>
  <c r="Y107" i="92" s="1"/>
  <c r="Y109" i="92" s="1"/>
  <c r="J111" i="92" s="1"/>
  <c r="V69" i="96"/>
  <c r="Y69" i="96" s="1"/>
  <c r="Y107" i="96" s="1"/>
  <c r="Y109" i="96" s="1"/>
  <c r="J111" i="96" s="1"/>
  <c r="V69" i="103"/>
  <c r="Y69" i="103" s="1"/>
  <c r="Y107" i="103" s="1"/>
  <c r="Y109" i="103" s="1"/>
  <c r="J111" i="103" s="1"/>
  <c r="V69" i="93"/>
  <c r="Y69" i="93" s="1"/>
  <c r="Y107" i="93" s="1"/>
  <c r="Y109" i="93" s="1"/>
  <c r="J111" i="93" s="1"/>
  <c r="V69" i="100"/>
  <c r="Y69" i="100" s="1"/>
  <c r="Y107" i="100" s="1"/>
  <c r="Y109" i="100" s="1"/>
  <c r="J111" i="100" s="1"/>
  <c r="V69" i="77"/>
  <c r="Y69" i="77" s="1"/>
  <c r="Y107" i="77" s="1"/>
  <c r="Y109" i="77" s="1"/>
  <c r="J111" i="77" s="1"/>
  <c r="V69" i="85"/>
  <c r="Y69" i="85" s="1"/>
  <c r="Y107" i="85" s="1"/>
  <c r="Y109" i="85" s="1"/>
  <c r="J111" i="85" s="1"/>
  <c r="V69" i="95"/>
  <c r="Y69" i="95" s="1"/>
  <c r="Y107" i="95" s="1"/>
  <c r="Y109" i="95" s="1"/>
  <c r="J111" i="95" s="1"/>
  <c r="V69" i="104"/>
  <c r="Y69" i="104" s="1"/>
  <c r="Y107" i="104" s="1"/>
  <c r="Y109" i="104" s="1"/>
  <c r="J111" i="104" s="1"/>
  <c r="V69" i="70"/>
  <c r="Y69" i="70" s="1"/>
  <c r="Y107" i="70" s="1"/>
  <c r="Y109" i="70" s="1"/>
  <c r="J111" i="70" s="1"/>
  <c r="V69" i="80"/>
  <c r="Y69" i="80" s="1"/>
  <c r="Y107" i="80" s="1"/>
  <c r="Y109" i="80" s="1"/>
  <c r="J111" i="80" s="1"/>
  <c r="V69" i="59"/>
  <c r="Y69" i="59" s="1"/>
  <c r="Y107" i="59" s="1"/>
  <c r="Y109" i="59" s="1"/>
  <c r="J111" i="59" s="1"/>
  <c r="I20" i="54"/>
  <c r="Q20" i="54" s="1"/>
  <c r="V69" i="79"/>
  <c r="Y69" i="79" s="1"/>
  <c r="J70" i="66"/>
  <c r="J107" i="66" s="1"/>
  <c r="V69" i="68"/>
  <c r="Y69" i="68" s="1"/>
  <c r="Y107" i="68" s="1"/>
  <c r="Y109" i="68" s="1"/>
  <c r="J111" i="68" s="1"/>
  <c r="I114" i="68" s="1"/>
  <c r="J70" i="61"/>
  <c r="J107" i="61" s="1"/>
  <c r="V69" i="82"/>
  <c r="Y69" i="82" s="1"/>
  <c r="Y107" i="82" s="1"/>
  <c r="Y109" i="82" s="1"/>
  <c r="J111" i="82" s="1"/>
  <c r="V69" i="108"/>
  <c r="Y69" i="108" s="1"/>
  <c r="Y107" i="108" s="1"/>
  <c r="Y109" i="108" s="1"/>
  <c r="J111" i="108" s="1"/>
  <c r="J70" i="101"/>
  <c r="J107" i="101" s="1"/>
  <c r="I17" i="54"/>
  <c r="Q17" i="54" s="1"/>
  <c r="J70" i="86"/>
  <c r="J107" i="86" s="1"/>
  <c r="V69" i="62"/>
  <c r="Y69" i="62" s="1"/>
  <c r="Y107" i="62" s="1"/>
  <c r="Y109" i="62" s="1"/>
  <c r="J111" i="62" s="1"/>
  <c r="I114" i="62" s="1"/>
  <c r="J70" i="62"/>
  <c r="J107" i="62" s="1"/>
  <c r="G165" i="106" l="1"/>
  <c r="G284" i="106"/>
  <c r="J126" i="66"/>
  <c r="J116" i="76"/>
  <c r="J120" i="76" s="1"/>
  <c r="J124" i="76" s="1"/>
  <c r="J109" i="66"/>
  <c r="J16" i="54" s="1"/>
  <c r="G16" i="54" s="1"/>
  <c r="J116" i="66"/>
  <c r="I16" i="54"/>
  <c r="Q16" i="54" s="1"/>
  <c r="I114" i="105"/>
  <c r="J56" i="54"/>
  <c r="J49" i="54"/>
  <c r="I114" i="98"/>
  <c r="I114" i="80"/>
  <c r="J31" i="54"/>
  <c r="J126" i="63"/>
  <c r="J42" i="54"/>
  <c r="I114" i="91"/>
  <c r="I114" i="93"/>
  <c r="J44" i="54"/>
  <c r="I114" i="77"/>
  <c r="J28" i="54"/>
  <c r="J116" i="63"/>
  <c r="I114" i="96"/>
  <c r="J47" i="54"/>
  <c r="I114" i="64"/>
  <c r="J14" i="54"/>
  <c r="I114" i="75"/>
  <c r="J26" i="54"/>
  <c r="J41" i="54"/>
  <c r="I114" i="90"/>
  <c r="I114" i="94"/>
  <c r="J45" i="54"/>
  <c r="J126" i="61"/>
  <c r="J36" i="54"/>
  <c r="I114" i="85"/>
  <c r="J30" i="54"/>
  <c r="I114" i="79"/>
  <c r="R11" i="54"/>
  <c r="J32" i="54"/>
  <c r="I114" i="81"/>
  <c r="J25" i="54"/>
  <c r="I114" i="74"/>
  <c r="I114" i="102"/>
  <c r="J53" i="54"/>
  <c r="J126" i="67"/>
  <c r="J126" i="101"/>
  <c r="I114" i="83"/>
  <c r="J34" i="54"/>
  <c r="G17" i="54"/>
  <c r="F17" i="54"/>
  <c r="R17" i="54"/>
  <c r="R52" i="54"/>
  <c r="J15" i="54"/>
  <c r="I114" i="65"/>
  <c r="I114" i="108"/>
  <c r="J19" i="54"/>
  <c r="J116" i="101"/>
  <c r="I52" i="54"/>
  <c r="Q52" i="54" s="1"/>
  <c r="J109" i="101"/>
  <c r="J52" i="54" s="1"/>
  <c r="G52" i="54" s="1"/>
  <c r="J116" i="61"/>
  <c r="I11" i="54"/>
  <c r="Q11" i="54" s="1"/>
  <c r="J109" i="61"/>
  <c r="J11" i="54" s="1"/>
  <c r="G11" i="54" s="1"/>
  <c r="I114" i="104"/>
  <c r="J55" i="54"/>
  <c r="J109" i="62"/>
  <c r="J12" i="54" s="1"/>
  <c r="I12" i="54"/>
  <c r="Q12" i="54" s="1"/>
  <c r="I114" i="78"/>
  <c r="J29" i="54"/>
  <c r="J114" i="68"/>
  <c r="J126" i="68" s="1"/>
  <c r="I114" i="60"/>
  <c r="J10" i="54"/>
  <c r="R16" i="54"/>
  <c r="J9" i="54"/>
  <c r="I114" i="59"/>
  <c r="I114" i="82"/>
  <c r="J33" i="54"/>
  <c r="J50" i="54"/>
  <c r="I114" i="99"/>
  <c r="I114" i="89"/>
  <c r="J40" i="54"/>
  <c r="I114" i="107"/>
  <c r="J7" i="54"/>
  <c r="I114" i="100"/>
  <c r="J51" i="54"/>
  <c r="Q55" i="54"/>
  <c r="I114" i="92"/>
  <c r="J43" i="54"/>
  <c r="J114" i="69"/>
  <c r="J126" i="69" s="1"/>
  <c r="Q54" i="54"/>
  <c r="J114" i="62"/>
  <c r="K12" i="54" s="1"/>
  <c r="F27" i="54"/>
  <c r="R27" i="54"/>
  <c r="G27" i="54"/>
  <c r="I114" i="72"/>
  <c r="J23" i="54"/>
  <c r="I114" i="70"/>
  <c r="J21" i="54"/>
  <c r="J24" i="54"/>
  <c r="I114" i="73"/>
  <c r="J46" i="54"/>
  <c r="I114" i="95"/>
  <c r="G13" i="54"/>
  <c r="F13" i="54"/>
  <c r="R13" i="54"/>
  <c r="I114" i="103"/>
  <c r="J54" i="54"/>
  <c r="I37" i="54"/>
  <c r="Q37" i="54" s="1"/>
  <c r="J109" i="86"/>
  <c r="Q56" i="54"/>
  <c r="J116" i="67"/>
  <c r="J126" i="76"/>
  <c r="I114" i="87"/>
  <c r="J38" i="54"/>
  <c r="I114" i="88"/>
  <c r="J39" i="54"/>
  <c r="L27" i="54" l="1"/>
  <c r="F16" i="54"/>
  <c r="F52" i="54"/>
  <c r="J114" i="73"/>
  <c r="I114" i="86"/>
  <c r="J37" i="54"/>
  <c r="J114" i="100"/>
  <c r="J114" i="79"/>
  <c r="J126" i="79" s="1"/>
  <c r="J114" i="64"/>
  <c r="J126" i="64" s="1"/>
  <c r="J114" i="80"/>
  <c r="J126" i="80" s="1"/>
  <c r="R12" i="54"/>
  <c r="F12" i="54"/>
  <c r="G12" i="54"/>
  <c r="J114" i="70"/>
  <c r="J126" i="62"/>
  <c r="J114" i="107"/>
  <c r="J114" i="65"/>
  <c r="J126" i="65" s="1"/>
  <c r="J114" i="85"/>
  <c r="J126" i="85" s="1"/>
  <c r="J114" i="98"/>
  <c r="J114" i="102"/>
  <c r="J126" i="102" s="1"/>
  <c r="J114" i="96"/>
  <c r="J126" i="96" s="1"/>
  <c r="J120" i="63"/>
  <c r="J124" i="63" s="1"/>
  <c r="L13" i="54"/>
  <c r="J114" i="72"/>
  <c r="J126" i="72" s="1"/>
  <c r="J114" i="99"/>
  <c r="J114" i="60"/>
  <c r="J126" i="60" s="1"/>
  <c r="J114" i="104"/>
  <c r="J126" i="104" s="1"/>
  <c r="J114" i="74"/>
  <c r="J114" i="105"/>
  <c r="J126" i="105" s="1"/>
  <c r="J114" i="83"/>
  <c r="J126" i="83" s="1"/>
  <c r="J114" i="108"/>
  <c r="J126" i="108" s="1"/>
  <c r="K20" i="54"/>
  <c r="J116" i="69"/>
  <c r="J114" i="94"/>
  <c r="J126" i="94" s="1"/>
  <c r="J114" i="77"/>
  <c r="L52" i="54"/>
  <c r="J120" i="101"/>
  <c r="J114" i="87"/>
  <c r="J126" i="87" s="1"/>
  <c r="K18" i="54"/>
  <c r="J116" i="68"/>
  <c r="J114" i="81"/>
  <c r="J126" i="81" s="1"/>
  <c r="J114" i="90"/>
  <c r="J126" i="90" s="1"/>
  <c r="J120" i="66"/>
  <c r="J124" i="66" s="1"/>
  <c r="L16" i="54"/>
  <c r="E207" i="106"/>
  <c r="M27" i="54"/>
  <c r="J114" i="89"/>
  <c r="J114" i="88"/>
  <c r="J114" i="92"/>
  <c r="J126" i="92" s="1"/>
  <c r="J114" i="82"/>
  <c r="L11" i="54"/>
  <c r="J120" i="61"/>
  <c r="J124" i="61" s="1"/>
  <c r="J114" i="93"/>
  <c r="J116" i="62"/>
  <c r="J120" i="67"/>
  <c r="J124" i="67" s="1"/>
  <c r="L17" i="54"/>
  <c r="J114" i="95"/>
  <c r="J114" i="59"/>
  <c r="J114" i="78"/>
  <c r="F11" i="54"/>
  <c r="J114" i="91"/>
  <c r="J126" i="91" s="1"/>
  <c r="J114" i="103"/>
  <c r="J126" i="103" s="1"/>
  <c r="J114" i="75"/>
  <c r="J126" i="75" s="1"/>
  <c r="S13" i="54" l="1"/>
  <c r="V13" i="54" s="1"/>
  <c r="W13" i="54" s="1"/>
  <c r="D12" i="57"/>
  <c r="D80" i="57" s="1"/>
  <c r="S52" i="54"/>
  <c r="V52" i="54" s="1"/>
  <c r="W52" i="54" s="1"/>
  <c r="D51" i="57"/>
  <c r="D119" i="57" s="1"/>
  <c r="S17" i="54"/>
  <c r="V17" i="54" s="1"/>
  <c r="W17" i="54" s="1"/>
  <c r="D16" i="57"/>
  <c r="D84" i="57" s="1"/>
  <c r="S16" i="54"/>
  <c r="V16" i="54" s="1"/>
  <c r="W16" i="54" s="1"/>
  <c r="D15" i="57"/>
  <c r="D83" i="57" s="1"/>
  <c r="S11" i="54"/>
  <c r="V11" i="54" s="1"/>
  <c r="W11" i="54" s="1"/>
  <c r="D10" i="57"/>
  <c r="D78" i="57" s="1"/>
  <c r="S27" i="54"/>
  <c r="V27" i="54" s="1"/>
  <c r="W27" i="54" s="1"/>
  <c r="D26" i="57"/>
  <c r="D94" i="57" s="1"/>
  <c r="J124" i="101"/>
  <c r="M52" i="54" s="1"/>
  <c r="G207" i="106"/>
  <c r="K56" i="54"/>
  <c r="J116" i="105"/>
  <c r="K31" i="54"/>
  <c r="J116" i="80"/>
  <c r="K9" i="54"/>
  <c r="J116" i="59"/>
  <c r="K28" i="54"/>
  <c r="J116" i="77"/>
  <c r="K25" i="54"/>
  <c r="J116" i="74"/>
  <c r="K15" i="54"/>
  <c r="J116" i="65"/>
  <c r="K14" i="54"/>
  <c r="J116" i="64"/>
  <c r="K29" i="54"/>
  <c r="J116" i="78"/>
  <c r="K33" i="54"/>
  <c r="J116" i="82"/>
  <c r="K7" i="54"/>
  <c r="J116" i="107"/>
  <c r="K45" i="54"/>
  <c r="J116" i="94"/>
  <c r="K53" i="54"/>
  <c r="J116" i="102"/>
  <c r="J126" i="107"/>
  <c r="K30" i="54"/>
  <c r="J116" i="79"/>
  <c r="J126" i="78"/>
  <c r="K36" i="54"/>
  <c r="J116" i="85"/>
  <c r="J126" i="77"/>
  <c r="K46" i="54"/>
  <c r="J116" i="95"/>
  <c r="K51" i="54"/>
  <c r="J116" i="100"/>
  <c r="J126" i="74"/>
  <c r="K26" i="54"/>
  <c r="J116" i="75"/>
  <c r="K43" i="54"/>
  <c r="J116" i="92"/>
  <c r="K21" i="54"/>
  <c r="J116" i="70"/>
  <c r="J126" i="100"/>
  <c r="E74" i="106"/>
  <c r="M11" i="54"/>
  <c r="M13" i="54"/>
  <c r="E93" i="106"/>
  <c r="J126" i="59"/>
  <c r="J126" i="82"/>
  <c r="K39" i="54"/>
  <c r="J116" i="88"/>
  <c r="K40" i="54"/>
  <c r="J116" i="89"/>
  <c r="K50" i="54"/>
  <c r="J116" i="99"/>
  <c r="J126" i="70"/>
  <c r="E122" i="106"/>
  <c r="M16" i="54"/>
  <c r="K55" i="54"/>
  <c r="J116" i="104"/>
  <c r="K10" i="54"/>
  <c r="J116" i="60"/>
  <c r="K42" i="54"/>
  <c r="J116" i="91"/>
  <c r="J120" i="62"/>
  <c r="J124" i="62" s="1"/>
  <c r="L12" i="54"/>
  <c r="J126" i="89"/>
  <c r="K38" i="54"/>
  <c r="J116" i="87"/>
  <c r="J126" i="99"/>
  <c r="J114" i="86"/>
  <c r="J126" i="86" s="1"/>
  <c r="K41" i="54"/>
  <c r="J116" i="90"/>
  <c r="J120" i="68"/>
  <c r="J124" i="68" s="1"/>
  <c r="L18" i="54"/>
  <c r="J126" i="88"/>
  <c r="R18" i="54"/>
  <c r="G18" i="54"/>
  <c r="F18" i="54"/>
  <c r="R20" i="54"/>
  <c r="G20" i="54"/>
  <c r="F20" i="54"/>
  <c r="E131" i="106"/>
  <c r="M17" i="54"/>
  <c r="K49" i="54"/>
  <c r="J116" i="98"/>
  <c r="K24" i="54"/>
  <c r="J116" i="73"/>
  <c r="K47" i="54"/>
  <c r="J116" i="96"/>
  <c r="K32" i="54"/>
  <c r="J116" i="81"/>
  <c r="J126" i="95"/>
  <c r="L20" i="54"/>
  <c r="J120" i="69"/>
  <c r="J124" i="69" s="1"/>
  <c r="K54" i="54"/>
  <c r="J116" i="103"/>
  <c r="K19" i="54"/>
  <c r="J116" i="108"/>
  <c r="K44" i="54"/>
  <c r="J116" i="93"/>
  <c r="J126" i="93"/>
  <c r="K34" i="54"/>
  <c r="J116" i="83"/>
  <c r="K23" i="54"/>
  <c r="J116" i="72"/>
  <c r="J126" i="98"/>
  <c r="J126" i="73"/>
  <c r="R42" i="54" l="1"/>
  <c r="F42" i="54"/>
  <c r="G42" i="54"/>
  <c r="E437" i="106"/>
  <c r="S18" i="54"/>
  <c r="V18" i="54" s="1"/>
  <c r="W18" i="54" s="1"/>
  <c r="D17" i="57"/>
  <c r="D85" i="57" s="1"/>
  <c r="S12" i="54"/>
  <c r="V12" i="54" s="1"/>
  <c r="W12" i="54" s="1"/>
  <c r="D11" i="57"/>
  <c r="D79" i="57" s="1"/>
  <c r="S20" i="54"/>
  <c r="U20" i="54" s="1"/>
  <c r="W20" i="54" s="1"/>
  <c r="D19" i="57"/>
  <c r="D87" i="57" s="1"/>
  <c r="G131" i="106"/>
  <c r="G437" i="106"/>
  <c r="G93" i="106"/>
  <c r="G122" i="106"/>
  <c r="G74" i="106"/>
  <c r="V59" i="54"/>
  <c r="L36" i="54"/>
  <c r="J120" i="85"/>
  <c r="J124" i="85" s="1"/>
  <c r="J120" i="74"/>
  <c r="J124" i="74" s="1"/>
  <c r="L25" i="54"/>
  <c r="G54" i="54"/>
  <c r="R54" i="54"/>
  <c r="F54" i="54"/>
  <c r="J120" i="92"/>
  <c r="J124" i="92" s="1"/>
  <c r="L43" i="54"/>
  <c r="J120" i="107"/>
  <c r="J124" i="107" s="1"/>
  <c r="L7" i="54"/>
  <c r="L28" i="54"/>
  <c r="J120" i="77"/>
  <c r="J124" i="77" s="1"/>
  <c r="J120" i="104"/>
  <c r="J124" i="104" s="1"/>
  <c r="L55" i="54"/>
  <c r="R43" i="54"/>
  <c r="G43" i="54"/>
  <c r="F43" i="54"/>
  <c r="J120" i="79"/>
  <c r="J124" i="79" s="1"/>
  <c r="L30" i="54"/>
  <c r="R7" i="54"/>
  <c r="G7" i="54"/>
  <c r="F7" i="54"/>
  <c r="F28" i="54"/>
  <c r="R28" i="54"/>
  <c r="G28" i="54"/>
  <c r="J120" i="88"/>
  <c r="J124" i="88" s="1"/>
  <c r="L39" i="54"/>
  <c r="G39" i="54"/>
  <c r="F39" i="54"/>
  <c r="R39" i="54"/>
  <c r="R30" i="54"/>
  <c r="G30" i="54"/>
  <c r="F30" i="54"/>
  <c r="J120" i="82"/>
  <c r="J124" i="82" s="1"/>
  <c r="L33" i="54"/>
  <c r="L9" i="54"/>
  <c r="J120" i="59"/>
  <c r="J124" i="59" s="1"/>
  <c r="J120" i="103"/>
  <c r="J124" i="103" s="1"/>
  <c r="L54" i="54"/>
  <c r="G26" i="54"/>
  <c r="F26" i="54"/>
  <c r="R26" i="54"/>
  <c r="F33" i="54"/>
  <c r="R33" i="54"/>
  <c r="G33" i="54"/>
  <c r="F9" i="54"/>
  <c r="R9" i="54"/>
  <c r="G9" i="54"/>
  <c r="F49" i="54"/>
  <c r="G49" i="54"/>
  <c r="R49" i="54"/>
  <c r="J120" i="60"/>
  <c r="J124" i="60" s="1"/>
  <c r="L10" i="54"/>
  <c r="F36" i="54"/>
  <c r="R36" i="54"/>
  <c r="G36" i="54"/>
  <c r="F25" i="54"/>
  <c r="R25" i="54"/>
  <c r="G25" i="54"/>
  <c r="J120" i="72"/>
  <c r="J124" i="72" s="1"/>
  <c r="L23" i="54"/>
  <c r="J120" i="102"/>
  <c r="J124" i="102" s="1"/>
  <c r="L53" i="54"/>
  <c r="D52" i="57" s="1"/>
  <c r="D120" i="57" s="1"/>
  <c r="J120" i="78"/>
  <c r="J124" i="78" s="1"/>
  <c r="L29" i="54"/>
  <c r="J120" i="80"/>
  <c r="J124" i="80" s="1"/>
  <c r="L31" i="54"/>
  <c r="G38" i="54"/>
  <c r="R38" i="54"/>
  <c r="F38" i="54"/>
  <c r="E147" i="106"/>
  <c r="M20" i="54"/>
  <c r="K37" i="54"/>
  <c r="J116" i="86"/>
  <c r="G23" i="54"/>
  <c r="F23" i="54"/>
  <c r="R23" i="54"/>
  <c r="R55" i="54"/>
  <c r="G55" i="54"/>
  <c r="F55" i="54"/>
  <c r="J120" i="83"/>
  <c r="J124" i="83" s="1"/>
  <c r="L34" i="54"/>
  <c r="J120" i="100"/>
  <c r="J124" i="100" s="1"/>
  <c r="L51" i="54"/>
  <c r="L44" i="54"/>
  <c r="J120" i="93"/>
  <c r="J124" i="93" s="1"/>
  <c r="G47" i="54"/>
  <c r="R47" i="54"/>
  <c r="F47" i="54"/>
  <c r="L50" i="54"/>
  <c r="J120" i="99"/>
  <c r="J124" i="99" s="1"/>
  <c r="F51" i="54"/>
  <c r="G51" i="54"/>
  <c r="R51" i="54"/>
  <c r="J120" i="94"/>
  <c r="J124" i="94" s="1"/>
  <c r="L45" i="54"/>
  <c r="J120" i="64"/>
  <c r="J124" i="64" s="1"/>
  <c r="L14" i="54"/>
  <c r="L56" i="54"/>
  <c r="J120" i="105"/>
  <c r="J124" i="105" s="1"/>
  <c r="L41" i="54"/>
  <c r="J120" i="90"/>
  <c r="J124" i="90" s="1"/>
  <c r="G41" i="54"/>
  <c r="F41" i="54"/>
  <c r="R41" i="54"/>
  <c r="G10" i="54"/>
  <c r="R10" i="54"/>
  <c r="F10" i="54"/>
  <c r="L47" i="54"/>
  <c r="J120" i="96"/>
  <c r="J124" i="96" s="1"/>
  <c r="G53" i="54"/>
  <c r="F53" i="54"/>
  <c r="G29" i="54"/>
  <c r="F29" i="54"/>
  <c r="R29" i="54"/>
  <c r="F31" i="54"/>
  <c r="R31" i="54"/>
  <c r="G31" i="54"/>
  <c r="R44" i="54"/>
  <c r="G44" i="54"/>
  <c r="F44" i="54"/>
  <c r="L24" i="54"/>
  <c r="J120" i="73"/>
  <c r="J124" i="73" s="1"/>
  <c r="G50" i="54"/>
  <c r="R50" i="54"/>
  <c r="F50" i="54"/>
  <c r="J120" i="70"/>
  <c r="J124" i="70" s="1"/>
  <c r="L21" i="54"/>
  <c r="L46" i="54"/>
  <c r="J120" i="95"/>
  <c r="J124" i="95" s="1"/>
  <c r="F45" i="54"/>
  <c r="R45" i="54"/>
  <c r="G45" i="54"/>
  <c r="G14" i="54"/>
  <c r="R14" i="54"/>
  <c r="F14" i="54"/>
  <c r="R56" i="54"/>
  <c r="G56" i="54"/>
  <c r="F56" i="54"/>
  <c r="J120" i="81"/>
  <c r="J124" i="81" s="1"/>
  <c r="L32" i="54"/>
  <c r="R34" i="54"/>
  <c r="F34" i="54"/>
  <c r="G34" i="54"/>
  <c r="G32" i="54"/>
  <c r="F32" i="54"/>
  <c r="R32" i="54"/>
  <c r="G24" i="54"/>
  <c r="R24" i="54"/>
  <c r="F24" i="54"/>
  <c r="L40" i="54"/>
  <c r="J120" i="89"/>
  <c r="J124" i="89" s="1"/>
  <c r="G46" i="54"/>
  <c r="R46" i="54"/>
  <c r="F46" i="54"/>
  <c r="L15" i="54"/>
  <c r="J120" i="65"/>
  <c r="J124" i="65" s="1"/>
  <c r="J120" i="75"/>
  <c r="J124" i="75" s="1"/>
  <c r="L26" i="54"/>
  <c r="J120" i="87"/>
  <c r="J124" i="87" s="1"/>
  <c r="L38" i="54"/>
  <c r="L19" i="54"/>
  <c r="J120" i="108"/>
  <c r="J124" i="108" s="1"/>
  <c r="M12" i="54"/>
  <c r="E81" i="106"/>
  <c r="G21" i="54"/>
  <c r="R21" i="54"/>
  <c r="F21" i="54"/>
  <c r="F19" i="54"/>
  <c r="G19" i="54"/>
  <c r="R19" i="54"/>
  <c r="J120" i="98"/>
  <c r="J124" i="98" s="1"/>
  <c r="L49" i="54"/>
  <c r="M18" i="54"/>
  <c r="E139" i="106"/>
  <c r="J120" i="91"/>
  <c r="J124" i="91" s="1"/>
  <c r="L42" i="54"/>
  <c r="S42" i="54" s="1"/>
  <c r="R40" i="54"/>
  <c r="F40" i="54"/>
  <c r="G40" i="54"/>
  <c r="R15" i="54"/>
  <c r="F15" i="54"/>
  <c r="G15" i="54"/>
  <c r="S32" i="54" l="1"/>
  <c r="U32" i="54" s="1"/>
  <c r="W32" i="54" s="1"/>
  <c r="D31" i="57"/>
  <c r="D99" i="57" s="1"/>
  <c r="S36" i="54"/>
  <c r="W36" i="54" s="1"/>
  <c r="D35" i="57"/>
  <c r="D103" i="57" s="1"/>
  <c r="S38" i="54"/>
  <c r="W38" i="54" s="1"/>
  <c r="D37" i="57"/>
  <c r="D105" i="57" s="1"/>
  <c r="S29" i="54"/>
  <c r="U29" i="54" s="1"/>
  <c r="W29" i="54" s="1"/>
  <c r="D28" i="57"/>
  <c r="D96" i="57" s="1"/>
  <c r="S45" i="54"/>
  <c r="W45" i="54" s="1"/>
  <c r="D44" i="57"/>
  <c r="D112" i="57" s="1"/>
  <c r="S25" i="54"/>
  <c r="U25" i="54" s="1"/>
  <c r="W25" i="54" s="1"/>
  <c r="D24" i="57"/>
  <c r="D92" i="57" s="1"/>
  <c r="S30" i="54"/>
  <c r="W30" i="54" s="1"/>
  <c r="D29" i="57"/>
  <c r="D97" i="57" s="1"/>
  <c r="S19" i="54"/>
  <c r="W19" i="54" s="1"/>
  <c r="D18" i="57"/>
  <c r="D86" i="57" s="1"/>
  <c r="S56" i="54"/>
  <c r="W56" i="54" s="1"/>
  <c r="D55" i="57"/>
  <c r="D123" i="57" s="1"/>
  <c r="S24" i="54"/>
  <c r="W24" i="54" s="1"/>
  <c r="D23" i="57"/>
  <c r="D91" i="57" s="1"/>
  <c r="S54" i="54"/>
  <c r="W54" i="54" s="1"/>
  <c r="D53" i="57"/>
  <c r="D121" i="57" s="1"/>
  <c r="S55" i="54"/>
  <c r="W55" i="54" s="1"/>
  <c r="D54" i="57"/>
  <c r="D122" i="57" s="1"/>
  <c r="S47" i="54"/>
  <c r="W47" i="54" s="1"/>
  <c r="D46" i="57"/>
  <c r="D114" i="57" s="1"/>
  <c r="S44" i="54"/>
  <c r="U44" i="54" s="1"/>
  <c r="W44" i="54" s="1"/>
  <c r="D43" i="57"/>
  <c r="D111" i="57" s="1"/>
  <c r="S23" i="54"/>
  <c r="W23" i="54" s="1"/>
  <c r="D22" i="57"/>
  <c r="D90" i="57" s="1"/>
  <c r="S51" i="54"/>
  <c r="W51" i="54" s="1"/>
  <c r="D50" i="57"/>
  <c r="D118" i="57" s="1"/>
  <c r="S33" i="54"/>
  <c r="W33" i="54" s="1"/>
  <c r="D32" i="57"/>
  <c r="D100" i="57" s="1"/>
  <c r="S21" i="54"/>
  <c r="W21" i="54" s="1"/>
  <c r="D20" i="57"/>
  <c r="D88" i="57" s="1"/>
  <c r="S28" i="54"/>
  <c r="W28" i="54" s="1"/>
  <c r="D27" i="57"/>
  <c r="D95" i="57" s="1"/>
  <c r="S39" i="54"/>
  <c r="U39" i="54" s="1"/>
  <c r="W39" i="54" s="1"/>
  <c r="D38" i="57"/>
  <c r="D106" i="57" s="1"/>
  <c r="S14" i="54"/>
  <c r="W14" i="54" s="1"/>
  <c r="D13" i="57"/>
  <c r="D81" i="57" s="1"/>
  <c r="S50" i="54"/>
  <c r="W50" i="54" s="1"/>
  <c r="D49" i="57"/>
  <c r="D117" i="57" s="1"/>
  <c r="S9" i="54"/>
  <c r="U9" i="54" s="1"/>
  <c r="D8" i="57"/>
  <c r="D76" i="57" s="1"/>
  <c r="S34" i="54"/>
  <c r="U34" i="54" s="1"/>
  <c r="W34" i="54" s="1"/>
  <c r="D33" i="57"/>
  <c r="D101" i="57" s="1"/>
  <c r="S40" i="54"/>
  <c r="U40" i="54" s="1"/>
  <c r="W40" i="54" s="1"/>
  <c r="D39" i="57"/>
  <c r="D107" i="57" s="1"/>
  <c r="S7" i="54"/>
  <c r="W7" i="54" s="1"/>
  <c r="D6" i="57"/>
  <c r="D74" i="57" s="1"/>
  <c r="W42" i="54"/>
  <c r="D41" i="57"/>
  <c r="D109" i="57" s="1"/>
  <c r="S46" i="54"/>
  <c r="W46" i="54" s="1"/>
  <c r="D45" i="57"/>
  <c r="D113" i="57" s="1"/>
  <c r="S15" i="54"/>
  <c r="U15" i="54" s="1"/>
  <c r="W15" i="54" s="1"/>
  <c r="D14" i="57"/>
  <c r="D82" i="57" s="1"/>
  <c r="S49" i="54"/>
  <c r="W49" i="54" s="1"/>
  <c r="D48" i="57"/>
  <c r="D116" i="57" s="1"/>
  <c r="S41" i="54"/>
  <c r="W41" i="54" s="1"/>
  <c r="D40" i="57"/>
  <c r="D108" i="57" s="1"/>
  <c r="S10" i="54"/>
  <c r="U10" i="54" s="1"/>
  <c r="W10" i="54" s="1"/>
  <c r="D9" i="57"/>
  <c r="D77" i="57" s="1"/>
  <c r="S43" i="54"/>
  <c r="W43" i="54" s="1"/>
  <c r="D42" i="57"/>
  <c r="D110" i="57" s="1"/>
  <c r="S31" i="54"/>
  <c r="U31" i="54" s="1"/>
  <c r="W31" i="54" s="1"/>
  <c r="D30" i="57"/>
  <c r="D98" i="57" s="1"/>
  <c r="S26" i="54"/>
  <c r="W26" i="54" s="1"/>
  <c r="D25" i="57"/>
  <c r="D93" i="57" s="1"/>
  <c r="G147" i="106"/>
  <c r="G81" i="106"/>
  <c r="G139" i="106"/>
  <c r="E336" i="106"/>
  <c r="M41" i="54"/>
  <c r="M31" i="54"/>
  <c r="E245" i="106"/>
  <c r="M30" i="54"/>
  <c r="E234" i="106"/>
  <c r="E8" i="106"/>
  <c r="M7" i="54"/>
  <c r="E226" i="106"/>
  <c r="M29" i="54"/>
  <c r="M10" i="54"/>
  <c r="E56" i="106"/>
  <c r="M43" i="54"/>
  <c r="E355" i="106"/>
  <c r="E392" i="106"/>
  <c r="M47" i="54"/>
  <c r="M44" i="54"/>
  <c r="E365" i="106"/>
  <c r="L37" i="54"/>
  <c r="J120" i="86"/>
  <c r="J124" i="86" s="1"/>
  <c r="E446" i="106"/>
  <c r="M53" i="54"/>
  <c r="E454" i="106"/>
  <c r="M54" i="54"/>
  <c r="E319" i="106"/>
  <c r="M39" i="54"/>
  <c r="M46" i="54"/>
  <c r="E383" i="106"/>
  <c r="E14" i="106"/>
  <c r="M9" i="54"/>
  <c r="E464" i="106"/>
  <c r="M55" i="54"/>
  <c r="M42" i="54"/>
  <c r="E345" i="106"/>
  <c r="E174" i="106"/>
  <c r="M23" i="54"/>
  <c r="E156" i="106"/>
  <c r="M21" i="54"/>
  <c r="M25" i="54"/>
  <c r="E192" i="106"/>
  <c r="M26" i="54"/>
  <c r="E200" i="106"/>
  <c r="M19" i="54"/>
  <c r="E146" i="106"/>
  <c r="M33" i="54"/>
  <c r="E264" i="106"/>
  <c r="M36" i="54"/>
  <c r="E292" i="106"/>
  <c r="G37" i="54"/>
  <c r="R37" i="54"/>
  <c r="F37" i="54"/>
  <c r="E274" i="106"/>
  <c r="M34" i="54"/>
  <c r="M28" i="54"/>
  <c r="E215" i="106"/>
  <c r="E473" i="106"/>
  <c r="M56" i="54"/>
  <c r="E101" i="106"/>
  <c r="M14" i="54"/>
  <c r="M32" i="54"/>
  <c r="E255" i="106"/>
  <c r="E376" i="106"/>
  <c r="M45" i="54"/>
  <c r="M49" i="54"/>
  <c r="E408" i="106"/>
  <c r="M38" i="54"/>
  <c r="E309" i="106"/>
  <c r="M15" i="54"/>
  <c r="E111" i="106"/>
  <c r="E327" i="106"/>
  <c r="M40" i="54"/>
  <c r="E427" i="106"/>
  <c r="M51" i="54"/>
  <c r="M24" i="54"/>
  <c r="E184" i="106"/>
  <c r="M50" i="54"/>
  <c r="E417" i="106"/>
  <c r="U59" i="54" l="1"/>
  <c r="W9" i="54"/>
  <c r="S37" i="54"/>
  <c r="W37" i="54" s="1"/>
  <c r="D36" i="57"/>
  <c r="D104" i="57" s="1"/>
  <c r="G376" i="106"/>
  <c r="G255" i="106"/>
  <c r="G392" i="106"/>
  <c r="G345" i="106"/>
  <c r="G234" i="106"/>
  <c r="G427" i="106"/>
  <c r="G355" i="106"/>
  <c r="G226" i="106"/>
  <c r="G184" i="106"/>
  <c r="G319" i="106"/>
  <c r="G156" i="106"/>
  <c r="G473" i="106"/>
  <c r="G417" i="106"/>
  <c r="G14" i="106"/>
  <c r="G336" i="106"/>
  <c r="G146" i="106"/>
  <c r="G365" i="106"/>
  <c r="G101" i="106"/>
  <c r="G215" i="106"/>
  <c r="G274" i="106"/>
  <c r="G292" i="106"/>
  <c r="G454" i="106"/>
  <c r="G56" i="106"/>
  <c r="G8" i="106"/>
  <c r="G245" i="106"/>
  <c r="G264" i="106"/>
  <c r="G309" i="106"/>
  <c r="G200" i="106"/>
  <c r="G192" i="106"/>
  <c r="G174" i="106"/>
  <c r="G464" i="106"/>
  <c r="G383" i="106"/>
  <c r="G327" i="106"/>
  <c r="G111" i="106"/>
  <c r="G446" i="106"/>
  <c r="G408" i="106"/>
  <c r="M37" i="54"/>
  <c r="E300" i="106"/>
  <c r="G300" i="106" l="1"/>
  <c r="D25" i="56" l="1"/>
  <c r="C25" i="56"/>
  <c r="D26" i="56"/>
  <c r="C26" i="56"/>
  <c r="D20" i="56"/>
  <c r="C20" i="56"/>
  <c r="D23" i="56"/>
  <c r="C23" i="56"/>
  <c r="D22" i="56"/>
  <c r="C22" i="56"/>
  <c r="D24" i="56"/>
  <c r="C24" i="56"/>
  <c r="D28" i="56"/>
  <c r="C28" i="56"/>
  <c r="D27" i="56"/>
  <c r="C27" i="56"/>
  <c r="D21" i="56"/>
  <c r="C21" i="56"/>
  <c r="D28" i="58" l="1"/>
  <c r="C28" i="58"/>
  <c r="D30" i="56"/>
  <c r="D28" i="2"/>
  <c r="C28" i="2"/>
  <c r="C30" i="56"/>
  <c r="C32" i="56" s="1"/>
  <c r="E20" i="58" l="1"/>
  <c r="E13" i="58"/>
  <c r="E18" i="58"/>
  <c r="E21" i="58"/>
  <c r="E26" i="58"/>
  <c r="E23" i="58"/>
  <c r="E17" i="58"/>
  <c r="E24" i="58"/>
  <c r="E25" i="58"/>
  <c r="E12" i="58"/>
  <c r="E16" i="58"/>
  <c r="E27" i="58"/>
  <c r="E14" i="58"/>
  <c r="E22" i="58"/>
  <c r="E19" i="58"/>
  <c r="E15" i="58"/>
  <c r="E13" i="2"/>
  <c r="E15" i="56" s="1"/>
  <c r="E16" i="2"/>
  <c r="E27" i="2"/>
  <c r="E12" i="2"/>
  <c r="E17" i="2"/>
  <c r="E19" i="56" s="1"/>
  <c r="E15" i="2"/>
  <c r="E17" i="56" s="1"/>
  <c r="E14" i="2"/>
  <c r="E16" i="56" s="1"/>
  <c r="E23" i="2"/>
  <c r="E25" i="56" s="1"/>
  <c r="E26" i="2"/>
  <c r="E20" i="2"/>
  <c r="E21" i="2"/>
  <c r="E22" i="2"/>
  <c r="E19" i="2"/>
  <c r="E25" i="2"/>
  <c r="E18" i="2"/>
  <c r="E24" i="2"/>
  <c r="E31" i="56"/>
  <c r="H31" i="56" s="1"/>
  <c r="D32" i="56"/>
  <c r="E136" i="56" s="1"/>
  <c r="I136" i="56" s="1"/>
  <c r="I138" i="56" s="1"/>
  <c r="E22" i="56" l="1"/>
  <c r="E20" i="56"/>
  <c r="E26" i="56"/>
  <c r="E21" i="56"/>
  <c r="E24" i="56"/>
  <c r="E18" i="56"/>
  <c r="E14" i="56"/>
  <c r="E29" i="56"/>
  <c r="E27" i="56"/>
  <c r="E23" i="56"/>
  <c r="E28" i="56"/>
  <c r="T14" i="58"/>
  <c r="X14" i="58" s="1"/>
  <c r="I14" i="58"/>
  <c r="I19" i="58"/>
  <c r="J19" i="58" s="1"/>
  <c r="T19" i="58"/>
  <c r="X19" i="58" s="1"/>
  <c r="Y19" i="58" s="1"/>
  <c r="I22" i="58"/>
  <c r="J22" i="58" s="1"/>
  <c r="T22" i="58"/>
  <c r="X22" i="58" s="1"/>
  <c r="Y22" i="58" s="1"/>
  <c r="I27" i="58"/>
  <c r="J27" i="58" s="1"/>
  <c r="T27" i="58"/>
  <c r="X27" i="58" s="1"/>
  <c r="Y27" i="58" s="1"/>
  <c r="I16" i="58"/>
  <c r="T16" i="58"/>
  <c r="X16" i="58" s="1"/>
  <c r="I25" i="58"/>
  <c r="J25" i="58" s="1"/>
  <c r="T25" i="58"/>
  <c r="X25" i="58" s="1"/>
  <c r="Y25" i="58" s="1"/>
  <c r="I17" i="58"/>
  <c r="J17" i="58" s="1"/>
  <c r="T17" i="58"/>
  <c r="X17" i="58" s="1"/>
  <c r="Y17" i="58" s="1"/>
  <c r="I18" i="58"/>
  <c r="J18" i="58" s="1"/>
  <c r="T18" i="58"/>
  <c r="X18" i="58" s="1"/>
  <c r="Y18" i="58" s="1"/>
  <c r="I24" i="58"/>
  <c r="J24" i="58" s="1"/>
  <c r="T24" i="58"/>
  <c r="X24" i="58" s="1"/>
  <c r="Y24" i="58" s="1"/>
  <c r="I23" i="58"/>
  <c r="J23" i="58" s="1"/>
  <c r="T23" i="58"/>
  <c r="X23" i="58" s="1"/>
  <c r="Y23" i="58" s="1"/>
  <c r="I13" i="58"/>
  <c r="J13" i="58" s="1"/>
  <c r="T13" i="58"/>
  <c r="X13" i="58" s="1"/>
  <c r="Y13" i="58" s="1"/>
  <c r="T15" i="58"/>
  <c r="X15" i="58" s="1"/>
  <c r="Y15" i="58" s="1"/>
  <c r="I15" i="58"/>
  <c r="J15" i="58" s="1"/>
  <c r="T12" i="58"/>
  <c r="E28" i="58"/>
  <c r="I12" i="58"/>
  <c r="I26" i="58"/>
  <c r="J26" i="58" s="1"/>
  <c r="T26" i="58"/>
  <c r="X26" i="58" s="1"/>
  <c r="Y26" i="58" s="1"/>
  <c r="T21" i="58"/>
  <c r="X21" i="58" s="1"/>
  <c r="Y21" i="58" s="1"/>
  <c r="I21" i="58"/>
  <c r="J21" i="58" s="1"/>
  <c r="I20" i="58"/>
  <c r="J20" i="58" s="1"/>
  <c r="T20" i="58"/>
  <c r="X20" i="58" s="1"/>
  <c r="Y20" i="58" s="1"/>
  <c r="I24" i="2"/>
  <c r="I19" i="2"/>
  <c r="I21" i="2"/>
  <c r="I27" i="2"/>
  <c r="I25" i="2"/>
  <c r="I23" i="2"/>
  <c r="I14" i="2"/>
  <c r="I15" i="2"/>
  <c r="I16" i="2"/>
  <c r="I18" i="2"/>
  <c r="I22" i="2"/>
  <c r="I20" i="2"/>
  <c r="I26" i="2"/>
  <c r="I17" i="2"/>
  <c r="I12" i="2"/>
  <c r="E28" i="2"/>
  <c r="I13" i="2"/>
  <c r="H25" i="56" l="1"/>
  <c r="H29" i="56"/>
  <c r="H15" i="56"/>
  <c r="H23" i="56"/>
  <c r="H16" i="56"/>
  <c r="H27" i="56"/>
  <c r="H22" i="56"/>
  <c r="H18" i="56"/>
  <c r="H17" i="56"/>
  <c r="H19" i="56"/>
  <c r="H26" i="56"/>
  <c r="H14" i="56"/>
  <c r="H21" i="56"/>
  <c r="H28" i="56"/>
  <c r="H24" i="56"/>
  <c r="H20" i="56"/>
  <c r="Y16" i="58"/>
  <c r="S92" i="58"/>
  <c r="X92" i="58" s="1"/>
  <c r="O8" i="54" a="1"/>
  <c r="O8" i="54" s="1"/>
  <c r="C59" i="58"/>
  <c r="I60" i="58" s="1"/>
  <c r="I72" i="58" s="1"/>
  <c r="J72" i="58" s="1"/>
  <c r="C65" i="58"/>
  <c r="I66" i="58" s="1"/>
  <c r="I71" i="58" s="1"/>
  <c r="J71" i="58" s="1"/>
  <c r="C53" i="58"/>
  <c r="I54" i="58" s="1"/>
  <c r="C62" i="58"/>
  <c r="I63" i="58" s="1"/>
  <c r="I68" i="58" s="1"/>
  <c r="J68" i="58" s="1"/>
  <c r="J14" i="58"/>
  <c r="B91" i="58"/>
  <c r="I91" i="58" s="1"/>
  <c r="J16" i="58"/>
  <c r="B92" i="58"/>
  <c r="I92" i="58" s="1"/>
  <c r="J12" i="58"/>
  <c r="B90" i="58"/>
  <c r="I28" i="58"/>
  <c r="G33" i="58" s="1"/>
  <c r="C56" i="58" s="1"/>
  <c r="I57" i="58" s="1"/>
  <c r="X12" i="58"/>
  <c r="T28" i="58"/>
  <c r="S91" i="58"/>
  <c r="X91" i="58" s="1"/>
  <c r="Y14" i="58"/>
  <c r="J18" i="2"/>
  <c r="I20" i="56" s="1"/>
  <c r="J16" i="2"/>
  <c r="B92" i="2"/>
  <c r="J15" i="2"/>
  <c r="I17" i="56" s="1"/>
  <c r="J17" i="2"/>
  <c r="I19" i="56" s="1"/>
  <c r="J19" i="2"/>
  <c r="I21" i="56" s="1"/>
  <c r="J23" i="2"/>
  <c r="I25" i="56" s="1"/>
  <c r="J25" i="2"/>
  <c r="I27" i="56" s="1"/>
  <c r="E30" i="56"/>
  <c r="E32" i="56" s="1"/>
  <c r="B221" i="109" s="1"/>
  <c r="J12" i="2"/>
  <c r="I28" i="2"/>
  <c r="H30" i="56" s="1"/>
  <c r="B90" i="2"/>
  <c r="J26" i="2"/>
  <c r="I28" i="56" s="1"/>
  <c r="J20" i="2"/>
  <c r="I22" i="56" s="1"/>
  <c r="J22" i="2"/>
  <c r="I24" i="56" s="1"/>
  <c r="J14" i="2"/>
  <c r="B91" i="2"/>
  <c r="J13" i="2"/>
  <c r="I15" i="56" s="1"/>
  <c r="J27" i="2"/>
  <c r="I29" i="56" s="1"/>
  <c r="C65" i="2"/>
  <c r="I66" i="2" s="1"/>
  <c r="I71" i="2" s="1"/>
  <c r="J71" i="2" s="1"/>
  <c r="O6" i="54" a="1"/>
  <c r="O6" i="54" s="1"/>
  <c r="C59" i="2"/>
  <c r="I60" i="2" s="1"/>
  <c r="I72" i="2" s="1"/>
  <c r="J72" i="2" s="1"/>
  <c r="C53" i="2"/>
  <c r="I54" i="2" s="1"/>
  <c r="C62" i="2"/>
  <c r="I63" i="2" s="1"/>
  <c r="I68" i="2" s="1"/>
  <c r="J68" i="2" s="1"/>
  <c r="J21" i="2"/>
  <c r="I23" i="56" s="1"/>
  <c r="J24" i="2"/>
  <c r="I26" i="56" s="1"/>
  <c r="C119" i="56" l="1"/>
  <c r="I16" i="56"/>
  <c r="I14" i="56"/>
  <c r="O59" i="54"/>
  <c r="C118" i="56"/>
  <c r="J28" i="58"/>
  <c r="J33" i="58" s="1"/>
  <c r="I91" i="56"/>
  <c r="L91" i="56" s="1"/>
  <c r="I86" i="56"/>
  <c r="L86" i="56" s="1"/>
  <c r="I93" i="56"/>
  <c r="L93" i="56" s="1"/>
  <c r="C120" i="56"/>
  <c r="I18" i="56"/>
  <c r="I70" i="58"/>
  <c r="J70" i="58" s="1"/>
  <c r="I87" i="58"/>
  <c r="J87" i="58" s="1"/>
  <c r="T58" i="58"/>
  <c r="X59" i="58" s="1"/>
  <c r="X71" i="58" s="1"/>
  <c r="Y71" i="58" s="1"/>
  <c r="T52" i="58"/>
  <c r="X53" i="58" s="1"/>
  <c r="T61" i="58"/>
  <c r="X62" i="58" s="1"/>
  <c r="X67" i="58" s="1"/>
  <c r="Y67" i="58" s="1"/>
  <c r="T64" i="58"/>
  <c r="X65" i="58" s="1"/>
  <c r="X70" i="58" s="1"/>
  <c r="Y70" i="58" s="1"/>
  <c r="I86" i="58"/>
  <c r="J86" i="58" s="1"/>
  <c r="I85" i="58"/>
  <c r="J85" i="58" s="1"/>
  <c r="Y12" i="58"/>
  <c r="Y28" i="58" s="1"/>
  <c r="Y33" i="58" s="1"/>
  <c r="X28" i="58"/>
  <c r="S90" i="58"/>
  <c r="I90" i="58"/>
  <c r="J93" i="58" s="1"/>
  <c r="B93" i="58"/>
  <c r="I90" i="2"/>
  <c r="B93" i="2"/>
  <c r="G33" i="2"/>
  <c r="C56" i="2" s="1"/>
  <c r="I57" i="2" s="1"/>
  <c r="E47" i="56"/>
  <c r="I92" i="2"/>
  <c r="H120" i="56" s="1"/>
  <c r="J28" i="2"/>
  <c r="I70" i="2"/>
  <c r="J70" i="2" s="1"/>
  <c r="I87" i="2"/>
  <c r="J87" i="2" s="1"/>
  <c r="I91" i="2"/>
  <c r="H119" i="56" s="1"/>
  <c r="H118" i="56" l="1"/>
  <c r="I30" i="56"/>
  <c r="C121" i="56"/>
  <c r="J107" i="58"/>
  <c r="I8" i="54" s="1"/>
  <c r="Q8" i="54" s="1"/>
  <c r="I112" i="56"/>
  <c r="I89" i="56"/>
  <c r="S93" i="58"/>
  <c r="X90" i="58"/>
  <c r="Y93" i="58" s="1"/>
  <c r="J109" i="58"/>
  <c r="J8" i="54" s="1"/>
  <c r="V33" i="58"/>
  <c r="T55" i="58"/>
  <c r="X56" i="58" s="1"/>
  <c r="X69" i="58"/>
  <c r="Y69" i="58" s="1"/>
  <c r="X87" i="58"/>
  <c r="Y87" i="58" s="1"/>
  <c r="J33" i="2"/>
  <c r="J93" i="2"/>
  <c r="I121" i="56" s="1"/>
  <c r="I86" i="2"/>
  <c r="J86" i="2" s="1"/>
  <c r="I110" i="56" s="1"/>
  <c r="I85" i="2"/>
  <c r="J85" i="2" s="1"/>
  <c r="I108" i="56" l="1"/>
  <c r="L108" i="56" s="1"/>
  <c r="X85" i="58"/>
  <c r="Y85" i="58" s="1"/>
  <c r="X86" i="58"/>
  <c r="Y86" i="58" s="1"/>
  <c r="Y107" i="58" s="1"/>
  <c r="Y109" i="58" s="1"/>
  <c r="J111" i="58" s="1"/>
  <c r="I147" i="56" s="1"/>
  <c r="J107" i="2"/>
  <c r="I142" i="56" s="1"/>
  <c r="I114" i="58" l="1"/>
  <c r="J109" i="2"/>
  <c r="I144" i="56" s="1"/>
  <c r="I61" i="54"/>
  <c r="I6" i="54"/>
  <c r="J114" i="58" l="1"/>
  <c r="I59" i="54"/>
  <c r="I63" i="54" s="1"/>
  <c r="Q6" i="54"/>
  <c r="Q59" i="54" s="1"/>
  <c r="J6" i="54"/>
  <c r="J59" i="54" s="1"/>
  <c r="I114" i="2"/>
  <c r="K8" i="54" l="1"/>
  <c r="J116" i="58"/>
  <c r="J126" i="58"/>
  <c r="J114" i="2"/>
  <c r="J61" i="54"/>
  <c r="J63" i="54" s="1"/>
  <c r="H149" i="56"/>
  <c r="J120" i="58" l="1"/>
  <c r="J124" i="58" s="1"/>
  <c r="L8" i="54"/>
  <c r="G8" i="54"/>
  <c r="R8" i="54"/>
  <c r="F8" i="54"/>
  <c r="K6" i="54"/>
  <c r="J116" i="2"/>
  <c r="I151" i="56" s="1"/>
  <c r="J126" i="2"/>
  <c r="S8" i="54" l="1"/>
  <c r="V8" i="54" s="1"/>
  <c r="W8" i="54" s="1"/>
  <c r="D7" i="57"/>
  <c r="D75" i="57" s="1"/>
  <c r="E10" i="106"/>
  <c r="M8" i="54"/>
  <c r="L6" i="54"/>
  <c r="D5" i="57" s="1"/>
  <c r="J120" i="2"/>
  <c r="I155" i="56" s="1"/>
  <c r="R6" i="54"/>
  <c r="G6" i="54"/>
  <c r="F6" i="54"/>
  <c r="K59" i="54"/>
  <c r="D58" i="57" l="1"/>
  <c r="D73" i="57"/>
  <c r="D127" i="57" s="1"/>
  <c r="J61" i="57" s="1"/>
  <c r="J124" i="2"/>
  <c r="I159" i="56" s="1"/>
  <c r="L61" i="54"/>
  <c r="G10" i="106"/>
  <c r="F59" i="54"/>
  <c r="G59" i="54"/>
  <c r="R59" i="54"/>
  <c r="S6" i="54"/>
  <c r="W6" i="54" s="1"/>
  <c r="W59" i="54" s="1"/>
  <c r="L59" i="54"/>
  <c r="J62" i="57" l="1"/>
  <c r="J64" i="57" s="1"/>
  <c r="E5" i="106"/>
  <c r="M6" i="54"/>
  <c r="M59" i="54" s="1"/>
  <c r="K63" i="54"/>
  <c r="J60" i="57"/>
  <c r="S59" i="54"/>
  <c r="L63" i="54"/>
  <c r="M61" i="54"/>
  <c r="E491" i="106"/>
  <c r="G5" i="106" l="1"/>
  <c r="G484" i="106" s="1"/>
  <c r="E484" i="106"/>
  <c r="M63" i="54"/>
  <c r="G491" i="106"/>
  <c r="G515" i="106" s="1"/>
  <c r="E515" i="106"/>
  <c r="G485" i="106" l="1"/>
  <c r="G517" i="10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<sst xmlns="http://schemas.openxmlformats.org/spreadsheetml/2006/main" count="21054" uniqueCount="678">
  <si>
    <t>(Insert district number in cell A1, enter, then strike F9. Your district data then pulls from Calculation Detail Sheets)</t>
  </si>
  <si>
    <t>Based on the 2025-26 FEFP Second Calculation</t>
  </si>
  <si>
    <t xml:space="preserve">School District: </t>
  </si>
  <si>
    <t>1A.   2025-26 FEFP State and Local Funding</t>
  </si>
  <si>
    <t>Base Student Allocation</t>
  </si>
  <si>
    <t>Comparable Wage Factor:</t>
  </si>
  <si>
    <t>Small District Factor</t>
  </si>
  <si>
    <t>2025-26</t>
  </si>
  <si>
    <t>Program</t>
  </si>
  <si>
    <t>Weighted FTE</t>
  </si>
  <si>
    <t>Base Funding</t>
  </si>
  <si>
    <t>Number of FTE</t>
  </si>
  <si>
    <t>Cost Factor</t>
  </si>
  <si>
    <t>(2) x (3)</t>
  </si>
  <si>
    <t>(WFTE x BSA x CWF x SDF)</t>
  </si>
  <si>
    <t>(1)</t>
  </si>
  <si>
    <t>(2)</t>
  </si>
  <si>
    <t>(3)</t>
  </si>
  <si>
    <t>(4)</t>
  </si>
  <si>
    <t>(5)</t>
  </si>
  <si>
    <t>101 Basic K-3</t>
  </si>
  <si>
    <t>111 Basic K-3 with ESE Services</t>
  </si>
  <si>
    <t>102 Basic 4-8</t>
  </si>
  <si>
    <t>112 Basic 4-8 with ESE Services</t>
  </si>
  <si>
    <t>103 Basic 9-12</t>
  </si>
  <si>
    <t>113 Basic 9-12 with ESE Services</t>
  </si>
  <si>
    <r>
      <t xml:space="preserve">254 ESE Level 4 </t>
    </r>
    <r>
      <rPr>
        <b/>
        <i/>
        <sz val="12"/>
        <rFont val="Times New Roman"/>
        <family val="1"/>
      </rPr>
      <t>(Grade Level PK-3</t>
    </r>
    <r>
      <rPr>
        <b/>
        <sz val="12"/>
        <rFont val="Times New Roman"/>
        <family val="1"/>
      </rPr>
      <t>)</t>
    </r>
  </si>
  <si>
    <r>
      <t xml:space="preserve">254 ESE Level 4 </t>
    </r>
    <r>
      <rPr>
        <b/>
        <i/>
        <sz val="12"/>
        <rFont val="Times New Roman"/>
        <family val="1"/>
      </rPr>
      <t>(Grade Level 4-8)</t>
    </r>
  </si>
  <si>
    <r>
      <t>254 ESE Level 4</t>
    </r>
    <r>
      <rPr>
        <b/>
        <i/>
        <sz val="12"/>
        <rFont val="Times New Roman"/>
        <family val="1"/>
      </rPr>
      <t xml:space="preserve"> (Grade Level 9-12)</t>
    </r>
  </si>
  <si>
    <r>
      <t xml:space="preserve">255 ESE Level 5 </t>
    </r>
    <r>
      <rPr>
        <b/>
        <i/>
        <sz val="12"/>
        <rFont val="Times New Roman"/>
        <family val="1"/>
      </rPr>
      <t>(Grade Level PK-3</t>
    </r>
    <r>
      <rPr>
        <b/>
        <sz val="12"/>
        <rFont val="Times New Roman"/>
        <family val="1"/>
      </rPr>
      <t>)</t>
    </r>
  </si>
  <si>
    <r>
      <t xml:space="preserve">255 ESE Level 5 </t>
    </r>
    <r>
      <rPr>
        <b/>
        <i/>
        <sz val="12"/>
        <rFont val="Times New Roman"/>
        <family val="1"/>
      </rPr>
      <t>(Grade Level 4-8)</t>
    </r>
  </si>
  <si>
    <r>
      <t>255 ESE Level 5</t>
    </r>
    <r>
      <rPr>
        <b/>
        <i/>
        <sz val="12"/>
        <rFont val="Times New Roman"/>
        <family val="1"/>
      </rPr>
      <t xml:space="preserve"> (Grade Level 9-12)</t>
    </r>
  </si>
  <si>
    <r>
      <t xml:space="preserve">130 ESOL </t>
    </r>
    <r>
      <rPr>
        <b/>
        <i/>
        <sz val="12"/>
        <rFont val="Times New Roman"/>
        <family val="1"/>
      </rPr>
      <t>(Grade Level PK-3)</t>
    </r>
  </si>
  <si>
    <r>
      <t xml:space="preserve">130 ESOL </t>
    </r>
    <r>
      <rPr>
        <b/>
        <i/>
        <sz val="12"/>
        <rFont val="Times New Roman"/>
        <family val="1"/>
      </rPr>
      <t>(Grade Level 4-8)</t>
    </r>
  </si>
  <si>
    <r>
      <t xml:space="preserve">130 ESOL </t>
    </r>
    <r>
      <rPr>
        <b/>
        <i/>
        <sz val="12"/>
        <rFont val="Times New Roman"/>
        <family val="1"/>
      </rPr>
      <t>(Grade Level 9-12)</t>
    </r>
  </si>
  <si>
    <r>
      <t xml:space="preserve">300 Career Education </t>
    </r>
    <r>
      <rPr>
        <b/>
        <i/>
        <sz val="12"/>
        <rFont val="Times New Roman"/>
        <family val="1"/>
      </rPr>
      <t>(Grades 9-12)</t>
    </r>
  </si>
  <si>
    <t>Totals</t>
  </si>
  <si>
    <t>Letters in Parentheses Refer to Notes at Bottom of Worksheet:</t>
  </si>
  <si>
    <t>Additional FTE</t>
  </si>
  <si>
    <r>
      <t xml:space="preserve">Number of FTE
</t>
    </r>
    <r>
      <rPr>
        <i/>
        <sz val="9"/>
        <color indexed="10"/>
        <rFont val="Times New Roman"/>
        <family val="1"/>
      </rPr>
      <t xml:space="preserve">Charter schools should contact their school district sponsor regarding eligible FTE. Please note that “Number of FTE” is NOT equivalent to number of students enrolled in these courses or programs. </t>
    </r>
  </si>
  <si>
    <t>2025-26
Base Funding                              (WFTE x BSA x CWF x SDF)</t>
  </si>
  <si>
    <t>Small District ESE Supplement</t>
  </si>
  <si>
    <t>Total Additional FTE</t>
  </si>
  <si>
    <t>Additional Base Funds</t>
  </si>
  <si>
    <t xml:space="preserve">Total Funded Weighted FTE </t>
  </si>
  <si>
    <t>Total Base Funding</t>
  </si>
  <si>
    <r>
      <t xml:space="preserve">1B. Classroom Teacher and Other Instructional Personnel Salary Increase 
</t>
    </r>
    <r>
      <rPr>
        <b/>
        <sz val="8"/>
        <color indexed="10"/>
        <rFont val="Times New Roman"/>
        <family val="1"/>
      </rPr>
      <t>Maintenance and Growth Portions of the Salary Increase funds are part of the total Conference Base Funding and are not treated as a separate allocation. Amounts are split out here for informative purposes and for the purposes of providing a total that may be used for calculating the adminstrative fee.</t>
    </r>
  </si>
  <si>
    <t>Maintenance Portion (6.67% of Conference Base Funding)</t>
  </si>
  <si>
    <t>(a)</t>
  </si>
  <si>
    <t>X</t>
  </si>
  <si>
    <t>Growth Portion (0.54% of Conference Base Funding)</t>
  </si>
  <si>
    <t xml:space="preserve">         Total Salary Increase Allocation</t>
  </si>
  <si>
    <t xml:space="preserve"> </t>
  </si>
  <si>
    <t>2.   ESE Guaranteed Allocation:</t>
  </si>
  <si>
    <t>FTE</t>
  </si>
  <si>
    <t>Grade Level</t>
  </si>
  <si>
    <t>Matrix Level</t>
  </si>
  <si>
    <t>Guarantee Per Student</t>
  </si>
  <si>
    <r>
      <t>Additional Funding from the ESE Guaranteed Allocation. Enter the FTE from 111,112 and 113 by grade and matrix level.  Students who do not have a matrix level should be considered 251.  This total should equal all FTE from programs 111, 112 and 113 above,</t>
    </r>
    <r>
      <rPr>
        <sz val="12"/>
        <color indexed="10"/>
        <rFont val="Times New Roman"/>
        <family val="1"/>
      </rPr>
      <t xml:space="preserve"> </t>
    </r>
    <r>
      <rPr>
        <b/>
        <u/>
        <sz val="12"/>
        <color indexed="10"/>
        <rFont val="Times New Roman"/>
        <family val="1"/>
      </rPr>
      <t>less any 113 gifted FTE</t>
    </r>
    <r>
      <rPr>
        <sz val="12"/>
        <rFont val="Times New Roman"/>
        <family val="1"/>
      </rPr>
      <t>.</t>
    </r>
  </si>
  <si>
    <t>PK-3</t>
  </si>
  <si>
    <t>4-8</t>
  </si>
  <si>
    <t>9-12</t>
  </si>
  <si>
    <t>Total FTE with ESE Services</t>
  </si>
  <si>
    <t>Total ESE Guarantee</t>
  </si>
  <si>
    <t>3A. Divide school's Unweighted FTE (UFTE) total computed in Section 1, cell C28 above by the district's total UFTE to obtain school's</t>
  </si>
  <si>
    <t xml:space="preserve"> UFTE share.           Charter School UFTE: </t>
  </si>
  <si>
    <t>÷</t>
  </si>
  <si>
    <t>District's Total UFTE:</t>
  </si>
  <si>
    <t>=</t>
  </si>
  <si>
    <t>3B. Divide school's Weighted FTE (WFTE) total computed in Section 1, cell E33 above by the district's total WFTE to obtain school's</t>
  </si>
  <si>
    <t xml:space="preserve"> WFTE share.          Charter School WFTE: </t>
  </si>
  <si>
    <t>District's Total WFTE:</t>
  </si>
  <si>
    <t>3C. Divide school's Unweighted FTE (UFTE) total computed in Section 1, cell C28 above by the district's total non-scholarship UFTE to obtain school's</t>
  </si>
  <si>
    <t xml:space="preserve"> UFTE share.          Charter School UFTE: </t>
  </si>
  <si>
    <t>District's Total Non-Scholarship UFTE:</t>
  </si>
  <si>
    <t>3D. Divide school's Unweighted FTE (UFTE) total computed in Section 1, cell C28 above by the district's total non-virtual UFTE to obtain school's</t>
  </si>
  <si>
    <t>District's Total Non-Virtual UFTE:</t>
  </si>
  <si>
    <t>3E. Divide school's Unweighted FTE (UFTE) total computed in Section 1, cell C28 above by the district's total non-scholarship and non-virtual UFTE to obtain school's</t>
  </si>
  <si>
    <t>District's Total Non-Scholarship Non-Virtual UFTE:</t>
  </si>
  <si>
    <t>4.   Educational Enrichment Share (Non-Virtual UFTE share)</t>
  </si>
  <si>
    <t>(e)</t>
  </si>
  <si>
    <t>x</t>
  </si>
  <si>
    <t>5.   Discretionary Millage Compression Allocation</t>
  </si>
  <si>
    <t>.748 Mills (UFTE share)</t>
  </si>
  <si>
    <t>(b)</t>
  </si>
  <si>
    <t>6.   Safe Schools Allocation (Non-Virtual and Non-Scholarship UFTE share)</t>
  </si>
  <si>
    <t>(f)</t>
  </si>
  <si>
    <t>7.   Mental Health Assistance Allocation (Non-Scholarship UFTE share)</t>
  </si>
  <si>
    <t>(d)</t>
  </si>
  <si>
    <t>8.   Academic Acceleration Options Supplement (Value share)</t>
  </si>
  <si>
    <t>(g)</t>
  </si>
  <si>
    <t>Acceleration Value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</si>
  <si>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(g) below.</t>
    </r>
  </si>
  <si>
    <t>Advanced Placement</t>
  </si>
  <si>
    <t>International Baccalaureate</t>
  </si>
  <si>
    <t>Advanced International Certificate</t>
  </si>
  <si>
    <t>Industry Certified Career Education</t>
  </si>
  <si>
    <t>Early High School Graduation</t>
  </si>
  <si>
    <t>Dual Enrollment</t>
  </si>
  <si>
    <t>School total value</t>
  </si>
  <si>
    <t>District total value</t>
  </si>
  <si>
    <t>School Academic Acceleration Option Supplement</t>
  </si>
  <si>
    <t>9.    Discretionary Local Effort (WFTE share)</t>
  </si>
  <si>
    <t>(c)</t>
  </si>
  <si>
    <t>10.  Proration to Funds Available (WFTE share)</t>
  </si>
  <si>
    <t>11.  Educational Enrollment Stabilization Program (UFTE share)</t>
  </si>
  <si>
    <t>12.  Class Size Reduction Funds:</t>
  </si>
  <si>
    <t>Weighted FTE (not including Add-On)</t>
  </si>
  <si>
    <r>
      <t xml:space="preserve">X         </t>
    </r>
    <r>
      <rPr>
        <b/>
        <u/>
        <sz val="12"/>
        <rFont val="Times New Roman"/>
        <family val="1"/>
      </rPr>
      <t xml:space="preserve"> CWF</t>
    </r>
    <r>
      <rPr>
        <b/>
        <sz val="12"/>
        <rFont val="Times New Roman"/>
        <family val="1"/>
      </rPr>
      <t xml:space="preserve">         X</t>
    </r>
  </si>
  <si>
    <t>Allocation factors</t>
  </si>
  <si>
    <t>PK - 3</t>
  </si>
  <si>
    <r>
      <t xml:space="preserve">Total </t>
    </r>
    <r>
      <rPr>
        <b/>
        <sz val="12"/>
        <color indexed="30"/>
        <rFont val="Times New Roman"/>
        <family val="1"/>
      </rPr>
      <t>*</t>
    </r>
  </si>
  <si>
    <t>Total Class Size Reduction Funds</t>
  </si>
  <si>
    <t>(*Total FTE should equal total in Section 1, column (4) and should not include any additional FTE from Section 1.)</t>
  </si>
  <si>
    <t>13.  Student Transportation</t>
  </si>
  <si>
    <t>(h)</t>
  </si>
  <si>
    <t>Enter All Adjusted Fundable Riders</t>
  </si>
  <si>
    <t xml:space="preserve"> x</t>
  </si>
  <si>
    <t>Enter All Adjusted ESE Riders</t>
  </si>
  <si>
    <t>14.  Federally Connected Student Supplement</t>
  </si>
  <si>
    <t>(i)</t>
  </si>
  <si>
    <t>Impact Aid Student Type</t>
  </si>
  <si>
    <t>Number of Students</t>
  </si>
  <si>
    <t>Exempt Property Allocation</t>
  </si>
  <si>
    <t>Impact Aid Student Allocation</t>
  </si>
  <si>
    <t>Total</t>
  </si>
  <si>
    <t>Military and Indian Lands</t>
  </si>
  <si>
    <t>Civilians on Federal Lands</t>
  </si>
  <si>
    <t>Students with Disabilities</t>
  </si>
  <si>
    <t>15.  Food Service Allocation</t>
  </si>
  <si>
    <t>(j)</t>
  </si>
  <si>
    <t>16.  Total Less Salary Increase Allocation (for administrative fee calculation)</t>
  </si>
  <si>
    <t>(k)</t>
  </si>
  <si>
    <t>17.  Funding for the purpose of calculating the administrative fee for ESE charter schools.</t>
  </si>
  <si>
    <t>(l)</t>
  </si>
  <si>
    <t>If you have more than a 75% ESE student population, please place a 1 in the following box:</t>
  </si>
  <si>
    <t>NOTES:</t>
  </si>
  <si>
    <t xml:space="preserve">(a) This allocation will be frozen as of the 2025-26 FEFP Conference Calculation and will not be recalculated throughout the year. Charter school allocations are recommended not to be recalculated with fluctuations in student enrollment later in the year. </t>
  </si>
  <si>
    <t>(b) District allocations multiplied by percentage from item 3A.</t>
  </si>
  <si>
    <t>(c) District allocations multiplied by percentage from item 3B.</t>
  </si>
  <si>
    <t>(d) District allocations multiplied by percentage from item 3C.</t>
  </si>
  <si>
    <t>(e) District allocations multiplied by percentage from item 3D.</t>
  </si>
  <si>
    <t>(f) District allocations multiplied by percentage from item 3E.</t>
  </si>
  <si>
    <t xml:space="preserve">(g) Acceleration values earned through Advanced Placement, International Baccalaureate, Advanced International Certificate of Education, Industry Certified Career Education (CAPE), Early High School Graduation and Dual Enrollment pursuant to s. 1011.62(17), F.S. </t>
  </si>
  <si>
    <t>(h)  Numbers entered here will be multiplied by the district level transportation funding per rider. "All Adjusted Fundable Riders" should include both basic and ESE Riders. "All Adjusted ESE Riders" should include only ESE Riders.</t>
  </si>
  <si>
    <t xml:space="preserve">(i) The Federally Connected Student Supplement provides additional funding for students on federal lands that receive Section 8003 impact aide pursuant to s. 1011.62(10), F.S. </t>
  </si>
  <si>
    <t xml:space="preserve">(j) Funding based on student eligibility and meals provided, if participating in the National School Lunch Program. </t>
  </si>
  <si>
    <t xml:space="preserve">(k) Consistent with s. 1002.33(20)(a)3, F.S., a school's sponsor may not charge or withhold any administrative fee against a charter school for any funds specfically allocated by the Legislature for teacher compensation. </t>
  </si>
  <si>
    <t xml:space="preserve">(l) Consistent with s. 1002.33(20)(a), F.S., for charter schools with a population of 75% or more ESE students, the administrative fee shall be calculated based on unweighted full-time equivalent students. </t>
  </si>
  <si>
    <t>Administrative fees:</t>
  </si>
  <si>
    <t xml:space="preserve">Administrative fees charged by the school district pursuant to s. 1002.33(20)(a), F.S., shall be calculated based upon 5%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5%. For charter schools within a charter school system that meets the requirements in s. 1002.33(20)(a)2.a.(II), F.S., do the same calculation based for up to and including 500 students. </t>
  </si>
  <si>
    <t xml:space="preserve">For high performing charter schools, administrative fees charged by the school district shall be calculated based upon 2%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2%.  </t>
  </si>
  <si>
    <t>Other:</t>
  </si>
  <si>
    <t>FEFP and categorical funding are recalculated during the year to reflect the revised number of full-time equivalent students reported during the survey periods designated by the Commissioner of Education.</t>
  </si>
  <si>
    <t>Revenues flow to districts from state sources and from county tax collectors on various distribution schedules.</t>
  </si>
  <si>
    <t>Revenue Estimate Worksheet: Palm Beach Preparatory Middle School 0040</t>
  </si>
  <si>
    <t>Total FTE</t>
  </si>
  <si>
    <t>Average FTE</t>
  </si>
  <si>
    <r>
      <t xml:space="preserve">Number of FTE
</t>
    </r>
    <r>
      <rPr>
        <i/>
        <sz val="9"/>
        <color indexed="10"/>
        <rFont val="Times New Roman"/>
        <family val="1"/>
      </rPr>
      <t>Charter schools should contact their school district sponsor regarding eligible FTE. Please note that “Number of FTE” is NOT equivalent to number of students enrolled in these courses or programs. Please refer to footnote (a) below.</t>
    </r>
  </si>
  <si>
    <t>Additional Funding from the ESE Guaranteed Allocation. Enter the FTE from 111,112, &amp; 113 by grade and matrix level.  Students who do not have a matrix level should be considered 251.  This total should equal all FTE from programs 111, 112 &amp; 113 above.</t>
  </si>
  <si>
    <t>3B. Divide school's Weighted FTE (WFTE) total computed in Section 1, cell E39 above by the district's total WFTE to obtain school's</t>
  </si>
  <si>
    <t>District's Total Non-Virtual and Non-Scholarship UFTE:</t>
  </si>
  <si>
    <t>.748 Mills</t>
  </si>
  <si>
    <t>6.   Safe Schools Allocation (Non-Virtual and Scholarship UFTE share)</t>
  </si>
  <si>
    <t>7.  Mental Health Assistance Allocation (Non-Scholarship UFTE share)</t>
  </si>
  <si>
    <t>8.  Academic Acceleration Options Supplement (Value share)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</si>
  <si>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(a) below.</t>
    </r>
  </si>
  <si>
    <t>9.    ESE Guaranteed Allocation</t>
  </si>
  <si>
    <t>10.  Discretionary Local Effort (WFTE share)</t>
  </si>
  <si>
    <t>11.  Proration to Funds Available (WFTE share)</t>
  </si>
  <si>
    <t>12.  Educational Enrollment Stabilization Program (UFTE share)</t>
  </si>
  <si>
    <t>13.  Class Size Reduction Funds:</t>
  </si>
  <si>
    <t>X          CWF         X</t>
  </si>
  <si>
    <t>14.  Student Transportation</t>
  </si>
  <si>
    <t>15.  Federally Connected Student Supplement</t>
  </si>
  <si>
    <t>16.  Food Service Allocation</t>
  </si>
  <si>
    <t>Total Funding for Calculating the Administrative fee of Charters with More Than 75% ESE Students.</t>
  </si>
  <si>
    <t xml:space="preserve">This tab of the worksheet is Set up to show estimated funding based on Unweighted FTE for charter schools with ESE populations of more than 75% so that </t>
  </si>
  <si>
    <t>the proper administrative fee can be estimated. It should not be necessary to enter data on this page.</t>
  </si>
  <si>
    <t>Palm Beach</t>
  </si>
  <si>
    <t>Less Administrative Fee (5% for up to 250 students of Un-Weighted FTE)</t>
  </si>
  <si>
    <t>Total Estimated Revenue</t>
  </si>
  <si>
    <t>Previous Charter School Payments Made</t>
  </si>
  <si>
    <t>Remaining Estimated Revenue</t>
  </si>
  <si>
    <t>Number of Remaining Months</t>
  </si>
  <si>
    <t>Current month's payment amount</t>
  </si>
  <si>
    <t>Excess of Administrative Fees to be Allocated to Capital Expenditures</t>
  </si>
  <si>
    <t>NA</t>
  </si>
  <si>
    <t>SR-0284903</t>
  </si>
  <si>
    <t>SR-0283904</t>
  </si>
  <si>
    <t>---</t>
  </si>
  <si>
    <t>Service Request #</t>
  </si>
  <si>
    <t>February</t>
  </si>
  <si>
    <t>December</t>
  </si>
  <si>
    <t>1st month used</t>
  </si>
  <si>
    <t>Received</t>
  </si>
  <si>
    <t>Thursday, 07/31/25</t>
  </si>
  <si>
    <t>Friday, 01/04/25</t>
  </si>
  <si>
    <t>Release/Requested date</t>
  </si>
  <si>
    <t>FY 2025</t>
  </si>
  <si>
    <t>SR-0251467</t>
  </si>
  <si>
    <t>SR-0251464</t>
  </si>
  <si>
    <t>SR-0243112</t>
  </si>
  <si>
    <t>SR-0243113</t>
  </si>
  <si>
    <t>June 2024</t>
  </si>
  <si>
    <t>Apr 2024</t>
  </si>
  <si>
    <t>Tue, 04/02/24</t>
  </si>
  <si>
    <t>Monday, 03/11/24</t>
  </si>
  <si>
    <t>FY 2024</t>
  </si>
  <si>
    <t>SR-0210987</t>
  </si>
  <si>
    <t>SR-0210986</t>
  </si>
  <si>
    <t>SR-0199714</t>
  </si>
  <si>
    <t>SR-0199712</t>
  </si>
  <si>
    <t>04/06/23,  07:27:58</t>
  </si>
  <si>
    <t>04/06/23,  07:25:38</t>
  </si>
  <si>
    <t>12/20/22,  09:37:14</t>
  </si>
  <si>
    <t>12/20/22,  09:31:04</t>
  </si>
  <si>
    <t>FY 2023</t>
  </si>
  <si>
    <t>Final</t>
  </si>
  <si>
    <t>Release date</t>
  </si>
  <si>
    <t>Preliminary</t>
  </si>
  <si>
    <t>SR-0171397</t>
  </si>
  <si>
    <t>SR-0171396</t>
  </si>
  <si>
    <t>SR-0125081</t>
  </si>
  <si>
    <t>SR-0156328</t>
  </si>
  <si>
    <t>05/03/2022, 12:16:24</t>
  </si>
  <si>
    <t>05/03/2022, 12:14:36</t>
  </si>
  <si>
    <t>01/07/2022, 09:18:46</t>
  </si>
  <si>
    <t>01/07/2022, 08:49:15</t>
  </si>
  <si>
    <t>FY 2022</t>
  </si>
  <si>
    <t>SR-0125055</t>
  </si>
  <si>
    <t>SR-0125054</t>
  </si>
  <si>
    <t>SR-0125077</t>
  </si>
  <si>
    <t>FY 2021</t>
  </si>
  <si>
    <t>SR-0089100</t>
  </si>
  <si>
    <t>SR-0089096</t>
  </si>
  <si>
    <t>SR0085639</t>
  </si>
  <si>
    <t>SR-0085635</t>
  </si>
  <si>
    <t>FY 2020</t>
  </si>
  <si>
    <t>SR-0067374</t>
  </si>
  <si>
    <t>SR-0067373</t>
  </si>
  <si>
    <t>FY 2019</t>
  </si>
  <si>
    <t>FY 2018</t>
  </si>
  <si>
    <t>FY 2017</t>
  </si>
  <si>
    <t>FY 2016</t>
  </si>
  <si>
    <t>Final Calculation</t>
  </si>
  <si>
    <t>Transp</t>
  </si>
  <si>
    <t>ESE Guar</t>
  </si>
  <si>
    <t>FLDOE Report</t>
  </si>
  <si>
    <t>Survey 3</t>
  </si>
  <si>
    <t>Survey 2</t>
  </si>
  <si>
    <t>Admin</t>
  </si>
  <si>
    <t>Fee %</t>
  </si>
  <si>
    <t>Annual</t>
  </si>
  <si>
    <t>Current</t>
  </si>
  <si>
    <t>Sec 1 Rev/Fee per FTE</t>
  </si>
  <si>
    <t>Net Rev Per Sec 1 FTE</t>
  </si>
  <si>
    <t>H/P</t>
  </si>
  <si>
    <t>ESE</t>
  </si>
  <si>
    <t>W/O TSIA</t>
  </si>
  <si>
    <t>Revenue</t>
  </si>
  <si>
    <t>Rev - TSIA</t>
  </si>
  <si>
    <t>Admin Fee</t>
  </si>
  <si>
    <t>Net Revenue</t>
  </si>
  <si>
    <t>Mth's Pmt</t>
  </si>
  <si>
    <t>Sec 1 FTE</t>
  </si>
  <si>
    <t>Rev</t>
  </si>
  <si>
    <t>Fee</t>
  </si>
  <si>
    <t>Net Rev</t>
  </si>
  <si>
    <t>75% ESE</t>
  </si>
  <si>
    <t>Other</t>
  </si>
  <si>
    <t>0040</t>
  </si>
  <si>
    <t>Palm Beach Preparatory Middle School</t>
  </si>
  <si>
    <t>0100</t>
  </si>
  <si>
    <t>The Learning Center Highschool</t>
  </si>
  <si>
    <t>1461</t>
  </si>
  <si>
    <t>Inlet Grove Community High School</t>
  </si>
  <si>
    <t>1571</t>
  </si>
  <si>
    <t>South Tech Charter Academy</t>
  </si>
  <si>
    <t>2521</t>
  </si>
  <si>
    <t>Ed Venture</t>
  </si>
  <si>
    <t>2531</t>
  </si>
  <si>
    <t>Bodwell Academy</t>
  </si>
  <si>
    <t>2791</t>
  </si>
  <si>
    <t>The Learning Center @ The Els Center of Excl</t>
  </si>
  <si>
    <t>2801</t>
  </si>
  <si>
    <t>Palm Beach Maritime Academy Elementary</t>
  </si>
  <si>
    <t>2911</t>
  </si>
  <si>
    <t>Western Academy Charter School</t>
  </si>
  <si>
    <t>2941</t>
  </si>
  <si>
    <t>Palm Beach School for Autism</t>
  </si>
  <si>
    <t>3083</t>
  </si>
  <si>
    <t>The Learning Academy @ The Els Center of Excl</t>
  </si>
  <si>
    <t>3345</t>
  </si>
  <si>
    <t>Career Academy of the Palm Beaches</t>
  </si>
  <si>
    <t>3381</t>
  </si>
  <si>
    <t>Imagine Schools - Chancellor Campus</t>
  </si>
  <si>
    <t>3382</t>
  </si>
  <si>
    <t xml:space="preserve">Glades Academy </t>
  </si>
  <si>
    <t>3391</t>
  </si>
  <si>
    <t>Seagull Academy for Independent Living</t>
  </si>
  <si>
    <t>3394</t>
  </si>
  <si>
    <t>Montessori Academy of Early Enrichment</t>
  </si>
  <si>
    <t>3395</t>
  </si>
  <si>
    <t>Somerset Academy Charter School</t>
  </si>
  <si>
    <t>3396</t>
  </si>
  <si>
    <t xml:space="preserve">G-Star School of the Arts </t>
  </si>
  <si>
    <t>3398</t>
  </si>
  <si>
    <t>Everglades Preparatory Academy</t>
  </si>
  <si>
    <t>3400</t>
  </si>
  <si>
    <t>Believers Academy</t>
  </si>
  <si>
    <t>3401</t>
  </si>
  <si>
    <t>Quantum High School</t>
  </si>
  <si>
    <t>3413</t>
  </si>
  <si>
    <t>Somerset Academy Boca</t>
  </si>
  <si>
    <t>3421</t>
  </si>
  <si>
    <t>Worthington High School</t>
  </si>
  <si>
    <t>3431</t>
  </si>
  <si>
    <t>Renaissance Charter School at WPB</t>
  </si>
  <si>
    <t>South Tech Preparatory Academy (MS)</t>
  </si>
  <si>
    <t>Palm Beach Maritime Academy Secondary</t>
  </si>
  <si>
    <t>3941</t>
  </si>
  <si>
    <t>Ben Gamla Charter School</t>
  </si>
  <si>
    <t>3961</t>
  </si>
  <si>
    <t>Gardens School of Technology Arts</t>
  </si>
  <si>
    <t>3971</t>
  </si>
  <si>
    <t>Palm Beach Preparatory Charter Academy</t>
  </si>
  <si>
    <t>4001</t>
  </si>
  <si>
    <t>Renaissance Charter School at Wellington</t>
  </si>
  <si>
    <t xml:space="preserve">Renaissance Charter School at Summit </t>
  </si>
  <si>
    <t xml:space="preserve">Somerset Academy Canyons Middle School </t>
  </si>
  <si>
    <t xml:space="preserve">Somerset Academy Canyons High School </t>
  </si>
  <si>
    <t>Franklin Academy - Boynton Beach</t>
  </si>
  <si>
    <t>Olympus International Academy</t>
  </si>
  <si>
    <t>Somerset Academy Wellington</t>
  </si>
  <si>
    <t xml:space="preserve">Somerset Academy Boca Middle School </t>
  </si>
  <si>
    <t>Renaissance Charter School at Cypress</t>
  </si>
  <si>
    <t>Renaissance Charter School at Central Palm</t>
  </si>
  <si>
    <t>Franklin Academy - Palm Beach Gardens</t>
  </si>
  <si>
    <t>University Preparatory Academy</t>
  </si>
  <si>
    <t>Florida Futures Academy - North Campus</t>
  </si>
  <si>
    <t>Sports Leadership Academy (SLAM)</t>
  </si>
  <si>
    <t>Somerset Academy Lakes</t>
  </si>
  <si>
    <t>Connections Education Center of the PBs</t>
  </si>
  <si>
    <t>BridgePrep Academy of Palm Beach</t>
  </si>
  <si>
    <t>SLAM Boca</t>
  </si>
  <si>
    <t>SLAM HS Palm Beach</t>
  </si>
  <si>
    <t>Somerset Academy Wellington HS</t>
  </si>
  <si>
    <t>Consolidated tab totals</t>
  </si>
  <si>
    <t>Difference</t>
  </si>
  <si>
    <t>Palm Beach County Charter Schools</t>
  </si>
  <si>
    <t>Sorted by School Number</t>
  </si>
  <si>
    <t>Sorted by School Name</t>
  </si>
  <si>
    <t>Dept #</t>
  </si>
  <si>
    <t>Charter School Name</t>
  </si>
  <si>
    <t>PALM BEACH PREPARATORY ACADEMY MS</t>
  </si>
  <si>
    <t>THE LEARNING CENTER HS</t>
  </si>
  <si>
    <t>3391 Seagull Academy for Independent Living and 2531 Potentials Charter School merged in FY 25 and changed their name to Bodwell Academy</t>
  </si>
  <si>
    <t>4102</t>
  </si>
  <si>
    <t>BridgePrep Academy of PB</t>
  </si>
  <si>
    <t>4100</t>
  </si>
  <si>
    <t>Connections Education Center of the Palm Beaches</t>
  </si>
  <si>
    <t>3961 Garden School of Technology is closing for FY 26.</t>
  </si>
  <si>
    <t>Bodwell Academy (formerly - Potentials Charter School)</t>
  </si>
  <si>
    <t>4080 University Prep is closed for FY 26</t>
  </si>
  <si>
    <t>The Learning Center at The Els Center of Excellence</t>
  </si>
  <si>
    <t>4081</t>
  </si>
  <si>
    <t>4020</t>
  </si>
  <si>
    <t>4061</t>
  </si>
  <si>
    <t>New Schools</t>
  </si>
  <si>
    <t>The Learning Academy at The Els Center of Excellence</t>
  </si>
  <si>
    <t>G-Star School of the Arts for Motion Pictures and Television</t>
  </si>
  <si>
    <t>Somserset Avenir</t>
  </si>
  <si>
    <t>Somerset Avenir</t>
  </si>
  <si>
    <t>4030</t>
  </si>
  <si>
    <t>Somerset Academy JFK Charter School</t>
  </si>
  <si>
    <t>3924</t>
  </si>
  <si>
    <t>Potentials Charter School</t>
  </si>
  <si>
    <t>4051</t>
  </si>
  <si>
    <t>3441</t>
  </si>
  <si>
    <t>South Tech Preparatory Academy (Middle School)</t>
  </si>
  <si>
    <t>4050</t>
  </si>
  <si>
    <t>4002</t>
  </si>
  <si>
    <t>4012</t>
  </si>
  <si>
    <t>4013</t>
  </si>
  <si>
    <t>4041</t>
  </si>
  <si>
    <t>4131</t>
  </si>
  <si>
    <t>4080</t>
  </si>
  <si>
    <t>University Prep Palm Beach</t>
  </si>
  <si>
    <t>Sports Leadership &amp; Management (SLAM) MS</t>
  </si>
  <si>
    <t>4103</t>
  </si>
  <si>
    <t>Sports Leadership Arts Management (SLAM) Acdemy MHS (Boca)</t>
  </si>
  <si>
    <t>The Learning Center High School</t>
  </si>
  <si>
    <t>Revenue Estimate Worksheet: All Charter Schools (Consolidated Tab)</t>
  </si>
  <si>
    <t xml:space="preserve">Base Student Allocation:   </t>
  </si>
  <si>
    <t xml:space="preserve">District Cost Differential:   </t>
  </si>
  <si>
    <t xml:space="preserve">Small District Factor:   </t>
  </si>
  <si>
    <r>
      <t xml:space="preserve">254 ESE Level 4 </t>
    </r>
    <r>
      <rPr>
        <b/>
        <i/>
        <sz val="12"/>
        <rFont val="Calibri"/>
        <family val="2"/>
      </rPr>
      <t>(Grade Level PK-3</t>
    </r>
    <r>
      <rPr>
        <b/>
        <sz val="12"/>
        <rFont val="Calibri"/>
        <family val="2"/>
      </rPr>
      <t>)</t>
    </r>
  </si>
  <si>
    <r>
      <t xml:space="preserve">254 ESE Level 4 </t>
    </r>
    <r>
      <rPr>
        <b/>
        <i/>
        <sz val="12"/>
        <rFont val="Calibri"/>
        <family val="2"/>
      </rPr>
      <t>(Grade Level 4-8)</t>
    </r>
  </si>
  <si>
    <r>
      <t>254 ESE Level 4</t>
    </r>
    <r>
      <rPr>
        <b/>
        <i/>
        <sz val="12"/>
        <rFont val="Calibri"/>
        <family val="2"/>
      </rPr>
      <t xml:space="preserve"> (Grade Level 9-12)</t>
    </r>
  </si>
  <si>
    <r>
      <t xml:space="preserve">255 ESE Level 5 </t>
    </r>
    <r>
      <rPr>
        <b/>
        <i/>
        <sz val="12"/>
        <rFont val="Calibri"/>
        <family val="2"/>
      </rPr>
      <t>(Grade Level PK-3</t>
    </r>
    <r>
      <rPr>
        <b/>
        <sz val="12"/>
        <rFont val="Calibri"/>
        <family val="2"/>
      </rPr>
      <t>)</t>
    </r>
  </si>
  <si>
    <r>
      <t xml:space="preserve">255 ESE Level 5 </t>
    </r>
    <r>
      <rPr>
        <b/>
        <i/>
        <sz val="12"/>
        <rFont val="Calibri"/>
        <family val="2"/>
      </rPr>
      <t>(Grade Level 4-8)</t>
    </r>
  </si>
  <si>
    <r>
      <t>255 ESE Level 5</t>
    </r>
    <r>
      <rPr>
        <b/>
        <i/>
        <sz val="12"/>
        <rFont val="Calibri"/>
        <family val="2"/>
      </rPr>
      <t xml:space="preserve"> (Grade Level 9-12)</t>
    </r>
  </si>
  <si>
    <r>
      <t xml:space="preserve">130 ESOL </t>
    </r>
    <r>
      <rPr>
        <b/>
        <i/>
        <sz val="12"/>
        <rFont val="Calibri"/>
        <family val="2"/>
      </rPr>
      <t>(Grade Level PK-3)</t>
    </r>
  </si>
  <si>
    <r>
      <t xml:space="preserve">130 ESOL </t>
    </r>
    <r>
      <rPr>
        <b/>
        <i/>
        <sz val="12"/>
        <rFont val="Calibri"/>
        <family val="2"/>
      </rPr>
      <t>(Grade Level 4-8)</t>
    </r>
  </si>
  <si>
    <r>
      <t xml:space="preserve">130 ESOL </t>
    </r>
    <r>
      <rPr>
        <b/>
        <i/>
        <sz val="12"/>
        <rFont val="Calibri"/>
        <family val="2"/>
      </rPr>
      <t>(Grade Level 9-12)</t>
    </r>
  </si>
  <si>
    <r>
      <t xml:space="preserve">300 Career Education </t>
    </r>
    <r>
      <rPr>
        <b/>
        <i/>
        <sz val="12"/>
        <rFont val="Calibri"/>
        <family val="2"/>
      </rPr>
      <t>(Grades 9-12)</t>
    </r>
  </si>
  <si>
    <t>Totals non-virtual schools</t>
  </si>
  <si>
    <t>Virtual schools ($5,476.28/FTE)</t>
  </si>
  <si>
    <t>Totals all schools</t>
  </si>
  <si>
    <t>2018-19</t>
  </si>
  <si>
    <t>Additional FTE (a)</t>
  </si>
  <si>
    <t>(WFTE x BSA x DCD)</t>
  </si>
  <si>
    <t xml:space="preserve">Total Additional FTE   </t>
  </si>
  <si>
    <t xml:space="preserve">Additional Base Funds  </t>
  </si>
  <si>
    <t xml:space="preserve">Total Funded Weighted FTE   </t>
  </si>
  <si>
    <t xml:space="preserve">Total Base Funding  </t>
  </si>
  <si>
    <t>1B. Classroom Teacher &amp; Other Instructional Personnel Salary Increase</t>
  </si>
  <si>
    <t>Maintenance and Growth Portions of the Salary Increase funds are part of the total Base Funding and are not treated as a separate allocation.</t>
  </si>
  <si>
    <t>Amounts are split out here for informative purposes and for the purposes of providing a total that may be used for calculating the adminstrative fee.</t>
  </si>
  <si>
    <t>Maintenance Portion (6.67% of Conference Funding)</t>
  </si>
  <si>
    <t>(g) (k)</t>
  </si>
  <si>
    <t>Growth Portion (0.54% of Conference Funding)</t>
  </si>
  <si>
    <t>Total Salary Increase</t>
  </si>
  <si>
    <t>Grade</t>
  </si>
  <si>
    <t>Matrix</t>
  </si>
  <si>
    <t>Guarantee</t>
  </si>
  <si>
    <t>Level</t>
  </si>
  <si>
    <t>Per Student</t>
  </si>
  <si>
    <t>Additional Funding from the ESE Guaranteed Allocation. Enter the FTE from 111,112 and 113 by grade and matrix level.  Students who do not have a matrix level should be considered 251.  This total should equal all FTE from programs 111, 112 and 113 above.</t>
  </si>
  <si>
    <t>3A.   Divide school's Unweighted FTE (UFTE) total computed in Section 1, cell E30 above by the district's total UFTE to obtain school's</t>
  </si>
  <si>
    <t xml:space="preserve">          UFTE share.                          CS UFTE: </t>
  </si>
  <si>
    <t xml:space="preserve">    ÷                    District's total UFTE</t>
  </si>
  <si>
    <t>3B.   Divide school's Weighted FTE (WFTE) total computed in Section 1, cell H30 above by the district's total WFTE to obtain school's</t>
  </si>
  <si>
    <t xml:space="preserve">          WFTE share.                       CS WFTE: </t>
  </si>
  <si>
    <t xml:space="preserve">    ÷                    District's total WFTE</t>
  </si>
  <si>
    <t>3C.   Divide school's Unweighted FTE (UFTE) total computed in Section 1, cell E30 above by the District's total non-scholarship UFTE to obtain school's</t>
  </si>
  <si>
    <r>
      <t xml:space="preserve">         </t>
    </r>
    <r>
      <rPr>
        <b/>
        <sz val="11"/>
        <rFont val="Calibri"/>
        <family val="2"/>
        <scheme val="minor"/>
      </rPr>
      <t xml:space="preserve"> UFTE share. </t>
    </r>
    <r>
      <rPr>
        <b/>
        <sz val="12"/>
        <rFont val="Calibri"/>
        <family val="2"/>
        <scheme val="minor"/>
      </rPr>
      <t xml:space="preserve">                           CS UFTE: </t>
    </r>
  </si>
  <si>
    <t xml:space="preserve">    ÷     District's total non-scholarship UFTE    </t>
  </si>
  <si>
    <t>3D.   Divide school's Unweighted FTE (UFTE) total computed in Section 1, cell E30 above by the District's total non-virtual UFTE to obtain school's</t>
  </si>
  <si>
    <t xml:space="preserve">               ÷                  District's total non-virtual UFTE  </t>
  </si>
  <si>
    <t xml:space="preserve">3E.   Divide school's Unweighted FTE (UFTE) total computed in Section 1, cell E30 above by the district's total non-scholarship/virtual UFTE to obtain </t>
  </si>
  <si>
    <r>
      <t xml:space="preserve">         </t>
    </r>
    <r>
      <rPr>
        <b/>
        <sz val="11"/>
        <rFont val="Calibri"/>
        <family val="2"/>
        <scheme val="minor"/>
      </rPr>
      <t xml:space="preserve"> school's UFTE share. </t>
    </r>
    <r>
      <rPr>
        <b/>
        <sz val="12"/>
        <rFont val="Calibri"/>
        <family val="2"/>
        <scheme val="minor"/>
      </rPr>
      <t xml:space="preserve">             CS UFTE: </t>
    </r>
  </si>
  <si>
    <t xml:space="preserve">÷   Dististict's total non-scholarship/virtual UFTE  </t>
  </si>
  <si>
    <t>4.   Educational Enrichment Share (Non-virtual UFTE share)</t>
  </si>
  <si>
    <t xml:space="preserve">        .748 Mills (UFTE share)</t>
  </si>
  <si>
    <t>6.   Safe Schools Allocation (Non-scholarship/virtual UFTE share)</t>
  </si>
  <si>
    <r>
      <t xml:space="preserve">7.   </t>
    </r>
    <r>
      <rPr>
        <b/>
        <sz val="11"/>
        <rFont val="Calibri"/>
        <family val="2"/>
        <scheme val="minor"/>
      </rPr>
      <t>Mental Health Assistance Allocation (Non-scholarship UFTE share)</t>
    </r>
  </si>
  <si>
    <t>Allocation</t>
  </si>
  <si>
    <t>(not including Add-On)</t>
  </si>
  <si>
    <r>
      <rPr>
        <b/>
        <sz val="12"/>
        <rFont val="Calibri"/>
        <family val="2"/>
      </rPr>
      <t xml:space="preserve">  X  </t>
    </r>
    <r>
      <rPr>
        <b/>
        <u/>
        <sz val="12"/>
        <rFont val="Calibri"/>
        <family val="2"/>
      </rPr>
      <t>CWF</t>
    </r>
    <r>
      <rPr>
        <b/>
        <sz val="12"/>
        <rFont val="Calibri"/>
        <family val="2"/>
      </rPr>
      <t xml:space="preserve">  X</t>
    </r>
  </si>
  <si>
    <t>Factors</t>
  </si>
  <si>
    <t xml:space="preserve">PK - 3      </t>
  </si>
  <si>
    <t xml:space="preserve">4-8       </t>
  </si>
  <si>
    <t xml:space="preserve">9-12       </t>
  </si>
  <si>
    <r>
      <t xml:space="preserve">Total </t>
    </r>
    <r>
      <rPr>
        <b/>
        <sz val="12"/>
        <color indexed="30"/>
        <rFont val="Calibri"/>
        <family val="2"/>
      </rPr>
      <t xml:space="preserve">*   </t>
    </r>
  </si>
  <si>
    <t xml:space="preserve">Total Class Size Reduction Funds  </t>
  </si>
  <si>
    <t>Average</t>
  </si>
  <si>
    <t xml:space="preserve">All Adjusted Fundable Riders  </t>
  </si>
  <si>
    <t xml:space="preserve">All Adjusted ESE Riders (Member Cat L)  </t>
  </si>
  <si>
    <t>12.  Federally Connected Student Supplement</t>
  </si>
  <si>
    <t>Impact Aide</t>
  </si>
  <si>
    <t>Exempt Property</t>
  </si>
  <si>
    <t>Student</t>
  </si>
  <si>
    <t>Total Less Total Salary Increase - Item 1B. (for administrative fee calculation)</t>
  </si>
  <si>
    <t>Funding for the purpose of calculating the administrative fee for ESE charter schools.</t>
  </si>
  <si>
    <t xml:space="preserve">(a) Additional FTE includes FTE earned through Advanced Placement, International Baccalaureate, Advanced International Certificate of Education, Industry Certified Career Education (CAPE), Early High School Graduation, the small district ESE Supplement and Dual Enrollment pursuant to s. 1011.62(1)(i-p), F.S. </t>
  </si>
  <si>
    <t>(b) District allocations multiplied by percentage from item 2A.</t>
  </si>
  <si>
    <t>(c) District allocations multiplied by percentage from item 2B.</t>
  </si>
  <si>
    <t>(d) District allocations multiplied by percentage from item 2C.</t>
  </si>
  <si>
    <t>(e) District allocations multiplied by percentage from item 2D.</t>
  </si>
  <si>
    <t>(f) District allocations multiplied by percentage from item 2E.</t>
  </si>
  <si>
    <t xml:space="preserve">(g) This allocation will be frozen as of the 2023-24 FEFP Conference Calculation and will not be recalculated throughout the year. Charter school allocations are recommended not to be recalculated with fluctuations in student enrollment later in the year. </t>
  </si>
  <si>
    <t xml:space="preserve">(i) The Federally Connected Student Supplement provides additional funding for students on federal lands that receive Section 8003 impact aide pursuant to s. 1011.62(13), F.S. </t>
  </si>
  <si>
    <t>Cumulative Payments</t>
  </si>
  <si>
    <t>July</t>
  </si>
  <si>
    <t>August</t>
  </si>
  <si>
    <t>Sept</t>
  </si>
  <si>
    <t>Oct</t>
  </si>
  <si>
    <t>Nov</t>
  </si>
  <si>
    <t>Dec</t>
  </si>
  <si>
    <t>Jan</t>
  </si>
  <si>
    <t>Feb</t>
  </si>
  <si>
    <t>March</t>
  </si>
  <si>
    <t>April</t>
  </si>
  <si>
    <t>May</t>
  </si>
  <si>
    <t>June</t>
  </si>
  <si>
    <t>Payments excluding current month</t>
  </si>
  <si>
    <t>Palm Beach Perparatory Charter Academy</t>
  </si>
  <si>
    <t>Related to first payment (July 2025) to 4080 University Prep</t>
  </si>
  <si>
    <t>Net Revenue - Previous Pmts</t>
  </si>
  <si>
    <t>Calculated Current Payment</t>
  </si>
  <si>
    <t>Actual Current Payment</t>
  </si>
  <si>
    <t>rounding diff</t>
  </si>
  <si>
    <t>*Use this for each tab in worksheet, current month is excluded for  calc.</t>
  </si>
  <si>
    <t>H</t>
  </si>
  <si>
    <t>Revenue Estimate Worksheet: The Learning Center Highschool 0100</t>
  </si>
  <si>
    <t>Revenue Estimate Worksheet: Inlet Grove Community High School - 1461</t>
  </si>
  <si>
    <t>Revenue Estimate Worksheet: South Tech Charter Academy - 1571</t>
  </si>
  <si>
    <t>Revenue Estimate Worksheet: Ed Venture Charter School - 2521</t>
  </si>
  <si>
    <t>Revenue Estimate Worksheet: Bodwell Academy - 2531</t>
  </si>
  <si>
    <t>Revenue Estimate Worksheet: The Learning Center at The Els Center of Excellence - 2791</t>
  </si>
  <si>
    <t>Revenue Estimate Worksheet: Palm Beach Maritime Academy Elementary - 2801</t>
  </si>
  <si>
    <t>Revenue Estimate Worksheet: Western Academy Charter School - 2911</t>
  </si>
  <si>
    <t>Revenue Estimate Worksheet: Palm Beach School for Autism - 2941</t>
  </si>
  <si>
    <t>Revenue Estimate Worksheet: The Learning Academy at The Els Center of Excellence - 3083</t>
  </si>
  <si>
    <t>Revenue Estimate Worksheet: Career Academy of the Palm Beaches - 3345</t>
  </si>
  <si>
    <t>Revenue Estimate Worksheet: Imagine Schools - Chancellor Campus - 3381</t>
  </si>
  <si>
    <t>Revenue Estimate Worksheet: Seagull Academy for Independent Living - 3391</t>
  </si>
  <si>
    <t>Revenue Estimate Worksheet: Montessori Academy of Early Enrichment - 3394</t>
  </si>
  <si>
    <t>Revenue Estimate Worksheet: Somerset Academy JFK Charter School - 3395</t>
  </si>
  <si>
    <t>Revenue Estimate Worksheet: G-Star School of the Arts for Motion Pictures &amp; Television - 3396</t>
  </si>
  <si>
    <t>Revenue Estimate Worksheet: Everglades Preparatory Academy - 3398</t>
  </si>
  <si>
    <t>Revenue Estimate Worksheet: Believers Academy - 3400</t>
  </si>
  <si>
    <t>Revenue Estimate Worksheet: Quantum High School - 3401</t>
  </si>
  <si>
    <t>Revenue Estimate Worksheet: Somerset Academy Boca East - 3413</t>
  </si>
  <si>
    <t>Revenue Estimate Worksheet: Worthington High School - 3421</t>
  </si>
  <si>
    <t>Revenue Estimate Worksheet: Renaissance Charter School at West Palm Beach - 3431</t>
  </si>
  <si>
    <t>Revenue Estimate Worksheet: SouthTech Preparatory Academy - 3441</t>
  </si>
  <si>
    <t>Revenue Estimate Worksheet: Palm Beach Maritime Academy Secondary - 3924</t>
  </si>
  <si>
    <t>Revenue Estimate Worksheet: Ben Gamla Charter School - 3941</t>
  </si>
  <si>
    <t>Revenue Estimate Worksheet: Gardens School of Technology Arts - 3961</t>
  </si>
  <si>
    <t>Revenue Estimate Worksheet: Palm Beach Preparatory Charter Academy - 3971</t>
  </si>
  <si>
    <t>Revenue Estimate Worksheet: Renaissance Charter School at Wellington - 4001</t>
  </si>
  <si>
    <t>Revenue Estimate Worksheet: Renaissance Charter School at Summit - 4002</t>
  </si>
  <si>
    <t>Revenue Estimate Worksheet: Somerset Academy Canyons Middle School - 4012</t>
  </si>
  <si>
    <t>Revenue Estimate Worksheet: Somerset Academy Canyons High School - 4013</t>
  </si>
  <si>
    <t>Revenue Estimate Worksheet: Franklin Academy - Boynton Beach - 4020</t>
  </si>
  <si>
    <t>Revenue Estimate Worksheet: Olympus International Academy - 4030</t>
  </si>
  <si>
    <t>Revenue Estimate Worksheet: Somerset Academy Wellington - 4031</t>
  </si>
  <si>
    <t>Revenue Estimate Worksheet: Somerset Academy Boca Middle School - 4041</t>
  </si>
  <si>
    <t>Revenue Estimate Worksheet: Renaissance Charter School at Cypress - 4050</t>
  </si>
  <si>
    <t>Revenue Estimate Worksheet: Franklin Academy - Palm Beach Gardens - 4061</t>
  </si>
  <si>
    <t>Revenue Estimate Worksheet: University Prep Palm Beach - 4080</t>
  </si>
  <si>
    <t>Revenue Estimate Worksheet: Florida Futures Academy - North Campus - 4081</t>
  </si>
  <si>
    <t>Revenue Estimate Worksheet: Sports Leadership &amp; Management Middle School (SLAM) - 4090</t>
  </si>
  <si>
    <t>Revenue Estimate Worksheet: Somerset Academy Lakes - 4091</t>
  </si>
  <si>
    <t>Revenue Estimate Worksheet: Connections Education Center of the Palm Beaches - 4100</t>
  </si>
  <si>
    <t>Revenue Estimate Worksheet: BridgePrep Academy of PB - 4102</t>
  </si>
  <si>
    <t>Revenue Estimate Worksheet: Sports Leadership &amp; Management (SLAM) MHS (Boca) - 4103</t>
  </si>
  <si>
    <t>Revenue Estimate Worksheet: Sports Leadership &amp; Management (SLAM) Academy High School - 4111</t>
  </si>
  <si>
    <t>Revenue Estimate Worksheet: Somerset Academy Wellington HS - 4131</t>
  </si>
  <si>
    <t>9.   Discretionary Local Effort (WFTE share)</t>
  </si>
  <si>
    <t>10.   Proration to Funds Available (WFTE share)</t>
  </si>
  <si>
    <t>11.  Educational Enrollment Stabilization Program (UFTE Share)</t>
  </si>
  <si>
    <t>14.  Food Service Allocation</t>
  </si>
  <si>
    <t>School #</t>
  </si>
  <si>
    <t>School Name</t>
  </si>
  <si>
    <t>Description</t>
  </si>
  <si>
    <t>Adjustments</t>
  </si>
  <si>
    <t>Net</t>
  </si>
  <si>
    <t>NOTES TO ALL CHARTER SCHOOLS</t>
  </si>
  <si>
    <t>Please go to the bottom of the page.</t>
  </si>
  <si>
    <t>PY Final FEFP</t>
  </si>
  <si>
    <t>Sep Teacher Supplies Retract</t>
  </si>
  <si>
    <t>PY Digital C/R</t>
  </si>
  <si>
    <t>PY Dig C/R A/R</t>
  </si>
  <si>
    <t>PY Class Size Cat.</t>
  </si>
  <si>
    <t>Class Size Cat.</t>
  </si>
  <si>
    <t xml:space="preserve">Transportation </t>
  </si>
  <si>
    <t>School Police</t>
  </si>
  <si>
    <t>AT&amp;T</t>
  </si>
  <si>
    <t>Avaya Maintenance</t>
  </si>
  <si>
    <t>LAN &amp; Internet</t>
  </si>
  <si>
    <t>Ends June 2022</t>
  </si>
  <si>
    <t>SWA Fees</t>
  </si>
  <si>
    <t>FY21 TSIA</t>
  </si>
  <si>
    <t>WPB-248085</t>
  </si>
  <si>
    <t>WPB-248086</t>
  </si>
  <si>
    <t>WPB-248087</t>
  </si>
  <si>
    <t>WPB-249234</t>
  </si>
  <si>
    <t>WPB-297918</t>
  </si>
  <si>
    <t>WPB-303998</t>
  </si>
  <si>
    <t>FY21 CSTAG Training</t>
  </si>
  <si>
    <t>FEFP Adj</t>
  </si>
  <si>
    <t>WPB-</t>
  </si>
  <si>
    <t xml:space="preserve">PY Final FEFP </t>
  </si>
  <si>
    <t>Unused FY21 TSIA Funds</t>
  </si>
  <si>
    <t>FL AG - FY18</t>
  </si>
  <si>
    <t>PY Safe Schl Alloc</t>
  </si>
  <si>
    <t>MS Course Recovery</t>
  </si>
  <si>
    <t>WPB-255421</t>
  </si>
  <si>
    <t>WPB-292889</t>
  </si>
  <si>
    <t>SIS Fee Reduction</t>
  </si>
  <si>
    <t>FL AG - FY20</t>
  </si>
  <si>
    <t>WPB-295674</t>
  </si>
  <si>
    <t>WPB-292383</t>
  </si>
  <si>
    <t>Unused FY21 TSIA add'l adj</t>
  </si>
  <si>
    <t>TSIA deducted 02/22</t>
  </si>
  <si>
    <t>WPB-242343</t>
  </si>
  <si>
    <t>WPB-264049</t>
  </si>
  <si>
    <t>Disallowed IDEA</t>
  </si>
  <si>
    <t>WPB-241201</t>
  </si>
  <si>
    <t>WPB-245095</t>
  </si>
  <si>
    <t>WPB-229862</t>
  </si>
  <si>
    <t>WPB-268356</t>
  </si>
  <si>
    <t>Sports Leadership &amp; Management MS (SLAM)</t>
  </si>
  <si>
    <t>TSIA deducted 07/21</t>
  </si>
  <si>
    <t>Sports Leadership Arts Management (SLAM) - Boca</t>
  </si>
  <si>
    <t>Net payments</t>
  </si>
  <si>
    <t xml:space="preserve">Total current month's FTE payment amount per Consolidated tab  </t>
  </si>
  <si>
    <t>K-12 Initiative Grant</t>
  </si>
  <si>
    <t>WPB-XXX</t>
  </si>
  <si>
    <t xml:space="preserve">Totals per payment approval sheet  </t>
  </si>
  <si>
    <t xml:space="preserve"> calculation, FY 26.</t>
  </si>
  <si>
    <t>payment calculation.</t>
  </si>
  <si>
    <t>÷          District's Total Non-Scholarship Non-Virtual UFTE:</t>
  </si>
  <si>
    <t>÷     District's Total Non-Scholarship Non-Virtual UFTE:</t>
  </si>
  <si>
    <t>NOT PAYING FY 26</t>
  </si>
  <si>
    <t/>
  </si>
  <si>
    <t>Revenue Estimate Worksheet: Palmetto Park - 0571</t>
  </si>
  <si>
    <t>0571</t>
  </si>
  <si>
    <t>Palmetto Park</t>
  </si>
  <si>
    <t>Revenue Estimate Worksheet: Renaissance Charter School at Central Palm- 4051</t>
  </si>
  <si>
    <t>PALMETTO PARK</t>
  </si>
  <si>
    <t xml:space="preserve">payment calculations. </t>
  </si>
  <si>
    <t>Revenue Estimate Worksheet: Somerset Academy Avenir 3362</t>
  </si>
  <si>
    <t>FY 2026</t>
  </si>
  <si>
    <t>Not Received</t>
  </si>
  <si>
    <t>Tues, 09/30/2025</t>
  </si>
  <si>
    <t>WPB-303276</t>
  </si>
  <si>
    <t>WPB-310033</t>
  </si>
  <si>
    <t>WPB-310034</t>
  </si>
  <si>
    <t>WPB-310035</t>
  </si>
  <si>
    <t>WPB-310036</t>
  </si>
  <si>
    <t>WPB-310037</t>
  </si>
  <si>
    <t>WPB-310038</t>
  </si>
  <si>
    <t>WPB-310039</t>
  </si>
  <si>
    <t>WPB-310040</t>
  </si>
  <si>
    <t>WPB-310041</t>
  </si>
  <si>
    <t>WPB-310042</t>
  </si>
  <si>
    <t>WPB-310490</t>
  </si>
  <si>
    <t>Oct 2025</t>
  </si>
  <si>
    <t>Feb 2026</t>
  </si>
  <si>
    <t>Oct 2025 FTE</t>
  </si>
  <si>
    <t>Feb 2026 FTE</t>
  </si>
  <si>
    <t xml:space="preserve"> Feb 2026</t>
  </si>
  <si>
    <t>Based on the 2025-26 Third Calculation Worksheet</t>
  </si>
  <si>
    <t>Revenue Estimate Worksheet: Glades Day - 3382</t>
  </si>
  <si>
    <t>WPB-313591</t>
  </si>
  <si>
    <t>4. The FDOE released the October 2025 Survey 2 FY 25-26 ESE information, which was used in the April  2026 calculation.</t>
  </si>
  <si>
    <r>
      <t>May 2026</t>
    </r>
    <r>
      <rPr>
        <b/>
        <sz val="10"/>
        <color indexed="12"/>
        <rFont val="Calibri"/>
        <family val="2"/>
      </rPr>
      <t xml:space="preserve"> - </t>
    </r>
    <r>
      <rPr>
        <b/>
        <sz val="10"/>
        <rFont val="Calibri"/>
        <family val="2"/>
      </rPr>
      <t xml:space="preserve">FY </t>
    </r>
    <r>
      <rPr>
        <b/>
        <sz val="10"/>
        <color indexed="12"/>
        <rFont val="Calibri"/>
        <family val="2"/>
      </rPr>
      <t xml:space="preserve">2026 </t>
    </r>
    <r>
      <rPr>
        <b/>
        <sz val="10"/>
        <rFont val="Calibri"/>
        <family val="2"/>
      </rPr>
      <t>Charter School FTE Payment</t>
    </r>
  </si>
  <si>
    <t>Palmetto Park High School</t>
  </si>
  <si>
    <t>1. The FLDOE released the FY25-26 Survey 3 report in Apr 2026. FTE counts from this report are used beginning May 2026</t>
  </si>
  <si>
    <t>CLOSED</t>
  </si>
  <si>
    <t>Sch No</t>
  </si>
  <si>
    <t>Sch (0000)</t>
  </si>
  <si>
    <t>Prog</t>
  </si>
  <si>
    <t>Count 2 Unwtd</t>
  </si>
  <si>
    <t>Count 3 Unwtd</t>
  </si>
  <si>
    <t>WPB-318000</t>
  </si>
  <si>
    <t>Updated</t>
  </si>
  <si>
    <t>School Closed Jun 2026.  Pay True-up in Nov/Dec.</t>
  </si>
  <si>
    <t>Based on the 2025-26 Fourth Calculation Worksheet</t>
  </si>
  <si>
    <t xml:space="preserve">WPB- </t>
  </si>
  <si>
    <t>WPB-3</t>
  </si>
  <si>
    <t>WPB-317121</t>
  </si>
  <si>
    <t>WPB-317122</t>
  </si>
  <si>
    <t>Payments including current month</t>
  </si>
  <si>
    <t>Next  Academy</t>
  </si>
  <si>
    <t>Revenue Estimate Worksheet: Next Academy - 4141</t>
  </si>
  <si>
    <t>3. The FDOE released the February 2026 FY 25-26 Survey 3 Transportation information, which is used for the July 2026</t>
  </si>
  <si>
    <t>2. The FDOE has issued the 2025-26 Fourth Calc Revenue Worksheet for Charter Schools,  which was used for June 2026</t>
  </si>
  <si>
    <t>FY26 True-up (Sch Closed)</t>
  </si>
  <si>
    <t>Prog Total</t>
  </si>
  <si>
    <t>3362</t>
  </si>
  <si>
    <t>4031</t>
  </si>
  <si>
    <t>4090</t>
  </si>
  <si>
    <t>4091</t>
  </si>
  <si>
    <t>4111</t>
  </si>
  <si>
    <t>TOTAL</t>
  </si>
  <si>
    <t>Count 2</t>
  </si>
  <si>
    <t>Count 3</t>
  </si>
  <si>
    <t>4030 CL</t>
  </si>
  <si>
    <t>WPB-318690</t>
  </si>
  <si>
    <t>WPB-319721</t>
  </si>
  <si>
    <t>Combined with HS MSID.</t>
  </si>
  <si>
    <t>FTE  Jul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</si>
</sst>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7" formatCode="&quot;$&quot;#,##0.00_);\(&quot;$&quot;#,##0.00\)"/>
    <numFmt numFmtId="41" formatCode="_(* #,##0_);_(* \(#,##0\);_(* &quot;-&quot;_);_(@_)"/>
    <numFmt numFmtId="44" formatCode="_(&quot;$&quot;* #,##0.00_);_(&quot;$&quot;* \(#,##0.00\);_(&quot;$&quot;* &quot;-&quot;??_);_(@_)"/>
    <numFmt numFmtId="43" formatCode="_(* #,##0.00_);_(* \(#,##0.00\);_(* &quot;-&quot;??_);_(@_)"/>
    <numFmt numFmtId="164" formatCode="0.000"/>
    <numFmt numFmtId="165" formatCode="_-&quot;$&quot;* #,##0.00_-;\-&quot;$&quot;* #,##0.00_-;_-&quot;$&quot;* &quot;-&quot;??_-;_-@_-"/>
    <numFmt numFmtId="166" formatCode="0.0000"/>
    <numFmt numFmtId="167" formatCode="#,##0.0000"/>
    <numFmt numFmtId="168" formatCode="_-&quot;$&quot;* #,##0_-;\-&quot;$&quot;* #,##0_-;_-&quot;$&quot;* &quot;-&quot;??_-;_-@_-"/>
    <numFmt numFmtId="169" formatCode="0.0000%"/>
    <numFmt numFmtId="170" formatCode="_-* #,##0.00_-;\-* #,##0.00_-;_-* &quot;-&quot;??_-;_-@_-"/>
    <numFmt numFmtId="171" formatCode="0."/>
    <numFmt numFmtId="172" formatCode="_(* #,##0.0000_);_(* \(#,##0.0000\);_(* &quot;-&quot;??_);_(@_)"/>
    <numFmt numFmtId="173" formatCode="mm/dd/yy;@"/>
    <numFmt numFmtId="174" formatCode="ddd\,\ mm/dd/yy;@"/>
    <numFmt numFmtId="175" formatCode="mmm\ yyyy"/>
    <numFmt numFmtId="176" formatCode="#,##0._);\(#,##0.\)"/>
    <numFmt numFmtId="177" formatCode="#,##0;[Red]\(#,##0\)"/>
    <numFmt numFmtId="178" formatCode="#,##0.0000\ \ \ _);\(#,##0.0000\)"/>
    <numFmt numFmtId="179" formatCode="_(* #,##0.0000_);_(* \(#,##0.0000\);_(* &quot;-&quot;????_);_(@_)"/>
    <numFmt numFmtId="180" formatCode="#,##0.0000\ \ \ \ \ \ \ \ \ \ _);\(#,##0.0000\ \ \ \ \ \ \ \ \ \ \)"/>
    <numFmt numFmtId="181" formatCode="#,##0.00\ \ \ \ _);\(#,##0.00\)"/>
    <numFmt numFmtId="182" formatCode="_(* #,##0_);_(* \(#,##0\);_(* &quot;-&quot;??_);_(@_)"/>
    <numFmt numFmtId="183" formatCode="#,##0.00\ \ \ _);\(#,##0.00\)"/>
    <numFmt numFmtId="184" formatCode="_(* #,##0.00_);_(* \(#,##0.00\);_(* &quot;-&quot;_);_(@_)"/>
  </numFmts>
  <fonts count="84" x14ac:knownFonts="1">
    <font>
      <sz val="11"/>
      <color theme="1"/>
      <name val="Calibri"/>
      <family val="2"/>
      <scheme val="minor"/>
    </font>
    <font>
      <sz val="11"/>
      <color theme="1"/>
      <name val="Calibri"/>
      <family val="2"/>
      <scheme val="minor"/>
    </font>
    <font>
      <sz val="10"/>
      <name val="Arial"/>
      <family val="2"/>
    </font>
    <font>
      <b/>
      <sz val="12"/>
      <color indexed="10"/>
      <name val="Times New Roman"/>
      <family val="1"/>
    </font>
    <font>
      <b/>
      <sz val="12"/>
      <color indexed="12"/>
      <name val="Times New Roman"/>
      <family val="1"/>
    </font>
    <font>
      <b/>
      <sz val="12"/>
      <name val="Times New Roman"/>
      <family val="1"/>
    </font>
    <font>
      <sz val="10"/>
      <name val="Arial"/>
      <family val="2"/>
    </font>
    <font>
      <b/>
      <sz val="16"/>
      <name val="Times New Roman"/>
      <family val="1"/>
    </font>
    <font>
      <b/>
      <sz val="14"/>
      <name val="Times New Roman"/>
      <family val="1"/>
    </font>
    <font>
      <sz val="12"/>
      <name val="Times New Roman"/>
      <family val="1"/>
    </font>
    <font>
      <sz val="11"/>
      <name val="Calibri"/>
      <family val="2"/>
    </font>
    <font>
      <b/>
      <sz val="12"/>
      <color rgb="FFFF0000"/>
      <name val="Times New Roman"/>
      <family val="1"/>
    </font>
    <font>
      <b/>
      <i/>
      <sz val="12"/>
      <name val="Times New Roman"/>
      <family val="1"/>
    </font>
    <font>
      <b/>
      <sz val="12"/>
      <color rgb="FF00B050"/>
      <name val="Times New Roman"/>
      <family val="1"/>
    </font>
    <font>
      <i/>
      <sz val="9"/>
      <color indexed="10"/>
      <name val="Times New Roman"/>
      <family val="1"/>
    </font>
    <font>
      <b/>
      <sz val="12"/>
      <color theme="0"/>
      <name val="Times New Roman"/>
      <family val="1"/>
    </font>
    <font>
      <b/>
      <sz val="8"/>
      <color indexed="10"/>
      <name val="Times New Roman"/>
      <family val="1"/>
    </font>
    <font>
      <b/>
      <vertAlign val="superscript"/>
      <sz val="12"/>
      <name val="Times New Roman"/>
      <family val="1"/>
    </font>
    <font>
      <b/>
      <sz val="12"/>
      <color indexed="8"/>
      <name val="Times New Roman"/>
      <family val="1"/>
    </font>
    <font>
      <sz val="12"/>
      <color indexed="10"/>
      <name val="Times New Roman"/>
      <family val="1"/>
    </font>
    <font>
      <b/>
      <u/>
      <sz val="12"/>
      <color indexed="10"/>
      <name val="Times New Roman"/>
      <family val="1"/>
    </font>
    <font>
      <b/>
      <sz val="12"/>
      <name val="Calibri"/>
      <family val="2"/>
    </font>
    <font>
      <b/>
      <u/>
      <sz val="12"/>
      <name val="Times New Roman"/>
      <family val="1"/>
    </font>
    <font>
      <b/>
      <sz val="10"/>
      <name val="Times New Roman"/>
      <family val="1"/>
    </font>
    <font>
      <b/>
      <sz val="12"/>
      <color indexed="30"/>
      <name val="Times New Roman"/>
      <family val="1"/>
    </font>
    <font>
      <i/>
      <sz val="12"/>
      <name val="Times New Roman"/>
      <family val="1"/>
    </font>
    <font>
      <sz val="12"/>
      <name val="Arial"/>
      <family val="2"/>
    </font>
    <font>
      <b/>
      <u/>
      <sz val="10"/>
      <name val="Times New Roman"/>
      <family val="1"/>
    </font>
    <font>
      <b/>
      <i/>
      <sz val="10"/>
      <name val="Times New Roman"/>
      <family val="1"/>
    </font>
    <font>
      <b/>
      <sz val="16"/>
      <name val="Calibri"/>
      <family val="2"/>
      <scheme val="minor"/>
    </font>
    <font>
      <b/>
      <sz val="12"/>
      <color rgb="FFFF0000"/>
      <name val="Calibri"/>
      <family val="2"/>
      <scheme val="minor"/>
    </font>
    <font>
      <b/>
      <sz val="12"/>
      <color rgb="FF0000FF"/>
      <name val="Times New Roman"/>
      <family val="1"/>
    </font>
    <font>
      <b/>
      <u/>
      <sz val="12"/>
      <color rgb="FF0000FF"/>
      <name val="Times New Roman"/>
      <family val="1"/>
    </font>
    <font>
      <sz val="11"/>
      <color rgb="FFFF0000"/>
      <name val="Calibri"/>
      <family val="2"/>
      <scheme val="minor"/>
    </font>
    <font>
      <b/>
      <sz val="11"/>
      <color theme="1"/>
      <name val="Calibri"/>
      <family val="2"/>
      <scheme val="minor"/>
    </font>
    <font>
      <b/>
      <sz val="12"/>
      <color rgb="FF0000FF"/>
      <name val="Calibri"/>
      <family val="2"/>
      <scheme val="minor"/>
    </font>
    <font>
      <b/>
      <sz val="12"/>
      <name val="Calibri"/>
      <family val="2"/>
      <scheme val="minor"/>
    </font>
    <font>
      <b/>
      <sz val="12"/>
      <color theme="0"/>
      <name val="Calibri"/>
      <family val="2"/>
      <scheme val="minor"/>
    </font>
    <font>
      <sz val="10"/>
      <name val="Arial"/>
      <family val="2"/>
    </font>
    <font>
      <sz val="10"/>
      <name val="Calibri"/>
      <family val="2"/>
      <scheme val="minor"/>
    </font>
    <font>
      <b/>
      <sz val="10"/>
      <name val="Calibri"/>
      <family val="2"/>
      <scheme val="minor"/>
    </font>
    <font>
      <b/>
      <sz val="10"/>
      <color rgb="FF0000FF"/>
      <name val="Calibri"/>
      <family val="2"/>
      <scheme val="minor"/>
    </font>
    <font>
      <b/>
      <sz val="10"/>
      <color rgb="FFFF0000"/>
      <name val="Calibri"/>
      <family val="2"/>
      <scheme val="minor"/>
    </font>
    <font>
      <sz val="10"/>
      <color rgb="FFFF0000"/>
      <name val="Calibri"/>
      <family val="2"/>
      <scheme val="minor"/>
    </font>
    <font>
      <sz val="10"/>
      <color theme="1"/>
      <name val="Calibri"/>
      <family val="2"/>
      <scheme val="minor"/>
    </font>
    <font>
      <sz val="10"/>
      <color rgb="FF0000FF"/>
      <name val="Calibri"/>
      <family val="2"/>
      <scheme val="minor"/>
    </font>
    <font>
      <b/>
      <sz val="12"/>
      <color indexed="10"/>
      <name val="Calibri"/>
      <family val="2"/>
      <scheme val="minor"/>
    </font>
    <font>
      <b/>
      <sz val="12"/>
      <color indexed="12"/>
      <name val="Calibri"/>
      <family val="2"/>
      <scheme val="minor"/>
    </font>
    <font>
      <sz val="12"/>
      <name val="Calibri"/>
      <family val="2"/>
      <scheme val="minor"/>
    </font>
    <font>
      <b/>
      <sz val="11"/>
      <name val="Calibri"/>
      <family val="2"/>
      <scheme val="minor"/>
    </font>
    <font>
      <b/>
      <i/>
      <sz val="12"/>
      <name val="Calibri"/>
      <family val="2"/>
    </font>
    <font>
      <sz val="12"/>
      <color rgb="FF0000FF"/>
      <name val="Calibri"/>
      <family val="2"/>
      <scheme val="minor"/>
    </font>
    <font>
      <b/>
      <sz val="12"/>
      <color rgb="FF00B050"/>
      <name val="Calibri"/>
      <family val="2"/>
      <scheme val="minor"/>
    </font>
    <font>
      <b/>
      <sz val="8"/>
      <name val="Calibri"/>
      <family val="2"/>
      <scheme val="minor"/>
    </font>
    <font>
      <b/>
      <sz val="12"/>
      <color indexed="8"/>
      <name val="Calibri"/>
      <family val="2"/>
      <scheme val="minor"/>
    </font>
    <font>
      <b/>
      <u/>
      <sz val="12"/>
      <name val="Calibri"/>
      <family val="2"/>
      <scheme val="minor"/>
    </font>
    <font>
      <b/>
      <u/>
      <sz val="12"/>
      <name val="Calibri"/>
      <family val="2"/>
    </font>
    <font>
      <b/>
      <sz val="12"/>
      <color indexed="30"/>
      <name val="Calibri"/>
      <family val="2"/>
    </font>
    <font>
      <i/>
      <sz val="10"/>
      <name val="Calibri"/>
      <family val="2"/>
      <scheme val="minor"/>
    </font>
    <font>
      <sz val="12"/>
      <color rgb="FFFF0000"/>
      <name val="Calibri"/>
      <family val="2"/>
      <scheme val="minor"/>
    </font>
    <font>
      <sz val="12"/>
      <color indexed="8"/>
      <name val="Calibri"/>
      <family val="2"/>
      <scheme val="minor"/>
    </font>
    <font>
      <sz val="10"/>
      <color theme="1"/>
      <name val="Arial"/>
      <family val="2"/>
    </font>
    <font>
      <b/>
      <sz val="11"/>
      <color rgb="FFFF0000"/>
      <name val="Calibri"/>
      <family val="2"/>
      <scheme val="minor"/>
    </font>
    <font>
      <b/>
      <sz val="10"/>
      <color rgb="FFFF0000"/>
      <name val="Arial"/>
      <family val="2"/>
    </font>
    <font>
      <b/>
      <sz val="10"/>
      <name val="Arial"/>
      <family val="2"/>
    </font>
    <font>
      <b/>
      <sz val="10"/>
      <color theme="1"/>
      <name val="Arial"/>
      <family val="2"/>
    </font>
    <font>
      <sz val="11"/>
      <name val="Calibri"/>
      <family val="2"/>
      <scheme val="minor"/>
    </font>
    <font>
      <sz val="10"/>
      <color rgb="FFFF0000"/>
      <name val="Arial"/>
      <family val="2"/>
    </font>
    <font>
      <b/>
      <sz val="10"/>
      <name val="Calibri"/>
      <family val="2"/>
    </font>
    <font>
      <b/>
      <sz val="10"/>
      <color indexed="12"/>
      <name val="Calibri"/>
      <family val="2"/>
    </font>
    <font>
      <b/>
      <sz val="8"/>
      <name val="Arial"/>
      <family val="2"/>
    </font>
    <font>
      <b/>
      <sz val="8"/>
      <color rgb="FFFFFF00"/>
      <name val="Arial"/>
      <family val="2"/>
    </font>
    <font>
      <sz val="10"/>
      <color rgb="FFFFFF00"/>
      <name val="Calibri"/>
      <family val="2"/>
      <scheme val="minor"/>
    </font>
    <font>
      <b/>
      <sz val="11"/>
      <name val="Times New Roman"/>
      <family val="1"/>
    </font>
    <font>
      <b/>
      <sz val="8"/>
      <name val="Times New Roman"/>
      <family val="1"/>
    </font>
    <font>
      <sz val="12"/>
      <color rgb="FF0000FF"/>
      <name val="Times New Roman"/>
      <family val="1"/>
    </font>
    <font>
      <sz val="8"/>
      <name val="Calibri"/>
      <family val="2"/>
      <scheme val="minor"/>
    </font>
    <font>
      <sz val="10"/>
      <color rgb="FF000000"/>
      <name val="Calibri"/>
      <family val="2"/>
      <scheme val="minor"/>
    </font>
    <font>
      <b/>
      <sz val="10"/>
      <color theme="1"/>
      <name val="Calibri"/>
      <family val="2"/>
      <scheme val="minor"/>
    </font>
    <font>
      <sz val="10"/>
      <color rgb="FF000000"/>
      <name val="Calibri"/>
      <family val="2"/>
      <scheme val="minor"/>
    </font>
    <font>
      <b/>
      <sz val="10"/>
      <color rgb="FF000000"/>
      <name val="Calibri"/>
      <family val="2"/>
      <scheme val="minor"/>
    </font>
    <font>
      <b/>
      <sz val="11"/>
      <name val="Calibri"/>
      <family val="2"/>
    </font>
    <font>
      <sz val="11"/>
      <color rgb="FF000000"/>
      <name val="Calibri"/>
      <family val="2"/>
      <scheme val="minor"/>
    </font>
    <font>
      <b/>
      <sz val="11"/>
      <color rgb="FF0000FF"/>
      <name val="Calibri"/>
      <family val="2"/>
      <scheme val="minor"/>
    </font>
  </fonts>
  <fills count="2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6" tint="0.59999389629810485"/>
        <bgColor indexed="64"/>
      </patternFill>
    </fill>
    <fill>
      <patternFill patternType="solid">
        <fgColor rgb="FFFF9999"/>
        <bgColor indexed="64"/>
      </patternFill>
    </fill>
    <fill>
      <patternFill patternType="solid">
        <fgColor rgb="FF99CCFF"/>
        <bgColor indexed="64"/>
      </patternFill>
    </fill>
    <fill>
      <patternFill patternType="solid">
        <fgColor rgb="FF99FFCC"/>
        <bgColor indexed="64"/>
      </patternFill>
    </fill>
    <fill>
      <patternFill patternType="solid">
        <fgColor theme="2" tint="-0.249977111117893"/>
        <bgColor indexed="64"/>
      </patternFill>
    </fill>
    <fill>
      <patternFill patternType="solid">
        <fgColor rgb="FFFFFF66"/>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rgb="FFFFC000"/>
        <bgColor indexed="64"/>
      </patternFill>
    </fill>
    <fill>
      <patternFill patternType="solid">
        <fgColor theme="9" tint="0.59999389629810485"/>
        <bgColor indexed="64"/>
      </patternFill>
    </fill>
    <fill>
      <patternFill patternType="solid">
        <fgColor rgb="FFFF9F9F"/>
        <bgColor indexed="64"/>
      </patternFill>
    </fill>
    <fill>
      <patternFill patternType="solid">
        <fgColor rgb="FF92D050"/>
        <bgColor indexed="64"/>
      </patternFill>
    </fill>
    <fill>
      <patternFill patternType="solid">
        <fgColor rgb="FF00B0F0"/>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top style="thin">
        <color indexed="64"/>
      </top>
      <bottom style="double">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s>
  <cellStyleXfs count="25">
    <xf numFmtId="0" fontId="0" fillId="0" borderId="0"/>
    <xf numFmtId="43" fontId="1" fillId="0" borderId="0" applyFont="0" applyFill="0" applyBorder="0" applyAlignment="0" applyProtection="0"/>
    <xf numFmtId="0" fontId="2" fillId="0" borderId="0"/>
    <xf numFmtId="165"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6" fillId="0" borderId="0"/>
    <xf numFmtId="0" fontId="6"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38"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70" fontId="2" fillId="0" borderId="0" applyFont="0" applyFill="0" applyBorder="0" applyAlignment="0" applyProtection="0"/>
    <xf numFmtId="0" fontId="77" fillId="0" borderId="0"/>
    <xf numFmtId="43" fontId="79" fillId="0" borderId="0" applyFont="0" applyFill="0" applyBorder="0" applyAlignment="0" applyProtection="0"/>
  </cellStyleXfs>
  <cellXfs count="1057">
    <xf numFmtId="0" fontId="0" fillId="0" borderId="0" xfId="0"/>
    <xf numFmtId="0" fontId="3" fillId="0" borderId="1" xfId="2" applyFont="1" applyBorder="1"/>
    <xf numFmtId="0" fontId="5" fillId="0" borderId="0" xfId="2" applyFont="1"/>
    <xf numFmtId="164" fontId="5" fillId="0" borderId="0" xfId="2" applyNumberFormat="1" applyFont="1"/>
    <xf numFmtId="4" fontId="5" fillId="0" borderId="0" xfId="2" applyNumberFormat="1" applyFont="1"/>
    <xf numFmtId="165" fontId="5" fillId="0" borderId="0" xfId="3" applyFont="1"/>
    <xf numFmtId="0" fontId="7" fillId="0" borderId="0" xfId="2" applyFont="1"/>
    <xf numFmtId="0" fontId="8" fillId="0" borderId="0" xfId="2" applyFont="1"/>
    <xf numFmtId="4" fontId="4" fillId="0" borderId="0" xfId="2" applyNumberFormat="1" applyFont="1"/>
    <xf numFmtId="0" fontId="9" fillId="0" borderId="0" xfId="2" applyFont="1" applyAlignment="1">
      <alignment horizontal="center"/>
    </xf>
    <xf numFmtId="7" fontId="9" fillId="0" borderId="0" xfId="2" applyNumberFormat="1" applyFont="1" applyAlignment="1">
      <alignment horizontal="center"/>
    </xf>
    <xf numFmtId="0" fontId="9" fillId="0" borderId="0" xfId="2" applyFont="1" applyAlignment="1">
      <alignment horizontal="left"/>
    </xf>
    <xf numFmtId="166" fontId="9" fillId="0" borderId="0" xfId="2" applyNumberFormat="1" applyFont="1" applyAlignment="1">
      <alignment horizontal="left"/>
    </xf>
    <xf numFmtId="7" fontId="2" fillId="0" borderId="0" xfId="2" applyNumberFormat="1" applyAlignment="1">
      <alignment horizontal="center"/>
    </xf>
    <xf numFmtId="164" fontId="5" fillId="0" borderId="0" xfId="2" applyNumberFormat="1" applyFont="1" applyAlignment="1">
      <alignment wrapText="1"/>
    </xf>
    <xf numFmtId="4" fontId="5" fillId="0" borderId="0" xfId="2" applyNumberFormat="1" applyFont="1" applyAlignment="1">
      <alignment horizontal="center" wrapText="1"/>
    </xf>
    <xf numFmtId="165" fontId="5" fillId="0" borderId="0" xfId="3" applyFont="1" applyBorder="1" applyAlignment="1">
      <alignment horizontal="center" wrapText="1"/>
    </xf>
    <xf numFmtId="4" fontId="5" fillId="0" borderId="3" xfId="2" applyNumberFormat="1" applyFont="1" applyBorder="1" applyAlignment="1">
      <alignment horizontal="center" wrapText="1"/>
    </xf>
    <xf numFmtId="165" fontId="5" fillId="0" borderId="3" xfId="3" applyFont="1" applyBorder="1" applyAlignment="1">
      <alignment horizontal="center" wrapText="1"/>
    </xf>
    <xf numFmtId="4" fontId="5" fillId="0" borderId="3" xfId="2" quotePrefix="1" applyNumberFormat="1" applyFont="1" applyBorder="1" applyAlignment="1">
      <alignment horizontal="center"/>
    </xf>
    <xf numFmtId="165" fontId="5" fillId="0" borderId="3" xfId="3" quotePrefix="1" applyFont="1" applyBorder="1" applyAlignment="1">
      <alignment horizontal="center"/>
    </xf>
    <xf numFmtId="0" fontId="10" fillId="0" borderId="0" xfId="2" applyFont="1" applyAlignment="1">
      <alignment horizontal="center" vertical="center"/>
    </xf>
    <xf numFmtId="167" fontId="5" fillId="0" borderId="3" xfId="2" applyNumberFormat="1" applyFont="1" applyBorder="1"/>
    <xf numFmtId="166" fontId="5" fillId="0" borderId="5" xfId="2" applyNumberFormat="1" applyFont="1" applyBorder="1"/>
    <xf numFmtId="168" fontId="5" fillId="0" borderId="0" xfId="3" applyNumberFormat="1" applyFont="1" applyBorder="1" applyAlignment="1">
      <alignment horizontal="center"/>
    </xf>
    <xf numFmtId="0" fontId="5" fillId="0" borderId="0" xfId="2" applyFont="1" applyAlignment="1">
      <alignment wrapText="1"/>
    </xf>
    <xf numFmtId="4" fontId="15" fillId="3" borderId="5" xfId="2" applyNumberFormat="1" applyFont="1" applyFill="1" applyBorder="1"/>
    <xf numFmtId="4" fontId="11" fillId="2" borderId="5" xfId="2" applyNumberFormat="1" applyFont="1" applyFill="1" applyBorder="1"/>
    <xf numFmtId="168" fontId="5" fillId="0" borderId="5" xfId="3" applyNumberFormat="1" applyFont="1" applyBorder="1" applyAlignment="1">
      <alignment horizontal="right"/>
    </xf>
    <xf numFmtId="166" fontId="5" fillId="0" borderId="0" xfId="2" applyNumberFormat="1" applyFont="1" applyAlignment="1">
      <alignment horizontal="right"/>
    </xf>
    <xf numFmtId="168" fontId="5" fillId="0" borderId="0" xfId="3" applyNumberFormat="1" applyFont="1" applyBorder="1" applyAlignment="1">
      <alignment horizontal="right"/>
    </xf>
    <xf numFmtId="166" fontId="13" fillId="0" borderId="0" xfId="2" applyNumberFormat="1" applyFont="1" applyAlignment="1">
      <alignment horizontal="right"/>
    </xf>
    <xf numFmtId="168" fontId="5" fillId="0" borderId="1" xfId="3" applyNumberFormat="1" applyFont="1" applyBorder="1"/>
    <xf numFmtId="0" fontId="5" fillId="0" borderId="0" xfId="2" applyFont="1" applyAlignment="1">
      <alignment horizontal="right"/>
    </xf>
    <xf numFmtId="2" fontId="5" fillId="0" borderId="0" xfId="2" applyNumberFormat="1" applyFont="1" applyAlignment="1">
      <alignment horizontal="center"/>
    </xf>
    <xf numFmtId="168" fontId="5" fillId="0" borderId="0" xfId="3" applyNumberFormat="1" applyFont="1" applyBorder="1"/>
    <xf numFmtId="4" fontId="5" fillId="0" borderId="0" xfId="2" quotePrefix="1" applyNumberFormat="1" applyFont="1" applyAlignment="1">
      <alignment horizontal="center"/>
    </xf>
    <xf numFmtId="0" fontId="5" fillId="0" borderId="0" xfId="2" applyFont="1" applyAlignment="1">
      <alignment horizontal="center"/>
    </xf>
    <xf numFmtId="10" fontId="5" fillId="0" borderId="0" xfId="5" applyNumberFormat="1" applyFont="1"/>
    <xf numFmtId="0" fontId="17" fillId="0" borderId="0" xfId="2" applyFont="1" applyAlignment="1">
      <alignment horizontal="right"/>
    </xf>
    <xf numFmtId="3" fontId="5" fillId="0" borderId="0" xfId="2" applyNumberFormat="1" applyFont="1"/>
    <xf numFmtId="169" fontId="5" fillId="0" borderId="0" xfId="2" applyNumberFormat="1" applyFont="1"/>
    <xf numFmtId="0" fontId="5" fillId="0" borderId="0" xfId="2" applyFont="1" applyAlignment="1">
      <alignment horizontal="left"/>
    </xf>
    <xf numFmtId="168" fontId="5" fillId="0" borderId="4" xfId="3" applyNumberFormat="1" applyFont="1" applyFill="1" applyBorder="1"/>
    <xf numFmtId="0" fontId="5" fillId="0" borderId="3" xfId="2" applyFont="1" applyBorder="1"/>
    <xf numFmtId="0" fontId="5" fillId="0" borderId="3" xfId="2" applyFont="1" applyBorder="1" applyAlignment="1">
      <alignment horizontal="center" wrapText="1"/>
    </xf>
    <xf numFmtId="168" fontId="5" fillId="0" borderId="3" xfId="2" applyNumberFormat="1" applyFont="1" applyBorder="1"/>
    <xf numFmtId="0" fontId="5" fillId="0" borderId="0" xfId="2" quotePrefix="1" applyFont="1" applyAlignment="1">
      <alignment horizontal="center"/>
    </xf>
    <xf numFmtId="4" fontId="13" fillId="0" borderId="3" xfId="2" applyNumberFormat="1" applyFont="1" applyBorder="1" applyAlignment="1">
      <alignment horizontal="center"/>
    </xf>
    <xf numFmtId="0" fontId="21" fillId="0" borderId="0" xfId="2" applyFont="1" applyAlignment="1">
      <alignment horizontal="center"/>
    </xf>
    <xf numFmtId="164" fontId="5" fillId="0" borderId="0" xfId="2" applyNumberFormat="1" applyFont="1" applyAlignment="1">
      <alignment horizontal="right"/>
    </xf>
    <xf numFmtId="0" fontId="5" fillId="0" borderId="0" xfId="2" applyFont="1" applyAlignment="1">
      <alignment horizontal="left" indent="2"/>
    </xf>
    <xf numFmtId="0" fontId="5" fillId="0" borderId="0" xfId="2" applyFont="1" applyAlignment="1">
      <alignment horizontal="left" indent="3"/>
    </xf>
    <xf numFmtId="0" fontId="9" fillId="0" borderId="0" xfId="2" quotePrefix="1" applyFont="1" applyAlignment="1">
      <alignment horizontal="center"/>
    </xf>
    <xf numFmtId="0" fontId="9" fillId="0" borderId="0" xfId="2" applyFont="1" applyAlignment="1">
      <alignment horizontal="right"/>
    </xf>
    <xf numFmtId="0" fontId="12" fillId="0" borderId="0" xfId="2" applyFont="1"/>
    <xf numFmtId="2" fontId="5" fillId="0" borderId="0" xfId="2" applyNumberFormat="1" applyFont="1"/>
    <xf numFmtId="170" fontId="5" fillId="0" borderId="0" xfId="6" applyFont="1" applyBorder="1"/>
    <xf numFmtId="170" fontId="5" fillId="0" borderId="0" xfId="6" applyFont="1" applyBorder="1" applyAlignment="1">
      <alignment horizontal="center"/>
    </xf>
    <xf numFmtId="0" fontId="5" fillId="0" borderId="3" xfId="2" applyFont="1" applyBorder="1" applyAlignment="1">
      <alignment horizontal="left" indent="2"/>
    </xf>
    <xf numFmtId="0" fontId="9" fillId="0" borderId="3" xfId="2" quotePrefix="1" applyFont="1" applyBorder="1" applyAlignment="1">
      <alignment horizontal="center"/>
    </xf>
    <xf numFmtId="169" fontId="13" fillId="0" borderId="3" xfId="2" applyNumberFormat="1" applyFont="1" applyBorder="1" applyAlignment="1">
      <alignment horizontal="left" indent="2"/>
    </xf>
    <xf numFmtId="168" fontId="5" fillId="0" borderId="3" xfId="3" applyNumberFormat="1" applyFont="1" applyBorder="1" applyAlignment="1">
      <alignment horizontal="right"/>
    </xf>
    <xf numFmtId="38" fontId="5" fillId="0" borderId="0" xfId="2" applyNumberFormat="1" applyFont="1" applyAlignment="1">
      <alignment horizontal="right"/>
    </xf>
    <xf numFmtId="3" fontId="5" fillId="0" borderId="0" xfId="2" applyNumberFormat="1" applyFont="1" applyAlignment="1">
      <alignment horizontal="right"/>
    </xf>
    <xf numFmtId="4" fontId="11" fillId="3" borderId="5" xfId="2" applyNumberFormat="1" applyFont="1" applyFill="1" applyBorder="1"/>
    <xf numFmtId="164" fontId="5" fillId="0" borderId="0" xfId="2" quotePrefix="1" applyNumberFormat="1" applyFont="1"/>
    <xf numFmtId="43" fontId="5" fillId="0" borderId="0" xfId="7" quotePrefix="1" applyFont="1" applyFill="1"/>
    <xf numFmtId="4" fontId="11" fillId="3" borderId="5" xfId="2" applyNumberFormat="1" applyFont="1" applyFill="1" applyBorder="1" applyAlignment="1">
      <alignment wrapText="1"/>
    </xf>
    <xf numFmtId="0" fontId="5" fillId="0" borderId="5" xfId="2" applyFont="1" applyBorder="1" applyAlignment="1">
      <alignment horizontal="left" indent="3"/>
    </xf>
    <xf numFmtId="0" fontId="23" fillId="0" borderId="0" xfId="2" applyFont="1"/>
    <xf numFmtId="164" fontId="23" fillId="0" borderId="0" xfId="2" applyNumberFormat="1" applyFont="1"/>
    <xf numFmtId="168" fontId="5" fillId="0" borderId="0" xfId="2" applyNumberFormat="1" applyFont="1"/>
    <xf numFmtId="4" fontId="11" fillId="3" borderId="3" xfId="2" applyNumberFormat="1" applyFont="1" applyFill="1" applyBorder="1"/>
    <xf numFmtId="43" fontId="5" fillId="0" borderId="5" xfId="7" applyFont="1" applyBorder="1"/>
    <xf numFmtId="43" fontId="5" fillId="0" borderId="0" xfId="7" applyFont="1" applyBorder="1"/>
    <xf numFmtId="4" fontId="23" fillId="0" borderId="0" xfId="2" quotePrefix="1" applyNumberFormat="1" applyFont="1" applyAlignment="1">
      <alignment horizontal="center"/>
    </xf>
    <xf numFmtId="0" fontId="6" fillId="0" borderId="0" xfId="2" applyFont="1"/>
    <xf numFmtId="0" fontId="22" fillId="0" borderId="0" xfId="2" applyFont="1" applyAlignment="1">
      <alignment horizontal="right"/>
    </xf>
    <xf numFmtId="0" fontId="22" fillId="0" borderId="0" xfId="2" applyFont="1" applyAlignment="1">
      <alignment horizontal="center"/>
    </xf>
    <xf numFmtId="166" fontId="5" fillId="0" borderId="0" xfId="2" applyNumberFormat="1" applyFont="1" applyAlignment="1">
      <alignment horizontal="center"/>
    </xf>
    <xf numFmtId="166" fontId="5" fillId="0" borderId="0" xfId="2" applyNumberFormat="1" applyFont="1"/>
    <xf numFmtId="16" fontId="5" fillId="0" borderId="0" xfId="2" quotePrefix="1" applyNumberFormat="1" applyFont="1" applyAlignment="1">
      <alignment horizontal="right"/>
    </xf>
    <xf numFmtId="0" fontId="5" fillId="0" borderId="0" xfId="2" quotePrefix="1" applyFont="1" applyAlignment="1">
      <alignment horizontal="right"/>
    </xf>
    <xf numFmtId="170" fontId="5" fillId="0" borderId="0" xfId="6" applyFont="1" applyBorder="1" applyAlignment="1">
      <alignment horizontal="right"/>
    </xf>
    <xf numFmtId="4" fontId="5" fillId="0" borderId="0" xfId="2" applyNumberFormat="1" applyFont="1" applyAlignment="1">
      <alignment horizontal="left" indent="2"/>
    </xf>
    <xf numFmtId="38" fontId="5" fillId="0" borderId="0" xfId="2" quotePrefix="1" applyNumberFormat="1" applyFont="1"/>
    <xf numFmtId="0" fontId="5" fillId="0" borderId="3" xfId="2" applyFont="1" applyBorder="1" applyAlignment="1">
      <alignment horizontal="center"/>
    </xf>
    <xf numFmtId="7" fontId="5" fillId="0" borderId="0" xfId="2" applyNumberFormat="1" applyFont="1"/>
    <xf numFmtId="7" fontId="5" fillId="0" borderId="3" xfId="2" applyNumberFormat="1" applyFont="1" applyBorder="1"/>
    <xf numFmtId="0" fontId="11" fillId="0" borderId="0" xfId="2" applyFont="1"/>
    <xf numFmtId="168" fontId="5" fillId="0" borderId="1" xfId="2" applyNumberFormat="1" applyFont="1" applyBorder="1" applyAlignment="1">
      <alignment horizontal="right"/>
    </xf>
    <xf numFmtId="3" fontId="5" fillId="0" borderId="0" xfId="2" quotePrefix="1" applyNumberFormat="1" applyFont="1" applyAlignment="1">
      <alignment horizontal="center"/>
    </xf>
    <xf numFmtId="168" fontId="5" fillId="2" borderId="3" xfId="3" applyNumberFormat="1" applyFont="1" applyFill="1" applyBorder="1" applyAlignment="1">
      <alignment horizontal="right"/>
    </xf>
    <xf numFmtId="0" fontId="26" fillId="0" borderId="0" xfId="2" applyFont="1"/>
    <xf numFmtId="168" fontId="5" fillId="0" borderId="9" xfId="2" applyNumberFormat="1" applyFont="1" applyBorder="1" applyAlignment="1">
      <alignment horizontal="right"/>
    </xf>
    <xf numFmtId="168" fontId="5" fillId="0" borderId="10" xfId="2" applyNumberFormat="1" applyFont="1" applyBorder="1"/>
    <xf numFmtId="0" fontId="11" fillId="2" borderId="3" xfId="2" applyFont="1" applyFill="1" applyBorder="1"/>
    <xf numFmtId="0" fontId="23" fillId="0" borderId="0" xfId="2" applyFont="1" applyAlignment="1">
      <alignment horizontal="left"/>
    </xf>
    <xf numFmtId="171" fontId="5" fillId="0" borderId="0" xfId="2" applyNumberFormat="1" applyFont="1" applyAlignment="1">
      <alignment horizontal="left"/>
    </xf>
    <xf numFmtId="0" fontId="5" fillId="0" borderId="3" xfId="2" applyFont="1" applyBorder="1" applyAlignment="1">
      <alignment horizontal="left" wrapText="1"/>
    </xf>
    <xf numFmtId="0" fontId="7" fillId="0" borderId="0" xfId="2" applyFont="1" applyAlignment="1">
      <alignment horizontal="left" vertical="top"/>
    </xf>
    <xf numFmtId="166" fontId="9" fillId="0" borderId="0" xfId="2" applyNumberFormat="1" applyFont="1"/>
    <xf numFmtId="0" fontId="5" fillId="0" borderId="3" xfId="2" applyFont="1" applyBorder="1" applyAlignment="1">
      <alignment horizontal="left" indent="3"/>
    </xf>
    <xf numFmtId="0" fontId="5" fillId="0" borderId="0" xfId="2" applyFont="1" applyAlignment="1">
      <alignment horizontal="left" wrapText="1"/>
    </xf>
    <xf numFmtId="0" fontId="5" fillId="0" borderId="5" xfId="2" applyFont="1" applyBorder="1" applyAlignment="1">
      <alignment horizontal="left" wrapText="1" indent="3"/>
    </xf>
    <xf numFmtId="0" fontId="11" fillId="0" borderId="0" xfId="2" applyFont="1" applyAlignment="1">
      <alignment horizontal="right"/>
    </xf>
    <xf numFmtId="7" fontId="30" fillId="0" borderId="0" xfId="0" quotePrefix="1" applyNumberFormat="1" applyFont="1" applyAlignment="1">
      <alignment horizontal="center"/>
    </xf>
    <xf numFmtId="17" fontId="30" fillId="0" borderId="0" xfId="0" quotePrefix="1" applyNumberFormat="1" applyFont="1" applyAlignment="1">
      <alignment horizontal="center"/>
    </xf>
    <xf numFmtId="0" fontId="30" fillId="0" borderId="3" xfId="0" quotePrefix="1" applyFont="1" applyBorder="1" applyAlignment="1">
      <alignment horizontal="center"/>
    </xf>
    <xf numFmtId="43" fontId="5" fillId="0" borderId="3" xfId="1" quotePrefix="1" applyFont="1" applyBorder="1" applyAlignment="1">
      <alignment horizontal="center"/>
    </xf>
    <xf numFmtId="0" fontId="11" fillId="0" borderId="3" xfId="2" applyFont="1" applyBorder="1" applyAlignment="1">
      <alignment horizontal="center" wrapText="1"/>
    </xf>
    <xf numFmtId="3" fontId="31" fillId="5" borderId="3" xfId="2" applyNumberFormat="1" applyFont="1" applyFill="1" applyBorder="1"/>
    <xf numFmtId="4" fontId="31" fillId="5" borderId="0" xfId="2" applyNumberFormat="1" applyFont="1" applyFill="1" applyAlignment="1">
      <alignment horizontal="center"/>
    </xf>
    <xf numFmtId="0" fontId="11" fillId="0" borderId="0" xfId="2" applyFont="1" applyAlignment="1">
      <alignment horizontal="left"/>
    </xf>
    <xf numFmtId="0" fontId="11" fillId="0" borderId="0" xfId="2" applyFont="1" applyAlignment="1">
      <alignment horizontal="center"/>
    </xf>
    <xf numFmtId="165" fontId="5" fillId="0" borderId="3" xfId="3" applyFont="1" applyBorder="1"/>
    <xf numFmtId="43" fontId="11" fillId="2" borderId="5" xfId="1" applyFont="1" applyFill="1" applyBorder="1" applyAlignment="1">
      <alignment horizontal="center" wrapText="1"/>
    </xf>
    <xf numFmtId="43" fontId="11" fillId="2" borderId="5" xfId="1" applyFont="1" applyFill="1" applyBorder="1" applyAlignment="1">
      <alignment horizontal="right"/>
    </xf>
    <xf numFmtId="38" fontId="31" fillId="5" borderId="0" xfId="2" quotePrefix="1" applyNumberFormat="1" applyFont="1" applyFill="1"/>
    <xf numFmtId="165" fontId="5" fillId="3" borderId="3" xfId="3" applyFont="1" applyFill="1" applyBorder="1"/>
    <xf numFmtId="44" fontId="5" fillId="0" borderId="0" xfId="4" applyFont="1" applyFill="1" applyBorder="1"/>
    <xf numFmtId="43" fontId="31" fillId="6" borderId="0" xfId="1" applyFont="1" applyFill="1" applyAlignment="1">
      <alignment horizontal="left" vertical="center" wrapText="1" indent="3"/>
    </xf>
    <xf numFmtId="168" fontId="18" fillId="5" borderId="3" xfId="3" applyNumberFormat="1" applyFont="1" applyFill="1" applyBorder="1"/>
    <xf numFmtId="0" fontId="18" fillId="0" borderId="0" xfId="2" applyFont="1" applyAlignment="1">
      <alignment horizontal="center" wrapText="1"/>
    </xf>
    <xf numFmtId="168" fontId="18" fillId="5" borderId="0" xfId="3" applyNumberFormat="1" applyFont="1" applyFill="1" applyBorder="1"/>
    <xf numFmtId="165" fontId="5" fillId="0" borderId="3" xfId="2" applyNumberFormat="1" applyFont="1" applyBorder="1"/>
    <xf numFmtId="165" fontId="5" fillId="0" borderId="3" xfId="3" applyFont="1" applyBorder="1" applyAlignment="1">
      <alignment horizontal="right"/>
    </xf>
    <xf numFmtId="43" fontId="31" fillId="5" borderId="3" xfId="1" applyFont="1" applyFill="1" applyBorder="1"/>
    <xf numFmtId="4" fontId="5" fillId="0" borderId="3" xfId="2" applyNumberFormat="1" applyFont="1" applyBorder="1"/>
    <xf numFmtId="172" fontId="5" fillId="0" borderId="3" xfId="1" applyNumberFormat="1" applyFont="1" applyBorder="1"/>
    <xf numFmtId="0" fontId="3" fillId="5" borderId="1" xfId="0" applyFont="1" applyFill="1" applyBorder="1" applyAlignment="1">
      <alignment horizontal="left"/>
    </xf>
    <xf numFmtId="4" fontId="4" fillId="5" borderId="0" xfId="0" applyNumberFormat="1" applyFont="1" applyFill="1"/>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7" fontId="0" fillId="5" borderId="0" xfId="0" applyNumberFormat="1" applyFill="1" applyAlignment="1">
      <alignment horizontal="center"/>
    </xf>
    <xf numFmtId="164" fontId="5" fillId="5" borderId="0" xfId="0" applyNumberFormat="1" applyFont="1" applyFill="1" applyAlignment="1">
      <alignment wrapText="1"/>
    </xf>
    <xf numFmtId="4" fontId="5" fillId="5" borderId="0" xfId="0" applyNumberFormat="1" applyFont="1" applyFill="1" applyAlignment="1">
      <alignment horizontal="center" wrapText="1"/>
    </xf>
    <xf numFmtId="165" fontId="5" fillId="5" borderId="0" xfId="3" applyFont="1" applyFill="1" applyBorder="1" applyAlignment="1">
      <alignment horizontal="center" wrapText="1"/>
    </xf>
    <xf numFmtId="4" fontId="5" fillId="5" borderId="3" xfId="0" applyNumberFormat="1" applyFont="1" applyFill="1" applyBorder="1" applyAlignment="1">
      <alignment horizontal="center" wrapText="1"/>
    </xf>
    <xf numFmtId="165" fontId="5" fillId="5" borderId="3" xfId="3" applyFont="1" applyFill="1" applyBorder="1" applyAlignment="1">
      <alignment horizontal="center" wrapText="1"/>
    </xf>
    <xf numFmtId="4" fontId="5" fillId="5" borderId="3" xfId="0" quotePrefix="1" applyNumberFormat="1" applyFont="1" applyFill="1" applyBorder="1" applyAlignment="1">
      <alignment horizontal="center"/>
    </xf>
    <xf numFmtId="165" fontId="5" fillId="5" borderId="3" xfId="3" quotePrefix="1" applyFont="1" applyFill="1" applyBorder="1" applyAlignment="1">
      <alignment horizontal="center"/>
    </xf>
    <xf numFmtId="167" fontId="5" fillId="5" borderId="3" xfId="0" applyNumberFormat="1" applyFont="1" applyFill="1" applyBorder="1"/>
    <xf numFmtId="168" fontId="5" fillId="5" borderId="3" xfId="3" applyNumberFormat="1" applyFont="1" applyFill="1" applyBorder="1" applyAlignment="1">
      <alignment horizontal="right"/>
    </xf>
    <xf numFmtId="166" fontId="5" fillId="5" borderId="5" xfId="0" applyNumberFormat="1" applyFont="1" applyFill="1" applyBorder="1"/>
    <xf numFmtId="168" fontId="5" fillId="5" borderId="0" xfId="3" applyNumberFormat="1" applyFont="1" applyFill="1" applyBorder="1" applyAlignment="1">
      <alignment horizontal="center"/>
    </xf>
    <xf numFmtId="0" fontId="5" fillId="5" borderId="3" xfId="0" applyFont="1" applyFill="1" applyBorder="1" applyAlignment="1">
      <alignment horizontal="left" wrapText="1"/>
    </xf>
    <xf numFmtId="168" fontId="5" fillId="5" borderId="5" xfId="3" applyNumberFormat="1" applyFont="1" applyFill="1" applyBorder="1" applyAlignment="1">
      <alignment horizontal="right"/>
    </xf>
    <xf numFmtId="166" fontId="5" fillId="5" borderId="0" xfId="0" applyNumberFormat="1" applyFont="1" applyFill="1" applyAlignment="1">
      <alignment horizontal="right"/>
    </xf>
    <xf numFmtId="168" fontId="5" fillId="5" borderId="0" xfId="3" applyNumberFormat="1" applyFont="1" applyFill="1" applyBorder="1" applyAlignment="1">
      <alignment horizontal="right"/>
    </xf>
    <xf numFmtId="166" fontId="13" fillId="5" borderId="0" xfId="0" applyNumberFormat="1" applyFont="1" applyFill="1" applyAlignment="1">
      <alignment horizontal="right"/>
    </xf>
    <xf numFmtId="168" fontId="5" fillId="5" borderId="1" xfId="3" applyNumberFormat="1" applyFont="1" applyFill="1" applyBorder="1" applyAlignment="1">
      <alignment horizontal="right"/>
    </xf>
    <xf numFmtId="0" fontId="5" fillId="5" borderId="0" xfId="0" applyFont="1" applyFill="1" applyAlignment="1">
      <alignment horizontal="right"/>
    </xf>
    <xf numFmtId="2" fontId="5" fillId="5" borderId="0" xfId="0" applyNumberFormat="1" applyFont="1" applyFill="1" applyAlignment="1">
      <alignment horizontal="center"/>
    </xf>
    <xf numFmtId="168" fontId="5" fillId="5" borderId="0" xfId="3" applyNumberFormat="1" applyFont="1" applyFill="1" applyBorder="1"/>
    <xf numFmtId="4" fontId="5" fillId="5" borderId="0" xfId="0" quotePrefix="1" applyNumberFormat="1" applyFont="1" applyFill="1" applyAlignment="1">
      <alignment horizontal="center"/>
    </xf>
    <xf numFmtId="0" fontId="5" fillId="5" borderId="0" xfId="0" applyFont="1" applyFill="1"/>
    <xf numFmtId="3" fontId="5" fillId="5" borderId="3" xfId="0" applyNumberFormat="1" applyFont="1" applyFill="1" applyBorder="1"/>
    <xf numFmtId="44" fontId="5" fillId="5" borderId="0" xfId="4" applyFont="1" applyFill="1" applyBorder="1"/>
    <xf numFmtId="0" fontId="5" fillId="5" borderId="0" xfId="0" applyFont="1" applyFill="1" applyAlignment="1">
      <alignment horizontal="center"/>
    </xf>
    <xf numFmtId="10" fontId="5" fillId="5" borderId="0" xfId="0" applyNumberFormat="1" applyFont="1" applyFill="1"/>
    <xf numFmtId="3" fontId="5" fillId="5" borderId="0" xfId="0" applyNumberFormat="1" applyFont="1" applyFill="1"/>
    <xf numFmtId="169" fontId="5" fillId="5" borderId="0" xfId="0" applyNumberFormat="1" applyFont="1" applyFill="1"/>
    <xf numFmtId="0" fontId="5" fillId="5" borderId="0" xfId="0" applyFont="1" applyFill="1" applyAlignment="1">
      <alignment horizontal="left"/>
    </xf>
    <xf numFmtId="168" fontId="5" fillId="5" borderId="4" xfId="3" applyNumberFormat="1" applyFont="1" applyFill="1" applyBorder="1" applyAlignment="1">
      <alignment horizontal="right"/>
    </xf>
    <xf numFmtId="0" fontId="5" fillId="5" borderId="3" xfId="0" applyFont="1" applyFill="1" applyBorder="1"/>
    <xf numFmtId="0" fontId="5" fillId="5" borderId="3" xfId="0" applyFont="1" applyFill="1" applyBorder="1" applyAlignment="1">
      <alignment horizontal="center" wrapText="1"/>
    </xf>
    <xf numFmtId="0" fontId="18" fillId="5" borderId="3" xfId="0" applyFont="1" applyFill="1" applyBorder="1" applyAlignment="1">
      <alignment horizontal="center" wrapText="1"/>
    </xf>
    <xf numFmtId="0" fontId="5" fillId="5" borderId="0" xfId="0" quotePrefix="1" applyFont="1" applyFill="1" applyAlignment="1">
      <alignment horizontal="center"/>
    </xf>
    <xf numFmtId="4" fontId="13" fillId="5" borderId="3" xfId="0" applyNumberFormat="1" applyFont="1" applyFill="1" applyBorder="1" applyAlignment="1">
      <alignment horizontal="center"/>
    </xf>
    <xf numFmtId="0" fontId="21" fillId="5" borderId="0" xfId="0" applyFont="1" applyFill="1" applyAlignment="1">
      <alignment horizontal="center"/>
    </xf>
    <xf numFmtId="164" fontId="5" fillId="5" borderId="0" xfId="0" applyNumberFormat="1" applyFont="1" applyFill="1"/>
    <xf numFmtId="164" fontId="5" fillId="5" borderId="0" xfId="0" applyNumberFormat="1" applyFont="1" applyFill="1" applyAlignment="1">
      <alignment horizontal="right"/>
    </xf>
    <xf numFmtId="0" fontId="5" fillId="5" borderId="0" xfId="0" applyFont="1" applyFill="1" applyAlignment="1">
      <alignment horizontal="left" indent="2"/>
    </xf>
    <xf numFmtId="0" fontId="5" fillId="5" borderId="0" xfId="0" applyFont="1" applyFill="1" applyAlignment="1">
      <alignment horizontal="left" indent="3"/>
    </xf>
    <xf numFmtId="0" fontId="9" fillId="5" borderId="0" xfId="0" quotePrefix="1" applyFont="1" applyFill="1" applyAlignment="1">
      <alignment horizontal="center"/>
    </xf>
    <xf numFmtId="4" fontId="5" fillId="5" borderId="0" xfId="2" applyNumberFormat="1" applyFont="1" applyFill="1"/>
    <xf numFmtId="0" fontId="9" fillId="5" borderId="3" xfId="0" quotePrefix="1" applyFont="1" applyFill="1" applyBorder="1" applyAlignment="1">
      <alignment horizontal="center"/>
    </xf>
    <xf numFmtId="169" fontId="13" fillId="5" borderId="3" xfId="0" applyNumberFormat="1" applyFont="1" applyFill="1" applyBorder="1" applyAlignment="1">
      <alignment horizontal="left" indent="2"/>
    </xf>
    <xf numFmtId="3" fontId="5" fillId="5" borderId="3" xfId="0" applyNumberFormat="1" applyFont="1" applyFill="1" applyBorder="1" applyAlignment="1">
      <alignment horizontal="right"/>
    </xf>
    <xf numFmtId="38" fontId="5" fillId="5" borderId="0" xfId="0" applyNumberFormat="1" applyFont="1" applyFill="1"/>
    <xf numFmtId="43" fontId="5" fillId="5" borderId="3" xfId="1" applyFont="1" applyFill="1" applyBorder="1" applyAlignment="1">
      <alignment horizontal="right"/>
    </xf>
    <xf numFmtId="3" fontId="5" fillId="5" borderId="4" xfId="0" applyNumberFormat="1" applyFont="1" applyFill="1" applyBorder="1"/>
    <xf numFmtId="4" fontId="11" fillId="5" borderId="5" xfId="0" applyNumberFormat="1" applyFont="1" applyFill="1" applyBorder="1"/>
    <xf numFmtId="4" fontId="11" fillId="5" borderId="5" xfId="0" applyNumberFormat="1" applyFont="1" applyFill="1" applyBorder="1" applyAlignment="1">
      <alignment wrapText="1"/>
    </xf>
    <xf numFmtId="0" fontId="5" fillId="5" borderId="5" xfId="0" applyFont="1" applyFill="1" applyBorder="1" applyAlignment="1">
      <alignment horizontal="left" indent="3"/>
    </xf>
    <xf numFmtId="4" fontId="11" fillId="5" borderId="3" xfId="0" applyNumberFormat="1" applyFont="1" applyFill="1" applyBorder="1"/>
    <xf numFmtId="43" fontId="5" fillId="5" borderId="5" xfId="7" applyFont="1" applyFill="1" applyBorder="1"/>
    <xf numFmtId="43" fontId="5" fillId="5" borderId="0" xfId="7" applyFont="1" applyFill="1" applyBorder="1"/>
    <xf numFmtId="38" fontId="5" fillId="5" borderId="3" xfId="0" applyNumberFormat="1" applyFont="1" applyFill="1" applyBorder="1"/>
    <xf numFmtId="166" fontId="5" fillId="5" borderId="0" xfId="0" applyNumberFormat="1" applyFont="1" applyFill="1" applyAlignment="1">
      <alignment horizontal="center"/>
    </xf>
    <xf numFmtId="166" fontId="5" fillId="5" borderId="0" xfId="0" applyNumberFormat="1" applyFont="1" applyFill="1"/>
    <xf numFmtId="16" fontId="5" fillId="5" borderId="0" xfId="0" quotePrefix="1" applyNumberFormat="1" applyFont="1" applyFill="1" applyAlignment="1">
      <alignment horizontal="right"/>
    </xf>
    <xf numFmtId="0" fontId="5" fillId="5" borderId="0" xfId="0" quotePrefix="1" applyFont="1" applyFill="1" applyAlignment="1">
      <alignment horizontal="right"/>
    </xf>
    <xf numFmtId="166" fontId="5" fillId="5" borderId="8" xfId="0" applyNumberFormat="1" applyFont="1" applyFill="1" applyBorder="1" applyAlignment="1">
      <alignment horizontal="center"/>
    </xf>
    <xf numFmtId="170" fontId="5" fillId="5" borderId="0" xfId="6" applyFont="1" applyFill="1" applyBorder="1" applyAlignment="1">
      <alignment horizontal="right"/>
    </xf>
    <xf numFmtId="166" fontId="5" fillId="5" borderId="1" xfId="0" applyNumberFormat="1" applyFont="1" applyFill="1" applyBorder="1" applyAlignment="1">
      <alignment horizontal="center"/>
    </xf>
    <xf numFmtId="4" fontId="5" fillId="5" borderId="0" xfId="0" applyNumberFormat="1" applyFont="1" applyFill="1" applyAlignment="1">
      <alignment horizontal="left" indent="2"/>
    </xf>
    <xf numFmtId="38" fontId="5" fillId="5" borderId="0" xfId="0" quotePrefix="1" applyNumberFormat="1" applyFont="1" applyFill="1"/>
    <xf numFmtId="0" fontId="5" fillId="5" borderId="3" xfId="0" applyFont="1" applyFill="1" applyBorder="1" applyAlignment="1">
      <alignment horizontal="center"/>
    </xf>
    <xf numFmtId="7" fontId="5" fillId="5" borderId="0" xfId="0" applyNumberFormat="1" applyFont="1" applyFill="1"/>
    <xf numFmtId="7" fontId="5" fillId="5" borderId="3" xfId="0" applyNumberFormat="1" applyFont="1" applyFill="1" applyBorder="1"/>
    <xf numFmtId="0" fontId="11" fillId="5" borderId="0" xfId="0" applyFont="1" applyFill="1"/>
    <xf numFmtId="168" fontId="5" fillId="5" borderId="1" xfId="0" applyNumberFormat="1" applyFont="1" applyFill="1" applyBorder="1" applyAlignment="1">
      <alignment horizontal="right"/>
    </xf>
    <xf numFmtId="3" fontId="5" fillId="5" borderId="0" xfId="0" quotePrefix="1" applyNumberFormat="1" applyFont="1" applyFill="1" applyAlignment="1">
      <alignment horizontal="center"/>
    </xf>
    <xf numFmtId="168" fontId="5" fillId="5" borderId="5" xfId="0" applyNumberFormat="1" applyFont="1" applyFill="1" applyBorder="1" applyAlignment="1">
      <alignment horizontal="right"/>
    </xf>
    <xf numFmtId="168" fontId="5" fillId="5" borderId="3" xfId="0" applyNumberFormat="1" applyFont="1" applyFill="1" applyBorder="1" applyAlignment="1">
      <alignment horizontal="right"/>
    </xf>
    <xf numFmtId="0" fontId="11" fillId="5" borderId="0" xfId="0" applyFont="1" applyFill="1" applyAlignment="1">
      <alignment horizontal="right"/>
    </xf>
    <xf numFmtId="4" fontId="4" fillId="0" borderId="0" xfId="2" applyNumberFormat="1" applyFont="1" applyAlignment="1">
      <alignment horizontal="left"/>
    </xf>
    <xf numFmtId="165" fontId="5" fillId="5" borderId="3" xfId="3" applyFont="1" applyFill="1" applyBorder="1" applyAlignment="1">
      <alignment horizontal="right"/>
    </xf>
    <xf numFmtId="165" fontId="5" fillId="5" borderId="3" xfId="0" applyNumberFormat="1" applyFont="1" applyFill="1" applyBorder="1"/>
    <xf numFmtId="165" fontId="5" fillId="5" borderId="1" xfId="3" applyFont="1" applyFill="1" applyBorder="1"/>
    <xf numFmtId="165" fontId="5" fillId="5" borderId="0" xfId="3" applyFont="1" applyFill="1" applyBorder="1" applyAlignment="1">
      <alignment horizontal="right"/>
    </xf>
    <xf numFmtId="43" fontId="5" fillId="5" borderId="3" xfId="1" applyFont="1" applyFill="1" applyBorder="1"/>
    <xf numFmtId="0" fontId="31" fillId="6" borderId="0" xfId="1" applyNumberFormat="1" applyFont="1" applyFill="1" applyAlignment="1">
      <alignment horizontal="center"/>
    </xf>
    <xf numFmtId="3" fontId="5" fillId="5" borderId="5" xfId="0" applyNumberFormat="1" applyFont="1" applyFill="1" applyBorder="1"/>
    <xf numFmtId="0" fontId="11" fillId="5" borderId="0" xfId="0" applyFont="1" applyFill="1" applyAlignment="1">
      <alignment horizontal="center"/>
    </xf>
    <xf numFmtId="165" fontId="5" fillId="0" borderId="1" xfId="3" applyFont="1" applyBorder="1"/>
    <xf numFmtId="3" fontId="31" fillId="5" borderId="3" xfId="2" applyNumberFormat="1" applyFont="1" applyFill="1" applyBorder="1" applyAlignment="1">
      <alignment horizontal="right"/>
    </xf>
    <xf numFmtId="0" fontId="31" fillId="6" borderId="3" xfId="1" applyNumberFormat="1" applyFont="1" applyFill="1" applyBorder="1" applyAlignment="1">
      <alignment horizontal="center"/>
    </xf>
    <xf numFmtId="43" fontId="31" fillId="6" borderId="0" xfId="1" applyFont="1" applyFill="1" applyAlignment="1">
      <alignment horizontal="center"/>
    </xf>
    <xf numFmtId="0" fontId="11" fillId="2" borderId="3" xfId="2" applyFont="1" applyFill="1" applyBorder="1" applyAlignment="1">
      <alignment horizontal="center"/>
    </xf>
    <xf numFmtId="17" fontId="31" fillId="0" borderId="0" xfId="2" quotePrefix="1" applyNumberFormat="1" applyFont="1" applyAlignment="1">
      <alignment vertical="top" wrapText="1"/>
    </xf>
    <xf numFmtId="17" fontId="31" fillId="0" borderId="0" xfId="2" applyNumberFormat="1" applyFont="1" applyAlignment="1">
      <alignment vertical="top" wrapText="1"/>
    </xf>
    <xf numFmtId="166" fontId="9" fillId="5" borderId="0" xfId="2" applyNumberFormat="1" applyFont="1" applyFill="1" applyAlignment="1">
      <alignment horizontal="left"/>
    </xf>
    <xf numFmtId="165" fontId="5" fillId="0" borderId="0" xfId="3" applyFont="1" applyFill="1"/>
    <xf numFmtId="0" fontId="23" fillId="0" borderId="0" xfId="0" applyFont="1" applyAlignment="1">
      <alignment horizontal="left"/>
    </xf>
    <xf numFmtId="0" fontId="36" fillId="0" borderId="0" xfId="0" applyFont="1"/>
    <xf numFmtId="0" fontId="36" fillId="0" borderId="0" xfId="0" applyFont="1" applyAlignment="1">
      <alignment horizontal="left"/>
    </xf>
    <xf numFmtId="0" fontId="36" fillId="6" borderId="11" xfId="0" applyFont="1" applyFill="1" applyBorder="1" applyAlignment="1">
      <alignment horizontal="center"/>
    </xf>
    <xf numFmtId="0" fontId="37" fillId="0" borderId="0" xfId="0" applyFont="1"/>
    <xf numFmtId="43" fontId="36" fillId="0" borderId="3" xfId="1" applyFont="1" applyBorder="1" applyAlignment="1"/>
    <xf numFmtId="0" fontId="30" fillId="0" borderId="0" xfId="0" applyFont="1"/>
    <xf numFmtId="43" fontId="36" fillId="0" borderId="0" xfId="1" applyFont="1" applyBorder="1" applyAlignment="1"/>
    <xf numFmtId="0" fontId="36" fillId="8" borderId="0" xfId="0" applyFont="1" applyFill="1"/>
    <xf numFmtId="0" fontId="36" fillId="8" borderId="0" xfId="0" applyFont="1" applyFill="1" applyAlignment="1">
      <alignment horizontal="left"/>
    </xf>
    <xf numFmtId="0" fontId="30" fillId="8" borderId="0" xfId="0" applyFont="1" applyFill="1"/>
    <xf numFmtId="43" fontId="36" fillId="8" borderId="0" xfId="1" applyFont="1" applyFill="1" applyBorder="1" applyAlignment="1"/>
    <xf numFmtId="0" fontId="35" fillId="0" borderId="0" xfId="0" applyFont="1" applyAlignment="1">
      <alignment horizontal="center"/>
    </xf>
    <xf numFmtId="43" fontId="35" fillId="0" borderId="3" xfId="1" applyFont="1" applyBorder="1" applyAlignment="1"/>
    <xf numFmtId="43" fontId="36" fillId="9" borderId="10" xfId="1" applyFont="1" applyFill="1" applyBorder="1" applyAlignment="1"/>
    <xf numFmtId="43" fontId="36" fillId="0" borderId="10" xfId="1" applyFont="1" applyBorder="1" applyAlignment="1"/>
    <xf numFmtId="168" fontId="36" fillId="0" borderId="0" xfId="0" applyNumberFormat="1" applyFont="1"/>
    <xf numFmtId="0" fontId="39" fillId="0" borderId="0" xfId="16" applyFont="1"/>
    <xf numFmtId="0" fontId="39" fillId="0" borderId="0" xfId="16" applyFont="1" applyAlignment="1">
      <alignment horizontal="center"/>
    </xf>
    <xf numFmtId="173" fontId="39" fillId="0" borderId="0" xfId="16" applyNumberFormat="1" applyFont="1" applyAlignment="1">
      <alignment horizontal="center"/>
    </xf>
    <xf numFmtId="174" fontId="39" fillId="0" borderId="0" xfId="16" quotePrefix="1" applyNumberFormat="1" applyFont="1" applyAlignment="1">
      <alignment horizontal="center"/>
    </xf>
    <xf numFmtId="0" fontId="39" fillId="0" borderId="0" xfId="16" applyFont="1" applyAlignment="1">
      <alignment horizontal="left" indent="1"/>
    </xf>
    <xf numFmtId="0" fontId="39" fillId="0" borderId="0" xfId="16" quotePrefix="1" applyFont="1" applyAlignment="1">
      <alignment horizontal="left" indent="1"/>
    </xf>
    <xf numFmtId="174" fontId="39" fillId="10" borderId="0" xfId="16" applyNumberFormat="1" applyFont="1" applyFill="1" applyAlignment="1">
      <alignment horizontal="center"/>
    </xf>
    <xf numFmtId="0" fontId="39" fillId="10" borderId="0" xfId="16" applyFont="1" applyFill="1"/>
    <xf numFmtId="0" fontId="40" fillId="10" borderId="0" xfId="16" quotePrefix="1" applyFont="1" applyFill="1" applyAlignment="1">
      <alignment horizontal="left"/>
    </xf>
    <xf numFmtId="49" fontId="39" fillId="0" borderId="0" xfId="16" applyNumberFormat="1" applyFont="1" applyAlignment="1">
      <alignment horizontal="center"/>
    </xf>
    <xf numFmtId="49" fontId="39" fillId="0" borderId="0" xfId="16" quotePrefix="1" applyNumberFormat="1" applyFont="1" applyAlignment="1">
      <alignment horizontal="center"/>
    </xf>
    <xf numFmtId="173" fontId="39" fillId="0" borderId="0" xfId="16" quotePrefix="1" applyNumberFormat="1" applyFont="1" applyAlignment="1">
      <alignment horizontal="center"/>
    </xf>
    <xf numFmtId="175" fontId="39" fillId="0" borderId="0" xfId="16" applyNumberFormat="1" applyFont="1" applyAlignment="1">
      <alignment horizontal="center"/>
    </xf>
    <xf numFmtId="174" fontId="39" fillId="0" borderId="0" xfId="16" applyNumberFormat="1" applyFont="1" applyAlignment="1">
      <alignment horizontal="center"/>
    </xf>
    <xf numFmtId="174" fontId="39" fillId="11" borderId="0" xfId="16" applyNumberFormat="1" applyFont="1" applyFill="1" applyAlignment="1">
      <alignment horizontal="center"/>
    </xf>
    <xf numFmtId="0" fontId="39" fillId="11" borderId="0" xfId="16" applyFont="1" applyFill="1"/>
    <xf numFmtId="0" fontId="40" fillId="11" borderId="0" xfId="16" quotePrefix="1" applyFont="1" applyFill="1" applyAlignment="1">
      <alignment horizontal="left"/>
    </xf>
    <xf numFmtId="175" fontId="39" fillId="0" borderId="0" xfId="16" quotePrefix="1" applyNumberFormat="1" applyFont="1" applyAlignment="1">
      <alignment horizontal="center"/>
    </xf>
    <xf numFmtId="174" fontId="39" fillId="12" borderId="0" xfId="16" applyNumberFormat="1" applyFont="1" applyFill="1" applyAlignment="1">
      <alignment horizontal="center"/>
    </xf>
    <xf numFmtId="0" fontId="39" fillId="12" borderId="0" xfId="16" applyFont="1" applyFill="1"/>
    <xf numFmtId="0" fontId="40" fillId="12" borderId="0" xfId="16" quotePrefix="1" applyFont="1" applyFill="1" applyAlignment="1">
      <alignment horizontal="left"/>
    </xf>
    <xf numFmtId="174" fontId="41" fillId="0" borderId="0" xfId="16" applyNumberFormat="1" applyFont="1" applyAlignment="1">
      <alignment horizontal="center"/>
    </xf>
    <xf numFmtId="174" fontId="39" fillId="13" borderId="0" xfId="16" applyNumberFormat="1" applyFont="1" applyFill="1" applyAlignment="1">
      <alignment horizontal="center"/>
    </xf>
    <xf numFmtId="0" fontId="39" fillId="13" borderId="0" xfId="16" applyFont="1" applyFill="1"/>
    <xf numFmtId="0" fontId="40" fillId="13" borderId="0" xfId="16" quotePrefix="1" applyFont="1" applyFill="1" applyAlignment="1">
      <alignment horizontal="left"/>
    </xf>
    <xf numFmtId="174" fontId="39" fillId="14" borderId="0" xfId="16" applyNumberFormat="1" applyFont="1" applyFill="1" applyAlignment="1">
      <alignment horizontal="center"/>
    </xf>
    <xf numFmtId="0" fontId="39" fillId="14" borderId="0" xfId="16" applyFont="1" applyFill="1"/>
    <xf numFmtId="0" fontId="40" fillId="14" borderId="0" xfId="16" quotePrefix="1" applyFont="1" applyFill="1" applyAlignment="1">
      <alignment horizontal="left"/>
    </xf>
    <xf numFmtId="174" fontId="39" fillId="15" borderId="0" xfId="16" applyNumberFormat="1" applyFont="1" applyFill="1" applyAlignment="1">
      <alignment horizontal="center"/>
    </xf>
    <xf numFmtId="0" fontId="39" fillId="15" borderId="0" xfId="16" applyFont="1" applyFill="1"/>
    <xf numFmtId="0" fontId="40" fillId="15" borderId="0" xfId="16" quotePrefix="1" applyFont="1" applyFill="1" applyAlignment="1">
      <alignment horizontal="left"/>
    </xf>
    <xf numFmtId="174" fontId="39" fillId="16" borderId="0" xfId="16" applyNumberFormat="1" applyFont="1" applyFill="1" applyAlignment="1">
      <alignment horizontal="center"/>
    </xf>
    <xf numFmtId="0" fontId="39" fillId="16" borderId="0" xfId="16" applyFont="1" applyFill="1"/>
    <xf numFmtId="0" fontId="40" fillId="16" borderId="0" xfId="16" applyFont="1" applyFill="1"/>
    <xf numFmtId="16" fontId="39" fillId="0" borderId="0" xfId="16" applyNumberFormat="1" applyFont="1"/>
    <xf numFmtId="175" fontId="41" fillId="0" borderId="0" xfId="16" applyNumberFormat="1" applyFont="1" applyAlignment="1">
      <alignment horizontal="center"/>
    </xf>
    <xf numFmtId="174" fontId="42" fillId="0" borderId="0" xfId="16" applyNumberFormat="1" applyFont="1" applyAlignment="1">
      <alignment horizontal="center"/>
    </xf>
    <xf numFmtId="174" fontId="40" fillId="17" borderId="0" xfId="16" applyNumberFormat="1" applyFont="1" applyFill="1" applyAlignment="1">
      <alignment horizontal="center"/>
    </xf>
    <xf numFmtId="0" fontId="40" fillId="17" borderId="0" xfId="16" applyFont="1" applyFill="1"/>
    <xf numFmtId="174" fontId="40" fillId="18" borderId="0" xfId="16" applyNumberFormat="1" applyFont="1" applyFill="1" applyAlignment="1">
      <alignment horizontal="center"/>
    </xf>
    <xf numFmtId="0" fontId="40" fillId="18" borderId="0" xfId="16" applyFont="1" applyFill="1"/>
    <xf numFmtId="174" fontId="40" fillId="19" borderId="0" xfId="16" applyNumberFormat="1" applyFont="1" applyFill="1" applyAlignment="1">
      <alignment horizontal="center"/>
    </xf>
    <xf numFmtId="0" fontId="40" fillId="19" borderId="0" xfId="16" applyFont="1" applyFill="1"/>
    <xf numFmtId="174" fontId="40" fillId="0" borderId="12" xfId="16" applyNumberFormat="1" applyFont="1" applyBorder="1" applyAlignment="1">
      <alignment horizontal="center"/>
    </xf>
    <xf numFmtId="174" fontId="40" fillId="0" borderId="11" xfId="16" applyNumberFormat="1" applyFont="1" applyBorder="1" applyAlignment="1">
      <alignment horizontal="center"/>
    </xf>
    <xf numFmtId="0" fontId="40" fillId="0" borderId="13" xfId="16" applyFont="1" applyBorder="1" applyAlignment="1">
      <alignment horizontal="center"/>
    </xf>
    <xf numFmtId="0" fontId="40" fillId="0" borderId="0" xfId="16" quotePrefix="1" applyFont="1" applyAlignment="1">
      <alignment horizontal="left"/>
    </xf>
    <xf numFmtId="9" fontId="40" fillId="0" borderId="13" xfId="16" applyNumberFormat="1" applyFont="1" applyBorder="1" applyAlignment="1">
      <alignment horizontal="center"/>
    </xf>
    <xf numFmtId="0" fontId="40" fillId="0" borderId="16" xfId="16" applyFont="1" applyBorder="1" applyAlignment="1">
      <alignment horizontal="center"/>
    </xf>
    <xf numFmtId="0" fontId="40" fillId="0" borderId="0" xfId="16" applyFont="1" applyAlignment="1">
      <alignment horizontal="center"/>
    </xf>
    <xf numFmtId="0" fontId="40" fillId="0" borderId="12" xfId="16" applyFont="1" applyBorder="1" applyAlignment="1">
      <alignment horizontal="center"/>
    </xf>
    <xf numFmtId="0" fontId="40" fillId="0" borderId="12" xfId="16" quotePrefix="1" applyFont="1" applyBorder="1" applyAlignment="1">
      <alignment horizontal="center"/>
    </xf>
    <xf numFmtId="0" fontId="40" fillId="0" borderId="11" xfId="16" applyFont="1" applyBorder="1" applyAlignment="1">
      <alignment horizontal="center"/>
    </xf>
    <xf numFmtId="0" fontId="40" fillId="0" borderId="11" xfId="16" quotePrefix="1" applyFont="1" applyBorder="1" applyAlignment="1">
      <alignment horizontal="center"/>
    </xf>
    <xf numFmtId="43" fontId="40" fillId="0" borderId="12" xfId="17" applyFont="1" applyBorder="1" applyAlignment="1">
      <alignment horizontal="center"/>
    </xf>
    <xf numFmtId="43" fontId="39" fillId="0" borderId="11" xfId="17" applyFont="1" applyBorder="1" applyAlignment="1">
      <alignment horizontal="center"/>
    </xf>
    <xf numFmtId="1" fontId="39" fillId="20" borderId="0" xfId="18" applyNumberFormat="1" applyFont="1" applyFill="1" applyAlignment="1">
      <alignment horizontal="center"/>
    </xf>
    <xf numFmtId="1" fontId="39" fillId="0" borderId="0" xfId="18" applyNumberFormat="1" applyFont="1"/>
    <xf numFmtId="41" fontId="41" fillId="0" borderId="17" xfId="18" applyNumberFormat="1" applyFont="1" applyBorder="1" applyAlignment="1">
      <alignment horizontal="center"/>
    </xf>
    <xf numFmtId="10" fontId="39" fillId="0" borderId="17" xfId="19" applyNumberFormat="1" applyFont="1" applyBorder="1"/>
    <xf numFmtId="10" fontId="39" fillId="0" borderId="0" xfId="19" applyNumberFormat="1" applyFont="1" applyBorder="1"/>
    <xf numFmtId="10" fontId="39" fillId="0" borderId="0" xfId="19" applyNumberFormat="1" applyFont="1"/>
    <xf numFmtId="43" fontId="39" fillId="0" borderId="17" xfId="16" applyNumberFormat="1" applyFont="1" applyBorder="1"/>
    <xf numFmtId="43" fontId="39" fillId="0" borderId="17" xfId="17" applyFont="1" applyBorder="1"/>
    <xf numFmtId="43" fontId="39" fillId="0" borderId="0" xfId="16" applyNumberFormat="1" applyFont="1"/>
    <xf numFmtId="49" fontId="39" fillId="0" borderId="0" xfId="18" applyNumberFormat="1" applyFont="1" applyAlignment="1">
      <alignment horizontal="center"/>
    </xf>
    <xf numFmtId="1" fontId="39" fillId="0" borderId="0" xfId="18" applyNumberFormat="1" applyFont="1" applyAlignment="1">
      <alignment horizontal="center"/>
    </xf>
    <xf numFmtId="1" fontId="39" fillId="0" borderId="0" xfId="18" quotePrefix="1" applyNumberFormat="1" applyFont="1" applyAlignment="1">
      <alignment horizontal="left"/>
    </xf>
    <xf numFmtId="41" fontId="41" fillId="0" borderId="17" xfId="18" quotePrefix="1" applyNumberFormat="1" applyFont="1" applyBorder="1" applyAlignment="1">
      <alignment horizontal="center"/>
    </xf>
    <xf numFmtId="1" fontId="43" fillId="0" borderId="0" xfId="18" applyNumberFormat="1" applyFont="1"/>
    <xf numFmtId="1" fontId="39" fillId="0" borderId="0" xfId="20" quotePrefix="1" applyNumberFormat="1" applyFont="1" applyFill="1" applyBorder="1" applyAlignment="1">
      <alignment horizontal="center"/>
    </xf>
    <xf numFmtId="1" fontId="39" fillId="0" borderId="0" xfId="20" quotePrefix="1" applyNumberFormat="1" applyFont="1" applyFill="1" applyBorder="1" applyAlignment="1"/>
    <xf numFmtId="41" fontId="41" fillId="0" borderId="17" xfId="20" quotePrefix="1" applyNumberFormat="1" applyFont="1" applyFill="1" applyBorder="1" applyAlignment="1">
      <alignment horizontal="center"/>
    </xf>
    <xf numFmtId="1" fontId="39" fillId="0" borderId="0" xfId="20" applyNumberFormat="1" applyFont="1" applyFill="1" applyBorder="1" applyAlignment="1">
      <alignment horizontal="center"/>
    </xf>
    <xf numFmtId="1" fontId="39" fillId="0" borderId="0" xfId="20" applyNumberFormat="1" applyFont="1" applyFill="1" applyBorder="1" applyAlignment="1"/>
    <xf numFmtId="41" fontId="41" fillId="0" borderId="17" xfId="20" applyNumberFormat="1" applyFont="1" applyFill="1" applyBorder="1" applyAlignment="1">
      <alignment horizontal="center"/>
    </xf>
    <xf numFmtId="1" fontId="39" fillId="0" borderId="0" xfId="20" quotePrefix="1" applyNumberFormat="1" applyFont="1" applyFill="1" applyBorder="1" applyAlignment="1">
      <alignment horizontal="left"/>
    </xf>
    <xf numFmtId="1" fontId="43" fillId="0" borderId="0" xfId="20" quotePrefix="1" applyNumberFormat="1" applyFont="1" applyFill="1" applyBorder="1" applyAlignment="1">
      <alignment horizontal="left"/>
    </xf>
    <xf numFmtId="176" fontId="39" fillId="0" borderId="0" xfId="16" applyNumberFormat="1" applyFont="1"/>
    <xf numFmtId="43" fontId="39" fillId="0" borderId="0" xfId="17" applyFont="1"/>
    <xf numFmtId="41" fontId="39" fillId="0" borderId="0" xfId="16" applyNumberFormat="1" applyFont="1" applyAlignment="1">
      <alignment horizontal="center"/>
    </xf>
    <xf numFmtId="43" fontId="39" fillId="0" borderId="3" xfId="16" applyNumberFormat="1" applyFont="1" applyBorder="1"/>
    <xf numFmtId="0" fontId="42" fillId="0" borderId="0" xfId="16" applyFont="1" applyAlignment="1">
      <alignment horizontal="center"/>
    </xf>
    <xf numFmtId="43" fontId="39" fillId="0" borderId="10" xfId="16" applyNumberFormat="1" applyFont="1" applyBorder="1"/>
    <xf numFmtId="43" fontId="40" fillId="0" borderId="0" xfId="16" applyNumberFormat="1" applyFont="1"/>
    <xf numFmtId="49" fontId="40" fillId="0" borderId="0" xfId="20" quotePrefix="1" applyNumberFormat="1" applyFont="1" applyAlignment="1">
      <alignment horizontal="left"/>
    </xf>
    <xf numFmtId="0" fontId="40" fillId="0" borderId="0" xfId="2" applyFont="1"/>
    <xf numFmtId="49" fontId="40" fillId="0" borderId="0" xfId="2" applyNumberFormat="1" applyFont="1" applyAlignment="1">
      <alignment horizontal="left"/>
    </xf>
    <xf numFmtId="49" fontId="40" fillId="0" borderId="0" xfId="20" applyNumberFormat="1" applyFont="1" applyAlignment="1">
      <alignment horizontal="left"/>
    </xf>
    <xf numFmtId="49" fontId="40" fillId="0" borderId="11" xfId="2" quotePrefix="1" applyNumberFormat="1" applyFont="1" applyBorder="1" applyAlignment="1">
      <alignment horizontal="center"/>
    </xf>
    <xf numFmtId="0" fontId="40" fillId="0" borderId="11" xfId="2" quotePrefix="1" applyFont="1" applyBorder="1" applyAlignment="1">
      <alignment horizontal="center"/>
    </xf>
    <xf numFmtId="49" fontId="44" fillId="0" borderId="0" xfId="2" quotePrefix="1" applyNumberFormat="1" applyFont="1" applyAlignment="1">
      <alignment horizontal="center" vertical="center"/>
    </xf>
    <xf numFmtId="177" fontId="44" fillId="0" borderId="0" xfId="2" applyNumberFormat="1" applyFont="1"/>
    <xf numFmtId="177" fontId="44" fillId="0" borderId="0" xfId="2" quotePrefix="1" applyNumberFormat="1" applyFont="1" applyAlignment="1">
      <alignment horizontal="left"/>
    </xf>
    <xf numFmtId="0" fontId="43" fillId="0" borderId="0" xfId="16" applyFont="1"/>
    <xf numFmtId="49" fontId="45" fillId="0" borderId="0" xfId="2" quotePrefix="1" applyNumberFormat="1" applyFont="1" applyAlignment="1">
      <alignment horizontal="center" vertical="center"/>
    </xf>
    <xf numFmtId="177" fontId="45" fillId="0" borderId="0" xfId="2" applyNumberFormat="1" applyFont="1"/>
    <xf numFmtId="0" fontId="40" fillId="0" borderId="0" xfId="16" applyFont="1"/>
    <xf numFmtId="0" fontId="45" fillId="0" borderId="0" xfId="16" quotePrefix="1" applyFont="1" applyAlignment="1">
      <alignment horizontal="center"/>
    </xf>
    <xf numFmtId="0" fontId="45" fillId="0" borderId="0" xfId="16" applyFont="1"/>
    <xf numFmtId="0" fontId="39" fillId="0" borderId="0" xfId="2" applyFont="1"/>
    <xf numFmtId="0" fontId="45" fillId="0" borderId="0" xfId="16" applyFont="1" applyAlignment="1">
      <alignment horizontal="center"/>
    </xf>
    <xf numFmtId="0" fontId="45" fillId="0" borderId="0" xfId="16" applyFont="1" applyAlignment="1">
      <alignment horizontal="left"/>
    </xf>
    <xf numFmtId="0" fontId="39" fillId="0" borderId="0" xfId="2" quotePrefix="1" applyFont="1" applyAlignment="1">
      <alignment horizontal="left"/>
    </xf>
    <xf numFmtId="49" fontId="44" fillId="0" borderId="0" xfId="2" applyNumberFormat="1" applyFont="1" applyAlignment="1">
      <alignment horizontal="center" vertical="center"/>
    </xf>
    <xf numFmtId="0" fontId="39" fillId="0" borderId="0" xfId="16" quotePrefix="1" applyFont="1" applyAlignment="1">
      <alignment horizontal="center"/>
    </xf>
    <xf numFmtId="0" fontId="39" fillId="0" borderId="0" xfId="16" quotePrefix="1" applyFont="1" applyAlignment="1">
      <alignment horizontal="left"/>
    </xf>
    <xf numFmtId="0" fontId="46" fillId="0" borderId="1" xfId="16" applyFont="1" applyBorder="1"/>
    <xf numFmtId="0" fontId="36" fillId="0" borderId="0" xfId="16" applyFont="1"/>
    <xf numFmtId="0" fontId="29" fillId="0" borderId="0" xfId="16" quotePrefix="1" applyFont="1" applyAlignment="1">
      <alignment horizontal="left"/>
    </xf>
    <xf numFmtId="0" fontId="29" fillId="0" borderId="0" xfId="16" applyFont="1"/>
    <xf numFmtId="0" fontId="36" fillId="0" borderId="0" xfId="16" quotePrefix="1" applyFont="1" applyAlignment="1">
      <alignment horizontal="left"/>
    </xf>
    <xf numFmtId="49" fontId="47" fillId="0" borderId="0" xfId="16" applyNumberFormat="1" applyFont="1"/>
    <xf numFmtId="4" fontId="47" fillId="0" borderId="0" xfId="16" applyNumberFormat="1" applyFont="1"/>
    <xf numFmtId="4" fontId="36" fillId="0" borderId="8" xfId="16" applyNumberFormat="1" applyFont="1" applyBorder="1"/>
    <xf numFmtId="4" fontId="47" fillId="0" borderId="8" xfId="16" applyNumberFormat="1" applyFont="1" applyBorder="1" applyAlignment="1">
      <alignment horizontal="left"/>
    </xf>
    <xf numFmtId="4" fontId="47" fillId="0" borderId="8" xfId="16" applyNumberFormat="1" applyFont="1" applyBorder="1"/>
    <xf numFmtId="4" fontId="36" fillId="0" borderId="0" xfId="16" applyNumberFormat="1" applyFont="1"/>
    <xf numFmtId="4" fontId="47" fillId="0" borderId="0" xfId="16" applyNumberFormat="1" applyFont="1" applyAlignment="1">
      <alignment horizontal="left"/>
    </xf>
    <xf numFmtId="0" fontId="48" fillId="0" borderId="0" xfId="16" quotePrefix="1" applyFont="1"/>
    <xf numFmtId="0" fontId="48" fillId="0" borderId="0" xfId="16" quotePrefix="1" applyFont="1" applyAlignment="1">
      <alignment horizontal="right"/>
    </xf>
    <xf numFmtId="7" fontId="48" fillId="0" borderId="0" xfId="16" applyNumberFormat="1" applyFont="1" applyAlignment="1">
      <alignment horizontal="left"/>
    </xf>
    <xf numFmtId="49" fontId="48" fillId="0" borderId="0" xfId="16" applyNumberFormat="1" applyFont="1"/>
    <xf numFmtId="49" fontId="48" fillId="0" borderId="0" xfId="16" applyNumberFormat="1" applyFont="1" applyProtection="1">
      <protection locked="0"/>
    </xf>
    <xf numFmtId="166" fontId="48" fillId="0" borderId="0" xfId="16" applyNumberFormat="1" applyFont="1" applyAlignment="1">
      <alignment horizontal="center"/>
    </xf>
    <xf numFmtId="166" fontId="48" fillId="0" borderId="0" xfId="16" applyNumberFormat="1" applyFont="1"/>
    <xf numFmtId="0" fontId="48" fillId="0" borderId="0" xfId="16" applyFont="1" applyAlignment="1">
      <alignment horizontal="center"/>
    </xf>
    <xf numFmtId="7" fontId="39" fillId="0" borderId="0" xfId="16" applyNumberFormat="1" applyFont="1" applyAlignment="1">
      <alignment horizontal="center"/>
    </xf>
    <xf numFmtId="164" fontId="36" fillId="0" borderId="0" xfId="16" applyNumberFormat="1" applyFont="1" applyAlignment="1">
      <alignment wrapText="1"/>
    </xf>
    <xf numFmtId="4" fontId="36" fillId="0" borderId="0" xfId="16" applyNumberFormat="1" applyFont="1" applyAlignment="1">
      <alignment horizontal="center" wrapText="1"/>
    </xf>
    <xf numFmtId="165" fontId="36" fillId="0" borderId="0" xfId="21" quotePrefix="1" applyFont="1" applyBorder="1" applyAlignment="1">
      <alignment horizontal="center"/>
    </xf>
    <xf numFmtId="7" fontId="30" fillId="0" borderId="0" xfId="16" quotePrefix="1" applyNumberFormat="1" applyFont="1" applyAlignment="1">
      <alignment horizontal="center"/>
    </xf>
    <xf numFmtId="7" fontId="30" fillId="0" borderId="0" xfId="16" applyNumberFormat="1" applyFont="1" applyAlignment="1">
      <alignment horizontal="center"/>
    </xf>
    <xf numFmtId="165" fontId="36" fillId="0" borderId="0" xfId="21" applyFont="1" applyBorder="1" applyAlignment="1">
      <alignment horizontal="center" wrapText="1"/>
    </xf>
    <xf numFmtId="7" fontId="30" fillId="0" borderId="3" xfId="16" quotePrefix="1" applyNumberFormat="1" applyFont="1" applyBorder="1" applyAlignment="1">
      <alignment horizontal="center"/>
    </xf>
    <xf numFmtId="0" fontId="30" fillId="0" borderId="3" xfId="16" applyFont="1" applyBorder="1" applyAlignment="1">
      <alignment horizontal="center"/>
    </xf>
    <xf numFmtId="4" fontId="36" fillId="0" borderId="3" xfId="16" applyNumberFormat="1" applyFont="1" applyBorder="1" applyAlignment="1">
      <alignment horizontal="center" wrapText="1"/>
    </xf>
    <xf numFmtId="165" fontId="49" fillId="0" borderId="3" xfId="21" quotePrefix="1" applyFont="1" applyBorder="1" applyAlignment="1">
      <alignment horizontal="center"/>
    </xf>
    <xf numFmtId="0" fontId="46" fillId="0" borderId="3" xfId="16" quotePrefix="1" applyFont="1" applyBorder="1"/>
    <xf numFmtId="0" fontId="36" fillId="0" borderId="5" xfId="16" quotePrefix="1" applyFont="1" applyBorder="1" applyAlignment="1">
      <alignment horizontal="center"/>
    </xf>
    <xf numFmtId="4" fontId="36" fillId="0" borderId="5" xfId="16" quotePrefix="1" applyNumberFormat="1" applyFont="1" applyBorder="1" applyAlignment="1">
      <alignment horizontal="center"/>
    </xf>
    <xf numFmtId="165" fontId="36" fillId="0" borderId="5" xfId="21" quotePrefix="1" applyFont="1" applyBorder="1" applyAlignment="1">
      <alignment horizontal="center"/>
    </xf>
    <xf numFmtId="43" fontId="35" fillId="6" borderId="4" xfId="20" applyFont="1" applyFill="1" applyBorder="1" applyAlignment="1"/>
    <xf numFmtId="43" fontId="36" fillId="0" borderId="0" xfId="20" applyFont="1" applyFill="1" applyBorder="1" applyAlignment="1"/>
    <xf numFmtId="178" fontId="36" fillId="0" borderId="0" xfId="16" applyNumberFormat="1" applyFont="1"/>
    <xf numFmtId="43" fontId="36" fillId="0" borderId="0" xfId="20" applyFont="1" applyBorder="1" applyAlignment="1"/>
    <xf numFmtId="43" fontId="35" fillId="6" borderId="0" xfId="20" applyFont="1" applyFill="1" applyBorder="1" applyAlignment="1"/>
    <xf numFmtId="43" fontId="35" fillId="6" borderId="3" xfId="20" applyFont="1" applyFill="1" applyBorder="1" applyAlignment="1"/>
    <xf numFmtId="43" fontId="36" fillId="0" borderId="4" xfId="20" applyFont="1" applyBorder="1" applyAlignment="1"/>
    <xf numFmtId="43" fontId="36" fillId="0" borderId="4" xfId="20" applyFont="1" applyFill="1" applyBorder="1" applyAlignment="1"/>
    <xf numFmtId="178" fontId="36" fillId="0" borderId="4" xfId="16" applyNumberFormat="1" applyFont="1" applyBorder="1"/>
    <xf numFmtId="0" fontId="36" fillId="0" borderId="0" xfId="16" applyFont="1" applyAlignment="1">
      <alignment horizontal="left" indent="2"/>
    </xf>
    <xf numFmtId="43" fontId="36" fillId="0" borderId="5" xfId="20" applyFont="1" applyBorder="1" applyAlignment="1"/>
    <xf numFmtId="2" fontId="36" fillId="0" borderId="0" xfId="16" applyNumberFormat="1" applyFont="1" applyAlignment="1">
      <alignment horizontal="center"/>
    </xf>
    <xf numFmtId="0" fontId="36" fillId="0" borderId="0" xfId="16" applyFont="1" applyAlignment="1">
      <alignment horizontal="right"/>
    </xf>
    <xf numFmtId="0" fontId="36" fillId="0" borderId="0" xfId="16" applyFont="1" applyAlignment="1">
      <alignment horizontal="left" indent="1"/>
    </xf>
    <xf numFmtId="0" fontId="36" fillId="0" borderId="0" xfId="16" applyFont="1" applyAlignment="1">
      <alignment horizontal="left"/>
    </xf>
    <xf numFmtId="168" fontId="36" fillId="0" borderId="0" xfId="21" quotePrefix="1" applyNumberFormat="1" applyFont="1" applyBorder="1" applyAlignment="1">
      <alignment horizontal="center"/>
    </xf>
    <xf numFmtId="166" fontId="36" fillId="0" borderId="0" xfId="16" applyNumberFormat="1" applyFont="1"/>
    <xf numFmtId="168" fontId="36" fillId="0" borderId="0" xfId="21" applyNumberFormat="1" applyFont="1" applyBorder="1" applyAlignment="1">
      <alignment horizontal="center"/>
    </xf>
    <xf numFmtId="0" fontId="30" fillId="0" borderId="3" xfId="16" quotePrefix="1" applyFont="1" applyBorder="1" applyAlignment="1">
      <alignment horizontal="center"/>
    </xf>
    <xf numFmtId="2" fontId="30" fillId="0" borderId="3" xfId="16" applyNumberFormat="1" applyFont="1" applyBorder="1"/>
    <xf numFmtId="165" fontId="40" fillId="0" borderId="3" xfId="21" applyFont="1" applyBorder="1" applyAlignment="1">
      <alignment horizontal="center" wrapText="1"/>
    </xf>
    <xf numFmtId="43" fontId="51" fillId="6" borderId="4" xfId="20" applyFont="1" applyFill="1" applyBorder="1" applyAlignment="1"/>
    <xf numFmtId="4" fontId="30" fillId="0" borderId="4" xfId="16" applyNumberFormat="1" applyFont="1" applyBorder="1"/>
    <xf numFmtId="43" fontId="51" fillId="6" borderId="0" xfId="20" applyFont="1" applyFill="1" applyBorder="1" applyAlignment="1"/>
    <xf numFmtId="4" fontId="30" fillId="0" borderId="0" xfId="16" applyNumberFormat="1" applyFont="1"/>
    <xf numFmtId="43" fontId="51" fillId="6" borderId="3" xfId="20" applyFont="1" applyFill="1" applyBorder="1" applyAlignment="1"/>
    <xf numFmtId="43" fontId="36" fillId="0" borderId="3" xfId="20" applyFont="1" applyFill="1" applyBorder="1" applyAlignment="1"/>
    <xf numFmtId="43" fontId="36" fillId="0" borderId="3" xfId="20" applyFont="1" applyBorder="1" applyAlignment="1"/>
    <xf numFmtId="0" fontId="36" fillId="0" borderId="0" xfId="16" quotePrefix="1" applyFont="1" applyAlignment="1">
      <alignment horizontal="right"/>
    </xf>
    <xf numFmtId="166" fontId="36" fillId="0" borderId="0" xfId="16" applyNumberFormat="1" applyFont="1" applyAlignment="1">
      <alignment horizontal="right"/>
    </xf>
    <xf numFmtId="2" fontId="36" fillId="0" borderId="0" xfId="16" applyNumberFormat="1" applyFont="1"/>
    <xf numFmtId="2" fontId="36" fillId="0" borderId="0" xfId="16" quotePrefix="1" applyNumberFormat="1" applyFont="1" applyAlignment="1">
      <alignment horizontal="right"/>
    </xf>
    <xf numFmtId="179" fontId="36" fillId="0" borderId="9" xfId="20" applyNumberFormat="1" applyFont="1" applyBorder="1" applyAlignment="1"/>
    <xf numFmtId="166" fontId="52" fillId="0" borderId="0" xfId="16" applyNumberFormat="1" applyFont="1" applyAlignment="1">
      <alignment horizontal="right"/>
    </xf>
    <xf numFmtId="0" fontId="53" fillId="0" borderId="0" xfId="16" quotePrefix="1" applyFont="1" applyAlignment="1">
      <alignment horizontal="left" vertical="center" indent="2"/>
    </xf>
    <xf numFmtId="0" fontId="36" fillId="0" borderId="0" xfId="16" applyFont="1" applyAlignment="1">
      <alignment horizontal="left" vertical="center" indent="2"/>
    </xf>
    <xf numFmtId="166" fontId="52" fillId="0" borderId="0" xfId="16" applyNumberFormat="1" applyFont="1" applyAlignment="1">
      <alignment horizontal="left" vertical="center" indent="2"/>
    </xf>
    <xf numFmtId="2" fontId="36" fillId="0" borderId="0" xfId="16" applyNumberFormat="1" applyFont="1" applyAlignment="1">
      <alignment horizontal="left" vertical="center" indent="2"/>
    </xf>
    <xf numFmtId="43" fontId="36" fillId="0" borderId="0" xfId="20" applyFont="1" applyBorder="1" applyAlignment="1">
      <alignment horizontal="left" vertical="center" indent="2"/>
    </xf>
    <xf numFmtId="0" fontId="53" fillId="0" borderId="0" xfId="16" applyFont="1" applyAlignment="1">
      <alignment horizontal="left" vertical="top" indent="2"/>
    </xf>
    <xf numFmtId="0" fontId="53" fillId="0" borderId="0" xfId="16" applyFont="1" applyAlignment="1">
      <alignment horizontal="left" indent="2"/>
    </xf>
    <xf numFmtId="4" fontId="36" fillId="0" borderId="0" xfId="16" quotePrefix="1" applyNumberFormat="1" applyFont="1" applyAlignment="1">
      <alignment horizontal="center"/>
    </xf>
    <xf numFmtId="44" fontId="36" fillId="0" borderId="0" xfId="20" applyNumberFormat="1" applyFont="1" applyAlignment="1">
      <alignment horizontal="right"/>
    </xf>
    <xf numFmtId="2" fontId="36" fillId="0" borderId="0" xfId="16" quotePrefix="1" applyNumberFormat="1" applyFont="1" applyAlignment="1">
      <alignment horizontal="center"/>
    </xf>
    <xf numFmtId="10" fontId="36" fillId="0" borderId="0" xfId="19" applyNumberFormat="1" applyFont="1" applyAlignment="1">
      <alignment horizontal="center"/>
    </xf>
    <xf numFmtId="44" fontId="36" fillId="0" borderId="0" xfId="16" applyNumberFormat="1" applyFont="1"/>
    <xf numFmtId="17" fontId="30" fillId="0" borderId="0" xfId="16" quotePrefix="1" applyNumberFormat="1" applyFont="1" applyAlignment="1">
      <alignment horizontal="center"/>
    </xf>
    <xf numFmtId="166" fontId="36" fillId="0" borderId="0" xfId="16" applyNumberFormat="1" applyFont="1" applyAlignment="1">
      <alignment horizontal="center"/>
    </xf>
    <xf numFmtId="0" fontId="54" fillId="0" borderId="0" xfId="16" quotePrefix="1" applyFont="1" applyAlignment="1">
      <alignment horizontal="center"/>
    </xf>
    <xf numFmtId="0" fontId="36" fillId="0" borderId="3" xfId="16" applyFont="1" applyBorder="1"/>
    <xf numFmtId="0" fontId="36" fillId="0" borderId="3" xfId="16" quotePrefix="1" applyFont="1" applyBorder="1" applyAlignment="1">
      <alignment horizontal="center"/>
    </xf>
    <xf numFmtId="0" fontId="36" fillId="0" borderId="3" xfId="16" applyFont="1" applyBorder="1" applyAlignment="1">
      <alignment horizontal="center"/>
    </xf>
    <xf numFmtId="0" fontId="54" fillId="0" borderId="3" xfId="16" quotePrefix="1" applyFont="1" applyBorder="1" applyAlignment="1">
      <alignment horizontal="center"/>
    </xf>
    <xf numFmtId="0" fontId="36" fillId="0" borderId="0" xfId="16" applyFont="1" applyAlignment="1">
      <alignment horizontal="center"/>
    </xf>
    <xf numFmtId="168" fontId="54" fillId="16" borderId="0" xfId="21" applyNumberFormat="1" applyFont="1" applyFill="1" applyBorder="1" applyAlignment="1"/>
    <xf numFmtId="0" fontId="36" fillId="0" borderId="0" xfId="16" quotePrefix="1" applyFont="1" applyAlignment="1">
      <alignment horizontal="center"/>
    </xf>
    <xf numFmtId="43" fontId="36" fillId="0" borderId="0" xfId="16" applyNumberFormat="1" applyFont="1" applyAlignment="1">
      <alignment horizontal="right"/>
    </xf>
    <xf numFmtId="43" fontId="52" fillId="0" borderId="3" xfId="20" applyFont="1" applyBorder="1" applyAlignment="1">
      <alignment horizontal="center"/>
    </xf>
    <xf numFmtId="4" fontId="35" fillId="16" borderId="3" xfId="16" applyNumberFormat="1" applyFont="1" applyFill="1" applyBorder="1" applyAlignment="1">
      <alignment horizontal="center"/>
    </xf>
    <xf numFmtId="4" fontId="55" fillId="0" borderId="0" xfId="16" applyNumberFormat="1" applyFont="1"/>
    <xf numFmtId="0" fontId="48" fillId="0" borderId="0" xfId="16" quotePrefix="1" applyFont="1" applyAlignment="1">
      <alignment horizontal="center"/>
    </xf>
    <xf numFmtId="169" fontId="52" fillId="0" borderId="0" xfId="16" applyNumberFormat="1" applyFont="1" applyAlignment="1">
      <alignment horizontal="center"/>
    </xf>
    <xf numFmtId="169" fontId="52" fillId="0" borderId="0" xfId="16" applyNumberFormat="1" applyFont="1"/>
    <xf numFmtId="0" fontId="49" fillId="0" borderId="0" xfId="16" quotePrefix="1" applyFont="1" applyAlignment="1">
      <alignment horizontal="left"/>
    </xf>
    <xf numFmtId="0" fontId="49" fillId="0" borderId="0" xfId="16" applyFont="1"/>
    <xf numFmtId="41" fontId="35" fillId="16" borderId="0" xfId="20" applyNumberFormat="1" applyFont="1" applyFill="1" applyBorder="1" applyAlignment="1"/>
    <xf numFmtId="169" fontId="36" fillId="0" borderId="0" xfId="16" applyNumberFormat="1" applyFont="1" applyAlignment="1">
      <alignment horizontal="center"/>
    </xf>
    <xf numFmtId="43" fontId="36" fillId="0" borderId="0" xfId="16" applyNumberFormat="1" applyFont="1"/>
    <xf numFmtId="0" fontId="36" fillId="0" borderId="0" xfId="16" quotePrefix="1" applyFont="1"/>
    <xf numFmtId="41" fontId="35" fillId="0" borderId="0" xfId="20" applyNumberFormat="1" applyFont="1" applyFill="1" applyBorder="1" applyAlignment="1"/>
    <xf numFmtId="0" fontId="36" fillId="0" borderId="0" xfId="16" quotePrefix="1" applyFont="1" applyAlignment="1">
      <alignment horizontal="left" wrapText="1"/>
    </xf>
    <xf numFmtId="43" fontId="36" fillId="0" borderId="0" xfId="20" applyFont="1"/>
    <xf numFmtId="0" fontId="55" fillId="0" borderId="0" xfId="16" applyFont="1"/>
    <xf numFmtId="0" fontId="55" fillId="0" borderId="0" xfId="16" quotePrefix="1" applyFont="1" applyAlignment="1">
      <alignment horizontal="left"/>
    </xf>
    <xf numFmtId="4" fontId="36" fillId="0" borderId="3" xfId="16" applyNumberFormat="1" applyFont="1" applyBorder="1" applyAlignment="1">
      <alignment horizontal="center"/>
    </xf>
    <xf numFmtId="181" fontId="35" fillId="16" borderId="0" xfId="16" applyNumberFormat="1" applyFont="1" applyFill="1"/>
    <xf numFmtId="16" fontId="36" fillId="0" borderId="0" xfId="16" quotePrefix="1" applyNumberFormat="1" applyFont="1" applyAlignment="1">
      <alignment horizontal="right"/>
    </xf>
    <xf numFmtId="170" fontId="36" fillId="0" borderId="0" xfId="22" applyFont="1" applyBorder="1" applyAlignment="1">
      <alignment horizontal="right"/>
    </xf>
    <xf numFmtId="170" fontId="36" fillId="0" borderId="0" xfId="22" quotePrefix="1" applyFont="1" applyBorder="1" applyAlignment="1">
      <alignment horizontal="right"/>
    </xf>
    <xf numFmtId="170" fontId="36" fillId="0" borderId="0" xfId="22" applyFont="1" applyBorder="1" applyAlignment="1"/>
    <xf numFmtId="170" fontId="36" fillId="0" borderId="2" xfId="22" quotePrefix="1" applyFont="1" applyBorder="1" applyAlignment="1">
      <alignment horizontal="right"/>
    </xf>
    <xf numFmtId="2" fontId="58" fillId="0" borderId="0" xfId="16" applyNumberFormat="1" applyFont="1" applyAlignment="1">
      <alignment horizontal="left" indent="3"/>
    </xf>
    <xf numFmtId="4" fontId="36" fillId="0" borderId="0" xfId="16" applyNumberFormat="1" applyFont="1" applyAlignment="1">
      <alignment horizontal="center"/>
    </xf>
    <xf numFmtId="38" fontId="35" fillId="16" borderId="0" xfId="16" quotePrefix="1" applyNumberFormat="1" applyFont="1" applyFill="1"/>
    <xf numFmtId="0" fontId="30" fillId="0" borderId="0" xfId="16" applyFont="1" applyAlignment="1">
      <alignment horizontal="right"/>
    </xf>
    <xf numFmtId="0" fontId="30" fillId="0" borderId="0" xfId="16" applyFont="1"/>
    <xf numFmtId="4" fontId="36" fillId="0" borderId="0" xfId="16" applyNumberFormat="1" applyFont="1" applyAlignment="1">
      <alignment horizontal="left"/>
    </xf>
    <xf numFmtId="38" fontId="36" fillId="0" borderId="0" xfId="16" quotePrefix="1" applyNumberFormat="1" applyFont="1"/>
    <xf numFmtId="7" fontId="36" fillId="0" borderId="0" xfId="16" applyNumberFormat="1" applyFont="1" applyAlignment="1">
      <alignment horizontal="center"/>
    </xf>
    <xf numFmtId="7" fontId="36" fillId="0" borderId="0" xfId="16" applyNumberFormat="1" applyFont="1"/>
    <xf numFmtId="7" fontId="36" fillId="0" borderId="3" xfId="16" applyNumberFormat="1" applyFont="1" applyBorder="1"/>
    <xf numFmtId="3" fontId="36" fillId="0" borderId="0" xfId="16" quotePrefix="1" applyNumberFormat="1" applyFont="1" applyAlignment="1">
      <alignment horizontal="center"/>
    </xf>
    <xf numFmtId="16" fontId="36" fillId="0" borderId="0" xfId="16" applyNumberFormat="1" applyFont="1"/>
    <xf numFmtId="168" fontId="36" fillId="0" borderId="0" xfId="16" applyNumberFormat="1" applyFont="1"/>
    <xf numFmtId="0" fontId="30" fillId="6" borderId="11" xfId="16" applyFont="1" applyFill="1" applyBorder="1" applyAlignment="1">
      <alignment horizontal="center"/>
    </xf>
    <xf numFmtId="0" fontId="36" fillId="6" borderId="11" xfId="16" applyFont="1" applyFill="1" applyBorder="1" applyAlignment="1">
      <alignment horizontal="center"/>
    </xf>
    <xf numFmtId="0" fontId="37" fillId="0" borderId="0" xfId="16" applyFont="1"/>
    <xf numFmtId="0" fontId="36" fillId="8" borderId="0" xfId="16" applyFont="1" applyFill="1"/>
    <xf numFmtId="0" fontId="36" fillId="8" borderId="0" xfId="16" applyFont="1" applyFill="1" applyAlignment="1">
      <alignment horizontal="left"/>
    </xf>
    <xf numFmtId="0" fontId="30" fillId="8" borderId="0" xfId="16" applyFont="1" applyFill="1"/>
    <xf numFmtId="43" fontId="36" fillId="8" borderId="0" xfId="20" applyFont="1" applyFill="1" applyBorder="1" applyAlignment="1"/>
    <xf numFmtId="0" fontId="35" fillId="0" borderId="0" xfId="16" applyFont="1" applyAlignment="1">
      <alignment horizontal="center"/>
    </xf>
    <xf numFmtId="43" fontId="35" fillId="0" borderId="3" xfId="20" applyFont="1" applyBorder="1" applyAlignment="1"/>
    <xf numFmtId="43" fontId="36" fillId="9" borderId="10" xfId="20" applyFont="1" applyFill="1" applyBorder="1" applyAlignment="1"/>
    <xf numFmtId="0" fontId="48" fillId="0" borderId="0" xfId="16" applyFont="1" applyAlignment="1">
      <alignment horizontal="right"/>
    </xf>
    <xf numFmtId="7" fontId="59" fillId="0" borderId="0" xfId="16" quotePrefix="1" applyNumberFormat="1" applyFont="1" applyAlignment="1">
      <alignment horizontal="center"/>
    </xf>
    <xf numFmtId="17" fontId="59" fillId="0" borderId="0" xfId="16" quotePrefix="1" applyNumberFormat="1" applyFont="1" applyAlignment="1">
      <alignment horizontal="center"/>
    </xf>
    <xf numFmtId="7" fontId="59" fillId="0" borderId="0" xfId="16" applyNumberFormat="1" applyFont="1" applyAlignment="1">
      <alignment horizontal="center"/>
    </xf>
    <xf numFmtId="2" fontId="48" fillId="0" borderId="0" xfId="16" quotePrefix="1" applyNumberFormat="1" applyFont="1" applyAlignment="1">
      <alignment horizontal="center"/>
    </xf>
    <xf numFmtId="0" fontId="60" fillId="0" borderId="0" xfId="16" quotePrefix="1" applyFont="1" applyAlignment="1">
      <alignment horizontal="center"/>
    </xf>
    <xf numFmtId="43" fontId="48" fillId="0" borderId="0" xfId="20" applyFont="1" applyFill="1" applyBorder="1" applyAlignment="1"/>
    <xf numFmtId="0" fontId="48" fillId="0" borderId="0" xfId="16" applyFont="1"/>
    <xf numFmtId="0" fontId="23" fillId="0" borderId="0" xfId="16" applyFont="1" applyAlignment="1">
      <alignment horizontal="left" vertical="center"/>
    </xf>
    <xf numFmtId="0" fontId="28" fillId="0" borderId="0" xfId="16" applyFont="1" applyAlignment="1">
      <alignment horizontal="left" vertical="center" wrapText="1"/>
    </xf>
    <xf numFmtId="0" fontId="61" fillId="0" borderId="0" xfId="14" applyFont="1" applyAlignment="1">
      <alignment horizontal="left"/>
    </xf>
    <xf numFmtId="0" fontId="1" fillId="0" borderId="0" xfId="14" applyAlignment="1">
      <alignment horizontal="center"/>
    </xf>
    <xf numFmtId="0" fontId="1" fillId="0" borderId="0" xfId="14"/>
    <xf numFmtId="43" fontId="0" fillId="0" borderId="0" xfId="15" applyFont="1"/>
    <xf numFmtId="43" fontId="61" fillId="0" borderId="0" xfId="20" applyFont="1"/>
    <xf numFmtId="43" fontId="1" fillId="0" borderId="0" xfId="20" applyFont="1"/>
    <xf numFmtId="0" fontId="62" fillId="0" borderId="0" xfId="14" applyFont="1"/>
    <xf numFmtId="43" fontId="63" fillId="0" borderId="0" xfId="15" applyFont="1"/>
    <xf numFmtId="0" fontId="34" fillId="0" borderId="0" xfId="14" applyFont="1"/>
    <xf numFmtId="0" fontId="34" fillId="0" borderId="0" xfId="14" applyFont="1" applyAlignment="1">
      <alignment horizontal="center"/>
    </xf>
    <xf numFmtId="43" fontId="64" fillId="0" borderId="0" xfId="15" applyFont="1" applyAlignment="1">
      <alignment horizontal="center"/>
    </xf>
    <xf numFmtId="43" fontId="65" fillId="0" borderId="0" xfId="20" applyFont="1" applyAlignment="1">
      <alignment horizontal="center"/>
    </xf>
    <xf numFmtId="43" fontId="34" fillId="0" borderId="0" xfId="20" applyFont="1" applyAlignment="1">
      <alignment horizontal="center"/>
    </xf>
    <xf numFmtId="49" fontId="1" fillId="0" borderId="0" xfId="14" applyNumberFormat="1" applyAlignment="1">
      <alignment horizontal="center"/>
    </xf>
    <xf numFmtId="43" fontId="2" fillId="0" borderId="0" xfId="15" applyFont="1" applyAlignment="1">
      <alignment horizontal="center"/>
    </xf>
    <xf numFmtId="43" fontId="1" fillId="0" borderId="0" xfId="20" applyFont="1" applyAlignment="1">
      <alignment horizontal="center"/>
    </xf>
    <xf numFmtId="43" fontId="61" fillId="0" borderId="0" xfId="20" applyFont="1" applyAlignment="1">
      <alignment horizontal="center"/>
    </xf>
    <xf numFmtId="43" fontId="1" fillId="0" borderId="0" xfId="14" applyNumberFormat="1"/>
    <xf numFmtId="43" fontId="2" fillId="0" borderId="0" xfId="15" applyFont="1"/>
    <xf numFmtId="43" fontId="2" fillId="0" borderId="0" xfId="20" applyFont="1" applyFill="1"/>
    <xf numFmtId="43" fontId="0" fillId="0" borderId="0" xfId="15" applyFont="1" applyFill="1"/>
    <xf numFmtId="43" fontId="0" fillId="0" borderId="0" xfId="20" applyFont="1" applyFill="1"/>
    <xf numFmtId="43" fontId="61" fillId="0" borderId="0" xfId="20" applyFont="1" applyFill="1"/>
    <xf numFmtId="43" fontId="1" fillId="0" borderId="0" xfId="20" applyFont="1" applyFill="1"/>
    <xf numFmtId="0" fontId="66" fillId="0" borderId="0" xfId="14" applyFont="1" applyAlignment="1">
      <alignment horizontal="center"/>
    </xf>
    <xf numFmtId="0" fontId="66" fillId="0" borderId="0" xfId="14" applyFont="1"/>
    <xf numFmtId="43" fontId="67" fillId="0" borderId="0" xfId="15" applyFont="1" applyFill="1"/>
    <xf numFmtId="43" fontId="67" fillId="0" borderId="0" xfId="15" applyFont="1"/>
    <xf numFmtId="43" fontId="67" fillId="0" borderId="0" xfId="20" applyFont="1" applyFill="1"/>
    <xf numFmtId="43" fontId="0" fillId="7" borderId="0" xfId="15" applyFont="1" applyFill="1"/>
    <xf numFmtId="0" fontId="61" fillId="0" borderId="0" xfId="14" applyFont="1" applyAlignment="1">
      <alignment horizontal="right"/>
    </xf>
    <xf numFmtId="0" fontId="61" fillId="0" borderId="0" xfId="14" applyFont="1"/>
    <xf numFmtId="43" fontId="61" fillId="0" borderId="0" xfId="14" applyNumberFormat="1" applyFont="1"/>
    <xf numFmtId="43" fontId="67" fillId="0" borderId="0" xfId="20" applyFont="1"/>
    <xf numFmtId="43" fontId="1" fillId="0" borderId="0" xfId="14" applyNumberFormat="1" applyAlignment="1">
      <alignment horizontal="center"/>
    </xf>
    <xf numFmtId="43" fontId="5" fillId="0" borderId="3" xfId="1" applyFont="1" applyBorder="1"/>
    <xf numFmtId="44" fontId="5" fillId="0" borderId="0" xfId="2" applyNumberFormat="1" applyFont="1"/>
    <xf numFmtId="167" fontId="5" fillId="0" borderId="0" xfId="2" applyNumberFormat="1" applyFont="1"/>
    <xf numFmtId="165" fontId="5" fillId="0" borderId="0" xfId="3" applyFont="1" applyBorder="1"/>
    <xf numFmtId="165" fontId="5" fillId="0" borderId="9" xfId="2" applyNumberFormat="1" applyFont="1" applyBorder="1" applyAlignment="1">
      <alignment horizontal="right"/>
    </xf>
    <xf numFmtId="165" fontId="5" fillId="0" borderId="0" xfId="2" applyNumberFormat="1" applyFont="1"/>
    <xf numFmtId="165" fontId="5" fillId="0" borderId="10" xfId="2" applyNumberFormat="1" applyFont="1" applyBorder="1"/>
    <xf numFmtId="165" fontId="5" fillId="0" borderId="0" xfId="2" applyNumberFormat="1" applyFont="1" applyAlignment="1">
      <alignment horizontal="left"/>
    </xf>
    <xf numFmtId="182" fontId="11" fillId="2" borderId="3" xfId="1" applyNumberFormat="1" applyFont="1" applyFill="1" applyBorder="1" applyAlignment="1">
      <alignment horizontal="center"/>
    </xf>
    <xf numFmtId="182" fontId="11" fillId="2" borderId="3" xfId="1" applyNumberFormat="1" applyFont="1" applyFill="1" applyBorder="1" applyAlignment="1">
      <alignment vertical="center"/>
    </xf>
    <xf numFmtId="43" fontId="1" fillId="0" borderId="0" xfId="1" applyFont="1" applyAlignment="1">
      <alignment horizontal="center"/>
    </xf>
    <xf numFmtId="43" fontId="39" fillId="0" borderId="0" xfId="16" applyNumberFormat="1" applyFont="1" applyAlignment="1">
      <alignment horizontal="center"/>
    </xf>
    <xf numFmtId="183" fontId="36" fillId="0" borderId="0" xfId="16" applyNumberFormat="1" applyFont="1"/>
    <xf numFmtId="183" fontId="36" fillId="0" borderId="4" xfId="16" applyNumberFormat="1" applyFont="1" applyBorder="1"/>
    <xf numFmtId="183" fontId="36" fillId="0" borderId="0" xfId="16" applyNumberFormat="1" applyFont="1" applyAlignment="1">
      <alignment horizontal="right"/>
    </xf>
    <xf numFmtId="4" fontId="35" fillId="16" borderId="3" xfId="16" applyNumberFormat="1" applyFont="1" applyFill="1" applyBorder="1" applyAlignment="1">
      <alignment horizontal="right"/>
    </xf>
    <xf numFmtId="43" fontId="36" fillId="2" borderId="0" xfId="20" applyFont="1" applyFill="1" applyBorder="1" applyAlignment="1"/>
    <xf numFmtId="43" fontId="39" fillId="0" borderId="0" xfId="17" applyFont="1" applyBorder="1"/>
    <xf numFmtId="43" fontId="1" fillId="19" borderId="0" xfId="1" applyFill="1" applyAlignment="1">
      <alignment horizontal="center"/>
    </xf>
    <xf numFmtId="0" fontId="40" fillId="0" borderId="15" xfId="16" applyFont="1" applyBorder="1" applyAlignment="1">
      <alignment horizontal="center"/>
    </xf>
    <xf numFmtId="0" fontId="39" fillId="0" borderId="0" xfId="16" applyFont="1" applyAlignment="1">
      <alignment horizontal="left"/>
    </xf>
    <xf numFmtId="1" fontId="68" fillId="0" borderId="0" xfId="16" quotePrefix="1" applyNumberFormat="1" applyFont="1" applyAlignment="1">
      <alignment horizontal="left"/>
    </xf>
    <xf numFmtId="1" fontId="40" fillId="0" borderId="0" xfId="16" quotePrefix="1" applyNumberFormat="1" applyFont="1"/>
    <xf numFmtId="43" fontId="39" fillId="0" borderId="0" xfId="20" applyFont="1"/>
    <xf numFmtId="0" fontId="40" fillId="0" borderId="0" xfId="16" quotePrefix="1" applyFont="1" applyAlignment="1">
      <alignment vertical="center"/>
    </xf>
    <xf numFmtId="1" fontId="41" fillId="0" borderId="0" xfId="16" quotePrefix="1" applyNumberFormat="1" applyFont="1" applyAlignment="1">
      <alignment horizontal="left"/>
    </xf>
    <xf numFmtId="1" fontId="39" fillId="0" borderId="0" xfId="16" applyNumberFormat="1" applyFont="1"/>
    <xf numFmtId="0" fontId="40" fillId="0" borderId="0" xfId="16" quotePrefix="1" applyFont="1" applyAlignment="1">
      <alignment horizontal="center"/>
    </xf>
    <xf numFmtId="43" fontId="40" fillId="0" borderId="0" xfId="20" quotePrefix="1" applyFont="1" applyFill="1" applyBorder="1" applyAlignment="1">
      <alignment horizontal="center"/>
    </xf>
    <xf numFmtId="0" fontId="40" fillId="0" borderId="0" xfId="16" quotePrefix="1" applyFont="1" applyAlignment="1">
      <alignment horizontal="left" indent="4"/>
    </xf>
    <xf numFmtId="1" fontId="39" fillId="0" borderId="0" xfId="16" applyNumberFormat="1" applyFont="1" applyAlignment="1">
      <alignment horizontal="center"/>
    </xf>
    <xf numFmtId="1" fontId="40" fillId="0" borderId="11" xfId="16" applyNumberFormat="1" applyFont="1" applyBorder="1" applyAlignment="1">
      <alignment horizontal="center"/>
    </xf>
    <xf numFmtId="1" fontId="40" fillId="0" borderId="15" xfId="16" applyNumberFormat="1" applyFont="1" applyBorder="1" applyAlignment="1">
      <alignment horizontal="center"/>
    </xf>
    <xf numFmtId="43" fontId="40" fillId="0" borderId="11" xfId="20" quotePrefix="1" applyFont="1" applyFill="1" applyBorder="1" applyAlignment="1">
      <alignment horizontal="center"/>
    </xf>
    <xf numFmtId="0" fontId="42" fillId="0" borderId="1" xfId="16" quotePrefix="1" applyFont="1" applyBorder="1" applyAlignment="1">
      <alignment horizontal="center"/>
    </xf>
    <xf numFmtId="0" fontId="40" fillId="6" borderId="0" xfId="16" applyFont="1" applyFill="1" applyAlignment="1">
      <alignment horizontal="center"/>
    </xf>
    <xf numFmtId="49" fontId="39" fillId="6" borderId="0" xfId="16" applyNumberFormat="1" applyFont="1" applyFill="1" applyAlignment="1">
      <alignment horizontal="center"/>
    </xf>
    <xf numFmtId="1" fontId="39" fillId="6" borderId="0" xfId="16" applyNumberFormat="1" applyFont="1" applyFill="1" applyAlignment="1">
      <alignment horizontal="left"/>
    </xf>
    <xf numFmtId="0" fontId="39" fillId="6" borderId="0" xfId="16" applyFont="1" applyFill="1" applyAlignment="1">
      <alignment horizontal="left"/>
    </xf>
    <xf numFmtId="43" fontId="39" fillId="6" borderId="0" xfId="2" applyNumberFormat="1" applyFont="1" applyFill="1"/>
    <xf numFmtId="43" fontId="40" fillId="6" borderId="0" xfId="20" quotePrefix="1" applyFont="1" applyFill="1" applyBorder="1" applyAlignment="1">
      <alignment horizontal="center"/>
    </xf>
    <xf numFmtId="0" fontId="70" fillId="5" borderId="18" xfId="16" quotePrefix="1" applyFont="1" applyFill="1" applyBorder="1" applyAlignment="1">
      <alignment horizontal="left"/>
    </xf>
    <xf numFmtId="1" fontId="40" fillId="0" borderId="0" xfId="16" applyNumberFormat="1" applyFont="1" applyAlignment="1">
      <alignment horizontal="center"/>
    </xf>
    <xf numFmtId="0" fontId="71" fillId="5" borderId="19" xfId="16" quotePrefix="1" applyFont="1" applyFill="1" applyBorder="1" applyAlignment="1">
      <alignment horizontal="left" indent="1"/>
    </xf>
    <xf numFmtId="0" fontId="70" fillId="5" borderId="19" xfId="16" quotePrefix="1" applyFont="1" applyFill="1" applyBorder="1" applyAlignment="1">
      <alignment horizontal="left" indent="1"/>
    </xf>
    <xf numFmtId="1" fontId="39" fillId="0" borderId="0" xfId="16" applyNumberFormat="1" applyFont="1" applyAlignment="1">
      <alignment horizontal="left"/>
    </xf>
    <xf numFmtId="43" fontId="39" fillId="0" borderId="0" xfId="2" applyNumberFormat="1" applyFont="1"/>
    <xf numFmtId="0" fontId="72" fillId="5" borderId="19" xfId="16" applyFont="1" applyFill="1" applyBorder="1"/>
    <xf numFmtId="0" fontId="71" fillId="5" borderId="19" xfId="16" quotePrefix="1" applyFont="1" applyFill="1" applyBorder="1" applyAlignment="1">
      <alignment horizontal="left"/>
    </xf>
    <xf numFmtId="1" fontId="39" fillId="6" borderId="0" xfId="2" applyNumberFormat="1" applyFont="1" applyFill="1" applyAlignment="1">
      <alignment horizontal="center"/>
    </xf>
    <xf numFmtId="1" fontId="39" fillId="6" borderId="0" xfId="2" applyNumberFormat="1" applyFont="1" applyFill="1"/>
    <xf numFmtId="43" fontId="45" fillId="6" borderId="0" xfId="20" applyFont="1" applyFill="1" applyBorder="1" applyAlignment="1"/>
    <xf numFmtId="43" fontId="45" fillId="0" borderId="0" xfId="20" applyFont="1"/>
    <xf numFmtId="0" fontId="39" fillId="6" borderId="0" xfId="16" quotePrefix="1" applyFont="1" applyFill="1" applyAlignment="1">
      <alignment horizontal="left" indent="1"/>
    </xf>
    <xf numFmtId="0" fontId="39" fillId="6" borderId="0" xfId="16" quotePrefix="1" applyFont="1" applyFill="1" applyAlignment="1">
      <alignment horizontal="left" vertical="center" indent="1"/>
    </xf>
    <xf numFmtId="0" fontId="71" fillId="5" borderId="20" xfId="16" quotePrefix="1" applyFont="1" applyFill="1" applyBorder="1" applyAlignment="1">
      <alignment horizontal="left" indent="2"/>
    </xf>
    <xf numFmtId="1" fontId="39" fillId="6" borderId="0" xfId="2" applyNumberFormat="1" applyFont="1" applyFill="1" applyAlignment="1">
      <alignment horizontal="left" indent="1"/>
    </xf>
    <xf numFmtId="49" fontId="39" fillId="6" borderId="0" xfId="2" applyNumberFormat="1" applyFont="1" applyFill="1" applyAlignment="1">
      <alignment horizontal="left" indent="1"/>
    </xf>
    <xf numFmtId="0" fontId="71" fillId="5" borderId="20" xfId="16" quotePrefix="1" applyFont="1" applyFill="1" applyBorder="1" applyAlignment="1">
      <alignment horizontal="left"/>
    </xf>
    <xf numFmtId="0" fontId="70" fillId="0" borderId="0" xfId="16" quotePrefix="1" applyFont="1" applyAlignment="1">
      <alignment horizontal="left" indent="1"/>
    </xf>
    <xf numFmtId="49" fontId="39" fillId="6" borderId="0" xfId="2" quotePrefix="1" applyNumberFormat="1" applyFont="1" applyFill="1" applyAlignment="1">
      <alignment horizontal="left" indent="1"/>
    </xf>
    <xf numFmtId="0" fontId="71" fillId="0" borderId="0" xfId="16" quotePrefix="1" applyFont="1" applyAlignment="1">
      <alignment horizontal="left" indent="2"/>
    </xf>
    <xf numFmtId="1" fontId="39" fillId="6" borderId="0" xfId="2" applyNumberFormat="1" applyFont="1" applyFill="1" applyAlignment="1">
      <alignment horizontal="right" indent="1"/>
    </xf>
    <xf numFmtId="0" fontId="71" fillId="0" borderId="0" xfId="16" quotePrefix="1" applyFont="1" applyAlignment="1">
      <alignment horizontal="left"/>
    </xf>
    <xf numFmtId="0" fontId="70" fillId="0" borderId="0" xfId="16" quotePrefix="1" applyFont="1" applyAlignment="1">
      <alignment horizontal="left"/>
    </xf>
    <xf numFmtId="43" fontId="70" fillId="0" borderId="0" xfId="16" quotePrefix="1" applyNumberFormat="1" applyFont="1" applyAlignment="1">
      <alignment horizontal="left" indent="1"/>
    </xf>
    <xf numFmtId="1" fontId="39" fillId="0" borderId="0" xfId="2" applyNumberFormat="1" applyFont="1" applyAlignment="1">
      <alignment horizontal="center"/>
    </xf>
    <xf numFmtId="1" fontId="39" fillId="0" borderId="0" xfId="2" applyNumberFormat="1" applyFont="1"/>
    <xf numFmtId="49" fontId="39" fillId="0" borderId="0" xfId="16" quotePrefix="1" applyNumberFormat="1" applyFont="1"/>
    <xf numFmtId="43" fontId="45" fillId="0" borderId="0" xfId="20" applyFont="1" applyFill="1" applyBorder="1" applyAlignment="1"/>
    <xf numFmtId="1" fontId="39" fillId="0" borderId="0" xfId="2" quotePrefix="1" applyNumberFormat="1" applyFont="1" applyAlignment="1">
      <alignment horizontal="right"/>
    </xf>
    <xf numFmtId="0" fontId="39" fillId="0" borderId="0" xfId="16" quotePrefix="1" applyFont="1" applyAlignment="1">
      <alignment horizontal="left" vertical="center" indent="1"/>
    </xf>
    <xf numFmtId="43" fontId="39" fillId="0" borderId="0" xfId="20" applyFont="1" applyFill="1" applyBorder="1" applyAlignment="1"/>
    <xf numFmtId="16" fontId="45" fillId="0" borderId="0" xfId="16" applyNumberFormat="1" applyFont="1"/>
    <xf numFmtId="1" fontId="39" fillId="0" borderId="0" xfId="2" applyNumberFormat="1" applyFont="1" applyAlignment="1">
      <alignment horizontal="left" indent="1"/>
    </xf>
    <xf numFmtId="49" fontId="39" fillId="0" borderId="0" xfId="16" quotePrefix="1" applyNumberFormat="1" applyFont="1" applyAlignment="1">
      <alignment horizontal="left" indent="1"/>
    </xf>
    <xf numFmtId="1" fontId="39" fillId="0" borderId="0" xfId="2" quotePrefix="1" applyNumberFormat="1" applyFont="1" applyAlignment="1">
      <alignment horizontal="right" indent="1"/>
    </xf>
    <xf numFmtId="49" fontId="39" fillId="0" borderId="0" xfId="2" quotePrefix="1" applyNumberFormat="1" applyFont="1" applyAlignment="1">
      <alignment horizontal="left" indent="1"/>
    </xf>
    <xf numFmtId="43" fontId="45" fillId="0" borderId="0" xfId="20" applyFont="1" applyFill="1"/>
    <xf numFmtId="49" fontId="39" fillId="6" borderId="0" xfId="16" quotePrefix="1" applyNumberFormat="1" applyFont="1" applyFill="1"/>
    <xf numFmtId="1" fontId="39" fillId="6" borderId="0" xfId="2" quotePrefix="1" applyNumberFormat="1" applyFont="1" applyFill="1" applyAlignment="1">
      <alignment horizontal="left"/>
    </xf>
    <xf numFmtId="1" fontId="39" fillId="0" borderId="0" xfId="2" quotePrefix="1" applyNumberFormat="1" applyFont="1" applyAlignment="1">
      <alignment horizontal="left"/>
    </xf>
    <xf numFmtId="49" fontId="39" fillId="6" borderId="0" xfId="16" quotePrefix="1" applyNumberFormat="1" applyFont="1" applyFill="1" applyAlignment="1">
      <alignment horizontal="left" indent="1"/>
    </xf>
    <xf numFmtId="43" fontId="39" fillId="0" borderId="0" xfId="20" applyFont="1" applyFill="1"/>
    <xf numFmtId="0" fontId="40" fillId="0" borderId="0" xfId="16" quotePrefix="1" applyFont="1" applyAlignment="1">
      <alignment horizontal="left" vertical="top"/>
    </xf>
    <xf numFmtId="43" fontId="45" fillId="6" borderId="0" xfId="2" applyNumberFormat="1" applyFont="1" applyFill="1"/>
    <xf numFmtId="0" fontId="39" fillId="0" borderId="0" xfId="16" quotePrefix="1" applyFont="1" applyAlignment="1">
      <alignment horizontal="left" vertical="top"/>
    </xf>
    <xf numFmtId="43" fontId="39" fillId="0" borderId="0" xfId="2" applyNumberFormat="1" applyFont="1" applyAlignment="1">
      <alignment vertical="center"/>
    </xf>
    <xf numFmtId="43" fontId="45" fillId="0" borderId="0" xfId="2" applyNumberFormat="1" applyFont="1"/>
    <xf numFmtId="1" fontId="39" fillId="6" borderId="0" xfId="20" applyNumberFormat="1" applyFont="1" applyFill="1" applyBorder="1" applyAlignment="1">
      <alignment horizontal="center"/>
    </xf>
    <xf numFmtId="1" fontId="39" fillId="6" borderId="0" xfId="20" quotePrefix="1" applyNumberFormat="1" applyFont="1" applyFill="1" applyBorder="1" applyAlignment="1">
      <alignment horizontal="left"/>
    </xf>
    <xf numFmtId="49" fontId="39" fillId="0" borderId="0" xfId="16" applyNumberFormat="1" applyFont="1"/>
    <xf numFmtId="43" fontId="45" fillId="0" borderId="0" xfId="20" applyFont="1" applyFill="1" applyAlignment="1"/>
    <xf numFmtId="43" fontId="39" fillId="0" borderId="9" xfId="16" applyNumberFormat="1" applyFont="1" applyBorder="1"/>
    <xf numFmtId="0" fontId="39" fillId="0" borderId="0" xfId="16" quotePrefix="1" applyFont="1" applyAlignment="1">
      <alignment horizontal="right"/>
    </xf>
    <xf numFmtId="0" fontId="39" fillId="0" borderId="0" xfId="16" quotePrefix="1" applyFont="1"/>
    <xf numFmtId="43" fontId="71" fillId="0" borderId="0" xfId="16" quotePrefix="1" applyNumberFormat="1" applyFont="1" applyAlignment="1">
      <alignment horizontal="left"/>
    </xf>
    <xf numFmtId="0" fontId="39" fillId="0" borderId="0" xfId="16" quotePrefix="1" applyFont="1" applyAlignment="1">
      <alignment vertical="center"/>
    </xf>
    <xf numFmtId="49" fontId="39" fillId="0" borderId="0" xfId="2" applyNumberFormat="1" applyFont="1"/>
    <xf numFmtId="43" fontId="45" fillId="0" borderId="0" xfId="20" applyFont="1" applyFill="1" applyBorder="1"/>
    <xf numFmtId="0" fontId="39" fillId="0" borderId="0" xfId="16" applyFont="1" applyAlignment="1">
      <alignment horizontal="right"/>
    </xf>
    <xf numFmtId="0" fontId="42" fillId="5" borderId="24" xfId="16" applyFont="1" applyFill="1" applyBorder="1"/>
    <xf numFmtId="0" fontId="40" fillId="5" borderId="2" xfId="16" quotePrefix="1" applyFont="1" applyFill="1" applyBorder="1" applyAlignment="1">
      <alignment horizontal="left"/>
    </xf>
    <xf numFmtId="0" fontId="42" fillId="5" borderId="25" xfId="16" applyFont="1" applyFill="1" applyBorder="1"/>
    <xf numFmtId="0" fontId="40" fillId="5" borderId="2" xfId="16" quotePrefix="1" applyFont="1" applyFill="1" applyBorder="1"/>
    <xf numFmtId="49" fontId="40" fillId="5" borderId="2" xfId="16" quotePrefix="1" applyNumberFormat="1" applyFont="1" applyFill="1" applyBorder="1"/>
    <xf numFmtId="49" fontId="40" fillId="5" borderId="25" xfId="16" quotePrefix="1" applyNumberFormat="1" applyFont="1" applyFill="1" applyBorder="1" applyAlignment="1">
      <alignment wrapText="1"/>
    </xf>
    <xf numFmtId="0" fontId="42" fillId="0" borderId="0" xfId="16" applyFont="1"/>
    <xf numFmtId="49" fontId="40" fillId="5" borderId="2" xfId="16" quotePrefix="1" applyNumberFormat="1" applyFont="1" applyFill="1" applyBorder="1" applyAlignment="1">
      <alignment horizontal="left" wrapText="1"/>
    </xf>
    <xf numFmtId="0" fontId="40" fillId="5" borderId="2" xfId="16" quotePrefix="1" applyFont="1" applyFill="1" applyBorder="1" applyAlignment="1">
      <alignment horizontal="left" indent="1"/>
    </xf>
    <xf numFmtId="0" fontId="40" fillId="5" borderId="25" xfId="16" quotePrefix="1" applyFont="1" applyFill="1" applyBorder="1" applyAlignment="1">
      <alignment vertical="top" wrapText="1"/>
    </xf>
    <xf numFmtId="0" fontId="40" fillId="5" borderId="27" xfId="16" applyFont="1" applyFill="1" applyBorder="1"/>
    <xf numFmtId="165" fontId="31" fillId="0" borderId="0" xfId="3" applyFont="1" applyBorder="1" applyAlignment="1">
      <alignment horizontal="center" wrapText="1"/>
    </xf>
    <xf numFmtId="43" fontId="31" fillId="6" borderId="0" xfId="1" applyFont="1" applyFill="1" applyAlignment="1">
      <alignment horizontal="left" indent="3"/>
    </xf>
    <xf numFmtId="2" fontId="31" fillId="0" borderId="0" xfId="2" applyNumberFormat="1" applyFont="1" applyAlignment="1">
      <alignment horizontal="right"/>
    </xf>
    <xf numFmtId="0" fontId="18" fillId="0" borderId="3" xfId="2" applyFont="1" applyBorder="1" applyAlignment="1">
      <alignment horizontal="center" wrapText="1"/>
    </xf>
    <xf numFmtId="4" fontId="32" fillId="0" borderId="0" xfId="2" applyNumberFormat="1" applyFont="1"/>
    <xf numFmtId="4" fontId="32" fillId="5" borderId="0" xfId="2" applyNumberFormat="1" applyFont="1" applyFill="1"/>
    <xf numFmtId="4" fontId="22" fillId="0" borderId="0" xfId="2" applyNumberFormat="1" applyFont="1"/>
    <xf numFmtId="172" fontId="5" fillId="0" borderId="0" xfId="1" applyNumberFormat="1" applyFont="1" applyBorder="1"/>
    <xf numFmtId="43" fontId="5" fillId="0" borderId="0" xfId="1" applyFont="1" applyBorder="1"/>
    <xf numFmtId="0" fontId="5" fillId="6" borderId="11" xfId="0" applyFont="1" applyFill="1" applyBorder="1" applyAlignment="1">
      <alignment horizontal="center"/>
    </xf>
    <xf numFmtId="0" fontId="15" fillId="0" borderId="0" xfId="0" applyFont="1"/>
    <xf numFmtId="43" fontId="5" fillId="0" borderId="3" xfId="1" applyFont="1" applyBorder="1" applyAlignment="1"/>
    <xf numFmtId="0" fontId="5" fillId="0" borderId="0" xfId="0" applyFont="1" applyAlignment="1">
      <alignment horizontal="left"/>
    </xf>
    <xf numFmtId="0" fontId="11" fillId="0" borderId="0" xfId="0" applyFont="1"/>
    <xf numFmtId="43" fontId="5" fillId="0" borderId="0" xfId="1" applyFont="1" applyBorder="1" applyAlignment="1"/>
    <xf numFmtId="0" fontId="5" fillId="8" borderId="0" xfId="0" applyFont="1" applyFill="1" applyAlignment="1">
      <alignment horizontal="left"/>
    </xf>
    <xf numFmtId="0" fontId="11" fillId="8" borderId="0" xfId="0" applyFont="1" applyFill="1"/>
    <xf numFmtId="43" fontId="5" fillId="8" borderId="0" xfId="1" applyFont="1" applyFill="1" applyBorder="1" applyAlignment="1"/>
    <xf numFmtId="43" fontId="31" fillId="0" borderId="3" xfId="1" applyFont="1" applyBorder="1" applyAlignment="1"/>
    <xf numFmtId="37" fontId="31" fillId="0" borderId="3" xfId="1" applyNumberFormat="1" applyFont="1" applyBorder="1" applyAlignment="1"/>
    <xf numFmtId="43" fontId="5" fillId="9" borderId="10" xfId="1" applyFont="1" applyFill="1" applyBorder="1" applyAlignment="1"/>
    <xf numFmtId="43" fontId="5" fillId="0" borderId="10" xfId="1" applyFont="1" applyBorder="1" applyAlignment="1"/>
    <xf numFmtId="168" fontId="5" fillId="0" borderId="0" xfId="0" applyNumberFormat="1" applyFont="1"/>
    <xf numFmtId="165" fontId="5" fillId="5" borderId="5" xfId="0" applyNumberFormat="1" applyFont="1" applyFill="1" applyBorder="1" applyAlignment="1">
      <alignment horizontal="right"/>
    </xf>
    <xf numFmtId="165" fontId="5" fillId="5" borderId="3" xfId="0" applyNumberFormat="1" applyFont="1" applyFill="1" applyBorder="1" applyAlignment="1">
      <alignment horizontal="right"/>
    </xf>
    <xf numFmtId="43" fontId="5" fillId="0" borderId="3" xfId="1" applyFont="1" applyBorder="1" applyAlignment="1">
      <alignment horizontal="right"/>
    </xf>
    <xf numFmtId="0" fontId="5" fillId="0" borderId="0" xfId="0" applyFont="1"/>
    <xf numFmtId="0" fontId="5" fillId="8" borderId="0" xfId="0" applyFont="1" applyFill="1"/>
    <xf numFmtId="0" fontId="31" fillId="0" borderId="0" xfId="0" applyFont="1" applyAlignment="1">
      <alignment horizontal="center"/>
    </xf>
    <xf numFmtId="0" fontId="30" fillId="21" borderId="0" xfId="0" applyFont="1" applyFill="1"/>
    <xf numFmtId="4" fontId="36" fillId="0" borderId="0" xfId="16" quotePrefix="1" applyNumberFormat="1" applyFont="1" applyAlignment="1">
      <alignment horizontal="left"/>
    </xf>
    <xf numFmtId="41" fontId="41" fillId="0" borderId="0" xfId="18" applyNumberFormat="1" applyFont="1" applyAlignment="1">
      <alignment horizontal="center"/>
    </xf>
    <xf numFmtId="0" fontId="39" fillId="6" borderId="0" xfId="16" applyFont="1" applyFill="1"/>
    <xf numFmtId="49" fontId="45" fillId="0" borderId="0" xfId="16" applyNumberFormat="1" applyFont="1" applyAlignment="1">
      <alignment horizontal="center"/>
    </xf>
    <xf numFmtId="49" fontId="39" fillId="11" borderId="0" xfId="16" applyNumberFormat="1" applyFont="1" applyFill="1" applyAlignment="1">
      <alignment horizontal="center"/>
    </xf>
    <xf numFmtId="0" fontId="41" fillId="6" borderId="0" xfId="16" applyFont="1" applyFill="1" applyAlignment="1">
      <alignment horizontal="center"/>
    </xf>
    <xf numFmtId="43" fontId="39" fillId="0" borderId="0" xfId="1" applyFont="1"/>
    <xf numFmtId="0" fontId="40" fillId="21" borderId="0" xfId="16" quotePrefix="1" applyFont="1" applyFill="1" applyAlignment="1">
      <alignment horizontal="left"/>
    </xf>
    <xf numFmtId="0" fontId="39" fillId="21" borderId="0" xfId="16" applyFont="1" applyFill="1"/>
    <xf numFmtId="174" fontId="39" fillId="21" borderId="0" xfId="16" applyNumberFormat="1" applyFont="1" applyFill="1" applyAlignment="1">
      <alignment horizontal="center"/>
    </xf>
    <xf numFmtId="14" fontId="39" fillId="0" borderId="0" xfId="16" applyNumberFormat="1" applyFont="1" applyAlignment="1">
      <alignment horizontal="center"/>
    </xf>
    <xf numFmtId="0" fontId="40" fillId="5" borderId="2" xfId="0" quotePrefix="1" applyFont="1" applyFill="1" applyBorder="1" applyAlignment="1">
      <alignment horizontal="left"/>
    </xf>
    <xf numFmtId="0" fontId="40" fillId="5" borderId="2" xfId="0" quotePrefix="1" applyFont="1" applyFill="1" applyBorder="1" applyAlignment="1">
      <alignment horizontal="left" indent="1"/>
    </xf>
    <xf numFmtId="0" fontId="40" fillId="5" borderId="2" xfId="0" quotePrefix="1" applyFont="1" applyFill="1" applyBorder="1" applyAlignment="1">
      <alignment horizontal="left" indent="2"/>
    </xf>
    <xf numFmtId="49" fontId="40" fillId="5" borderId="28" xfId="16" quotePrefix="1" applyNumberFormat="1" applyFont="1" applyFill="1" applyBorder="1" applyAlignment="1">
      <alignment horizontal="left"/>
    </xf>
    <xf numFmtId="49" fontId="42" fillId="5" borderId="29" xfId="16" quotePrefix="1" applyNumberFormat="1" applyFont="1" applyFill="1" applyBorder="1" applyAlignment="1">
      <alignment horizontal="center"/>
    </xf>
    <xf numFmtId="49" fontId="40" fillId="5" borderId="0" xfId="16" quotePrefix="1" applyNumberFormat="1" applyFont="1" applyFill="1" applyAlignment="1">
      <alignment horizontal="center"/>
    </xf>
    <xf numFmtId="49" fontId="42" fillId="5" borderId="0" xfId="16" quotePrefix="1" applyNumberFormat="1" applyFont="1" applyFill="1" applyAlignment="1">
      <alignment horizontal="center"/>
    </xf>
    <xf numFmtId="49" fontId="40" fillId="5" borderId="0" xfId="16" quotePrefix="1" applyNumberFormat="1" applyFont="1" applyFill="1" applyAlignment="1">
      <alignment wrapText="1"/>
    </xf>
    <xf numFmtId="0" fontId="40" fillId="5" borderId="0" xfId="16" quotePrefix="1" applyFont="1" applyFill="1" applyAlignment="1">
      <alignment vertical="top" wrapText="1"/>
    </xf>
    <xf numFmtId="0" fontId="40" fillId="5" borderId="0" xfId="0" quotePrefix="1" applyFont="1" applyFill="1" applyAlignment="1">
      <alignment vertical="top" wrapText="1"/>
    </xf>
    <xf numFmtId="0" fontId="40" fillId="5" borderId="26" xfId="0" quotePrefix="1" applyFont="1" applyFill="1" applyBorder="1" applyAlignment="1">
      <alignment horizontal="left" indent="2"/>
    </xf>
    <xf numFmtId="0" fontId="40" fillId="5" borderId="8" xfId="0" quotePrefix="1" applyFont="1" applyFill="1" applyBorder="1" applyAlignment="1">
      <alignment vertical="top" wrapText="1"/>
    </xf>
    <xf numFmtId="43" fontId="39" fillId="0" borderId="0" xfId="20" quotePrefix="1" applyFont="1" applyFill="1" applyBorder="1" applyAlignment="1">
      <alignment horizontal="center"/>
    </xf>
    <xf numFmtId="43" fontId="35" fillId="0" borderId="0" xfId="20" applyFont="1" applyFill="1" applyBorder="1" applyAlignment="1"/>
    <xf numFmtId="43" fontId="36" fillId="20" borderId="0" xfId="1" applyFont="1" applyFill="1"/>
    <xf numFmtId="37" fontId="35" fillId="20" borderId="3" xfId="20" applyNumberFormat="1" applyFont="1" applyFill="1" applyBorder="1" applyAlignment="1"/>
    <xf numFmtId="0" fontId="8" fillId="0" borderId="0" xfId="2" applyFont="1" applyAlignment="1">
      <alignment horizontal="right"/>
    </xf>
    <xf numFmtId="43" fontId="61" fillId="0" borderId="0" xfId="14" applyNumberFormat="1" applyFont="1" applyFill="1"/>
    <xf numFmtId="43" fontId="61" fillId="20" borderId="3" xfId="14" applyNumberFormat="1" applyFont="1" applyFill="1" applyBorder="1"/>
    <xf numFmtId="49" fontId="39" fillId="0" borderId="0" xfId="2" quotePrefix="1" applyNumberFormat="1" applyFont="1" applyFill="1" applyAlignment="1">
      <alignment horizontal="left" indent="1"/>
    </xf>
    <xf numFmtId="43" fontId="39" fillId="0" borderId="0" xfId="2" applyNumberFormat="1" applyFont="1" applyFill="1"/>
    <xf numFmtId="0" fontId="5" fillId="20" borderId="0" xfId="2" applyFont="1" applyFill="1"/>
    <xf numFmtId="0" fontId="7" fillId="20" borderId="0" xfId="2" applyFont="1" applyFill="1" applyAlignment="1">
      <alignment horizontal="center"/>
    </xf>
    <xf numFmtId="0" fontId="8" fillId="20" borderId="0" xfId="2" applyFont="1" applyFill="1" applyAlignment="1">
      <alignment horizontal="right"/>
    </xf>
    <xf numFmtId="0" fontId="78" fillId="7" borderId="3" xfId="23" applyFont="1" applyFill="1" applyBorder="1"/>
    <xf numFmtId="0" fontId="78" fillId="7" borderId="3" xfId="23" applyFont="1" applyFill="1" applyBorder="1" applyAlignment="1">
      <alignment horizontal="center" wrapText="1"/>
    </xf>
    <xf numFmtId="43" fontId="78" fillId="7" borderId="3" xfId="24" applyFont="1" applyFill="1" applyBorder="1" applyAlignment="1">
      <alignment horizontal="center" wrapText="1"/>
    </xf>
    <xf numFmtId="43" fontId="78" fillId="0" borderId="0" xfId="24" applyFont="1" applyFill="1" applyBorder="1" applyAlignment="1">
      <alignment horizontal="center" wrapText="1"/>
    </xf>
    <xf numFmtId="0" fontId="77" fillId="0" borderId="0" xfId="23"/>
    <xf numFmtId="0" fontId="44" fillId="0" borderId="0" xfId="23" applyFont="1"/>
    <xf numFmtId="43" fontId="44" fillId="0" borderId="0" xfId="24" applyFont="1"/>
    <xf numFmtId="43" fontId="0" fillId="0" borderId="0" xfId="24" applyFont="1"/>
    <xf numFmtId="0" fontId="78" fillId="7" borderId="3" xfId="0" applyFont="1" applyFill="1" applyBorder="1"/>
    <xf numFmtId="0" fontId="78" fillId="7" borderId="3" xfId="0" applyFont="1" applyFill="1" applyBorder="1" applyAlignment="1">
      <alignment horizontal="center" wrapText="1"/>
    </xf>
    <xf numFmtId="0" fontId="44" fillId="0" borderId="0" xfId="0" applyFont="1"/>
    <xf numFmtId="0" fontId="44" fillId="7" borderId="0" xfId="0" applyFont="1" applyFill="1"/>
    <xf numFmtId="43" fontId="44" fillId="7" borderId="0" xfId="24" applyFont="1" applyFill="1"/>
    <xf numFmtId="43" fontId="0" fillId="7" borderId="0" xfId="24" applyFont="1" applyFill="1"/>
    <xf numFmtId="0" fontId="78" fillId="7" borderId="3" xfId="0" applyFont="1" applyFill="1" applyBorder="1" applyAlignment="1">
      <alignment horizontal="center"/>
    </xf>
    <xf numFmtId="0" fontId="78" fillId="7" borderId="3" xfId="23" applyFont="1" applyFill="1" applyBorder="1" applyAlignment="1">
      <alignment horizontal="center"/>
    </xf>
    <xf numFmtId="0" fontId="7" fillId="0" borderId="0" xfId="2" quotePrefix="1" applyFont="1" applyAlignment="1">
      <alignment horizontal="left"/>
    </xf>
    <xf numFmtId="0" fontId="7" fillId="0" borderId="0" xfId="0" quotePrefix="1" applyFont="1" applyAlignment="1">
      <alignment horizontal="left"/>
    </xf>
    <xf numFmtId="0" fontId="7" fillId="0" borderId="0" xfId="0" quotePrefix="1" applyFont="1"/>
    <xf numFmtId="49" fontId="44" fillId="22" borderId="0" xfId="2" quotePrefix="1" applyNumberFormat="1" applyFont="1" applyFill="1" applyAlignment="1">
      <alignment horizontal="center" vertical="center"/>
    </xf>
    <xf numFmtId="177" fontId="44" fillId="22" borderId="0" xfId="2" applyNumberFormat="1" applyFont="1" applyFill="1"/>
    <xf numFmtId="177" fontId="44" fillId="22" borderId="0" xfId="2" quotePrefix="1" applyNumberFormat="1" applyFont="1" applyFill="1" applyAlignment="1">
      <alignment horizontal="left"/>
    </xf>
    <xf numFmtId="43" fontId="31" fillId="6" borderId="4" xfId="1" applyFont="1" applyFill="1" applyBorder="1" applyAlignment="1">
      <alignment horizontal="left" indent="3"/>
    </xf>
    <xf numFmtId="43" fontId="31" fillId="6" borderId="0" xfId="20" applyFont="1" applyFill="1" applyBorder="1" applyAlignment="1"/>
    <xf numFmtId="43" fontId="31" fillId="6" borderId="4" xfId="20" applyFont="1" applyFill="1" applyBorder="1" applyAlignment="1"/>
    <xf numFmtId="43" fontId="31" fillId="0" borderId="0" xfId="1" applyFont="1" applyBorder="1" applyAlignment="1">
      <alignment horizontal="right"/>
    </xf>
    <xf numFmtId="17" fontId="47" fillId="0" borderId="0" xfId="16" applyNumberFormat="1" applyFont="1"/>
    <xf numFmtId="0" fontId="77" fillId="0" borderId="0" xfId="23" applyAlignment="1">
      <alignment horizontal="right"/>
    </xf>
    <xf numFmtId="43" fontId="77" fillId="0" borderId="0" xfId="1" applyFont="1"/>
    <xf numFmtId="43" fontId="80" fillId="0" borderId="0" xfId="1" applyFont="1"/>
    <xf numFmtId="0" fontId="80" fillId="0" borderId="0" xfId="23" applyFont="1" applyAlignment="1">
      <alignment horizontal="right"/>
    </xf>
    <xf numFmtId="43" fontId="34" fillId="0" borderId="0" xfId="14" applyNumberFormat="1" applyFont="1" applyFill="1"/>
    <xf numFmtId="0" fontId="70" fillId="7" borderId="0" xfId="16" quotePrefix="1" applyFont="1" applyFill="1" applyAlignment="1">
      <alignment horizontal="left" indent="1"/>
    </xf>
    <xf numFmtId="0" fontId="42" fillId="7" borderId="0" xfId="16" applyFont="1" applyFill="1"/>
    <xf numFmtId="184" fontId="36" fillId="16" borderId="0" xfId="20" applyNumberFormat="1" applyFont="1" applyFill="1" applyBorder="1" applyAlignment="1"/>
    <xf numFmtId="1" fontId="39" fillId="0" borderId="0" xfId="2" applyNumberFormat="1" applyFont="1" applyFill="1" applyAlignment="1">
      <alignment horizontal="center"/>
    </xf>
    <xf numFmtId="1" fontId="39" fillId="0" borderId="0" xfId="2" applyNumberFormat="1" applyFont="1" applyFill="1"/>
    <xf numFmtId="43" fontId="44" fillId="2" borderId="0" xfId="24" applyFont="1" applyFill="1"/>
    <xf numFmtId="44" fontId="5" fillId="20" borderId="0" xfId="4" applyFont="1" applyFill="1" applyBorder="1"/>
    <xf numFmtId="0" fontId="1" fillId="0" borderId="0" xfId="14" applyFill="1" applyAlignment="1">
      <alignment horizontal="center"/>
    </xf>
    <xf numFmtId="0" fontId="1" fillId="0" borderId="0" xfId="14" applyFill="1"/>
    <xf numFmtId="43" fontId="1" fillId="0" borderId="0" xfId="1" applyFill="1" applyAlignment="1">
      <alignment horizontal="center"/>
    </xf>
    <xf numFmtId="0" fontId="34" fillId="7" borderId="0" xfId="14" applyFont="1" applyFill="1" applyAlignment="1">
      <alignment horizontal="center" wrapText="1"/>
    </xf>
    <xf numFmtId="0" fontId="5" fillId="0" borderId="5" xfId="2" applyFont="1" applyBorder="1" applyAlignment="1">
      <alignment horizontal="left" indent="3"/>
    </xf>
    <xf numFmtId="0" fontId="5" fillId="0" borderId="3" xfId="2" applyFont="1" applyBorder="1" applyAlignment="1">
      <alignment horizontal="left" wrapText="1"/>
    </xf>
    <xf numFmtId="0" fontId="5" fillId="0" borderId="0" xfId="2" applyFont="1" applyAlignment="1">
      <alignment horizontal="left" indent="3"/>
    </xf>
    <xf numFmtId="0" fontId="5" fillId="0" borderId="5" xfId="2" applyFont="1" applyBorder="1" applyAlignment="1">
      <alignment horizontal="left" wrapText="1" indent="3"/>
    </xf>
    <xf numFmtId="0" fontId="5" fillId="0" borderId="3" xfId="2" applyFont="1" applyBorder="1" applyAlignment="1">
      <alignment horizontal="left" indent="3"/>
    </xf>
    <xf numFmtId="0" fontId="5" fillId="0" borderId="0" xfId="2" applyFont="1" applyAlignment="1">
      <alignment horizontal="center"/>
    </xf>
    <xf numFmtId="166" fontId="5" fillId="0" borderId="0" xfId="2" applyNumberFormat="1" applyFont="1" applyAlignment="1">
      <alignment horizontal="center"/>
    </xf>
    <xf numFmtId="0" fontId="11" fillId="0" borderId="0" xfId="2" applyFont="1" applyAlignment="1">
      <alignment horizontal="center"/>
    </xf>
    <xf numFmtId="0" fontId="5" fillId="5" borderId="0" xfId="0" applyFont="1" applyFill="1" applyAlignment="1">
      <alignment horizontal="center"/>
    </xf>
    <xf numFmtId="4" fontId="5" fillId="5" borderId="0" xfId="0" applyNumberFormat="1" applyFont="1" applyFill="1" applyAlignment="1">
      <alignment horizontal="left" indent="2"/>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0" fontId="5" fillId="5" borderId="3" xfId="0" applyFont="1" applyFill="1" applyBorder="1" applyAlignment="1">
      <alignment horizontal="left" wrapText="1"/>
    </xf>
    <xf numFmtId="0" fontId="5" fillId="5" borderId="0" xfId="0" applyFont="1" applyFill="1" applyAlignment="1">
      <alignment horizontal="left" indent="3"/>
    </xf>
    <xf numFmtId="0" fontId="23" fillId="0" borderId="0" xfId="2" applyFont="1" applyAlignment="1">
      <alignment horizontal="left"/>
    </xf>
    <xf numFmtId="0" fontId="5" fillId="0" borderId="0" xfId="2" applyFont="1" applyAlignment="1">
      <alignment horizontal="left"/>
    </xf>
    <xf numFmtId="0" fontId="5" fillId="0" borderId="0" xfId="2" applyFont="1" applyAlignment="1">
      <alignment horizontal="left" indent="2"/>
    </xf>
    <xf numFmtId="0" fontId="5" fillId="5" borderId="0" xfId="0" applyFont="1" applyFill="1" applyAlignment="1">
      <alignment horizontal="left"/>
    </xf>
    <xf numFmtId="2" fontId="5" fillId="5" borderId="0" xfId="0" applyNumberFormat="1" applyFont="1" applyFill="1" applyAlignment="1">
      <alignment horizontal="center"/>
    </xf>
    <xf numFmtId="0" fontId="5" fillId="5" borderId="0" xfId="0" applyFont="1" applyFill="1" applyAlignment="1">
      <alignment horizontal="right"/>
    </xf>
    <xf numFmtId="0" fontId="5" fillId="0" borderId="0" xfId="2" applyFont="1" applyAlignment="1">
      <alignment horizontal="right"/>
    </xf>
    <xf numFmtId="3" fontId="5" fillId="0" borderId="0" xfId="2" quotePrefix="1" applyNumberFormat="1" applyFont="1" applyAlignment="1">
      <alignment horizontal="center"/>
    </xf>
    <xf numFmtId="0" fontId="5" fillId="5" borderId="0" xfId="0" applyFont="1" applyFill="1" applyAlignment="1">
      <alignment horizontal="left" indent="2"/>
    </xf>
    <xf numFmtId="0" fontId="5" fillId="5" borderId="5" xfId="0" applyFont="1" applyFill="1" applyBorder="1" applyAlignment="1">
      <alignment horizontal="left" indent="3"/>
    </xf>
    <xf numFmtId="166" fontId="5" fillId="5" borderId="0" xfId="0" applyNumberFormat="1" applyFont="1" applyFill="1" applyAlignment="1">
      <alignment horizontal="center"/>
    </xf>
    <xf numFmtId="170" fontId="5" fillId="5" borderId="0" xfId="6" applyFont="1" applyFill="1" applyBorder="1" applyAlignment="1">
      <alignment horizontal="right"/>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5" fillId="5" borderId="3" xfId="0" applyFont="1" applyFill="1" applyBorder="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4" fontId="5" fillId="0" borderId="0" xfId="2" quotePrefix="1" applyNumberFormat="1" applyFont="1" applyAlignment="1">
      <alignment horizontal="center"/>
    </xf>
    <xf numFmtId="3" fontId="5" fillId="5" borderId="0" xfId="0" quotePrefix="1" applyNumberFormat="1" applyFont="1" applyFill="1" applyAlignment="1">
      <alignment horizontal="center"/>
    </xf>
    <xf numFmtId="0" fontId="5" fillId="0" borderId="0" xfId="2" applyFont="1" applyAlignment="1">
      <alignment horizontal="left" wrapText="1"/>
    </xf>
    <xf numFmtId="0" fontId="5" fillId="0" borderId="3" xfId="2" applyFont="1" applyBorder="1" applyAlignment="1">
      <alignment horizontal="center"/>
    </xf>
    <xf numFmtId="0" fontId="5" fillId="0" borderId="3" xfId="2" applyFont="1" applyBorder="1" applyAlignment="1">
      <alignment horizontal="center" wrapText="1"/>
    </xf>
    <xf numFmtId="2" fontId="5" fillId="0" borderId="0" xfId="2" applyNumberFormat="1" applyFont="1" applyAlignment="1">
      <alignment horizontal="center"/>
    </xf>
    <xf numFmtId="4" fontId="5" fillId="0" borderId="0" xfId="2" applyNumberFormat="1" applyFont="1" applyAlignment="1">
      <alignment horizontal="left" indent="2"/>
    </xf>
    <xf numFmtId="0" fontId="9" fillId="0" borderId="0" xfId="2" applyFont="1" applyAlignment="1">
      <alignment horizontal="center"/>
    </xf>
    <xf numFmtId="0" fontId="9" fillId="0" borderId="0" xfId="2" applyFont="1" applyAlignment="1">
      <alignment horizontal="left"/>
    </xf>
    <xf numFmtId="165" fontId="5" fillId="0" borderId="0" xfId="2" applyNumberFormat="1" applyFont="1" applyAlignment="1">
      <alignment horizontal="left"/>
    </xf>
    <xf numFmtId="43" fontId="35" fillId="6" borderId="0" xfId="1" applyFont="1" applyFill="1" applyBorder="1" applyAlignment="1"/>
    <xf numFmtId="0" fontId="44" fillId="6" borderId="0" xfId="0" applyFont="1" applyFill="1"/>
    <xf numFmtId="43" fontId="44" fillId="6" borderId="0" xfId="24" applyFont="1" applyFill="1"/>
    <xf numFmtId="43" fontId="44" fillId="23" borderId="0" xfId="24" applyFont="1" applyFill="1"/>
    <xf numFmtId="0" fontId="44" fillId="23" borderId="0" xfId="23" applyFont="1" applyFill="1"/>
    <xf numFmtId="0" fontId="5" fillId="0" borderId="0" xfId="2" applyFont="1" applyAlignment="1">
      <alignment horizontal="center"/>
    </xf>
    <xf numFmtId="2" fontId="34" fillId="20" borderId="0" xfId="0" quotePrefix="1" applyNumberFormat="1" applyFont="1" applyFill="1" applyAlignment="1">
      <alignment horizontal="center"/>
    </xf>
    <xf numFmtId="0" fontId="0" fillId="0" borderId="0" xfId="0" applyAlignment="1">
      <alignment horizontal="right"/>
    </xf>
    <xf numFmtId="2" fontId="0" fillId="0" borderId="0" xfId="0" applyNumberFormat="1"/>
    <xf numFmtId="2" fontId="0" fillId="0" borderId="0" xfId="1" applyNumberFormat="1" applyFont="1" applyFill="1"/>
    <xf numFmtId="2" fontId="0" fillId="0" borderId="0" xfId="1" applyNumberFormat="1" applyFont="1"/>
    <xf numFmtId="0" fontId="34" fillId="0" borderId="5" xfId="0" applyFont="1" applyBorder="1" applyAlignment="1">
      <alignment horizontal="right"/>
    </xf>
    <xf numFmtId="43" fontId="34" fillId="0" borderId="5" xfId="1" applyFont="1" applyFill="1" applyBorder="1"/>
    <xf numFmtId="0" fontId="81" fillId="7" borderId="11" xfId="0" applyFont="1" applyFill="1" applyBorder="1" applyAlignment="1">
      <alignment horizontal="center"/>
    </xf>
    <xf numFmtId="2" fontId="81" fillId="24" borderId="11" xfId="0" applyNumberFormat="1" applyFont="1" applyFill="1" applyBorder="1" applyAlignment="1">
      <alignment horizontal="center"/>
    </xf>
    <xf numFmtId="0" fontId="82" fillId="0" borderId="0" xfId="23" applyFont="1"/>
    <xf numFmtId="0" fontId="34" fillId="23" borderId="0" xfId="0" applyFont="1" applyFill="1"/>
    <xf numFmtId="43" fontId="31" fillId="6" borderId="3" xfId="1" applyFont="1" applyFill="1" applyBorder="1" applyAlignment="1">
      <alignment horizontal="left" indent="3"/>
    </xf>
    <xf numFmtId="2" fontId="5" fillId="0" borderId="5" xfId="2" applyNumberFormat="1" applyFont="1" applyBorder="1" applyAlignment="1">
      <alignment horizontal="right"/>
    </xf>
    <xf numFmtId="43" fontId="5" fillId="0" borderId="5" xfId="1" applyFont="1" applyBorder="1" applyAlignment="1">
      <alignment horizontal="right"/>
    </xf>
    <xf numFmtId="43" fontId="31" fillId="6" borderId="0" xfId="1" applyFont="1" applyFill="1" applyBorder="1" applyAlignment="1">
      <alignment horizontal="left" indent="3"/>
    </xf>
    <xf numFmtId="2" fontId="31" fillId="0" borderId="5" xfId="2" applyNumberFormat="1" applyFont="1" applyBorder="1" applyAlignment="1">
      <alignment horizontal="right"/>
    </xf>
    <xf numFmtId="43" fontId="31" fillId="0" borderId="5" xfId="1" applyFont="1" applyBorder="1" applyAlignment="1">
      <alignment horizontal="right"/>
    </xf>
    <xf numFmtId="43" fontId="75" fillId="6" borderId="0" xfId="20" applyFont="1" applyFill="1" applyBorder="1" applyAlignment="1"/>
    <xf numFmtId="43" fontId="4" fillId="6" borderId="0" xfId="20" applyFont="1" applyFill="1" applyBorder="1" applyAlignment="1"/>
    <xf numFmtId="43" fontId="5" fillId="0" borderId="5" xfId="2" applyNumberFormat="1" applyFont="1" applyBorder="1" applyAlignment="1">
      <alignment horizontal="right"/>
    </xf>
    <xf numFmtId="43" fontId="5" fillId="0" borderId="5" xfId="1" applyNumberFormat="1" applyFont="1" applyBorder="1" applyAlignment="1">
      <alignment horizontal="right"/>
    </xf>
    <xf numFmtId="43" fontId="31" fillId="6" borderId="0" xfId="1" applyFont="1" applyFill="1" applyBorder="1" applyAlignment="1">
      <alignment horizontal="left" vertical="center" wrapText="1" indent="3"/>
    </xf>
    <xf numFmtId="0" fontId="82" fillId="0" borderId="0" xfId="23" applyFont="1" applyAlignment="1">
      <alignment horizontal="right"/>
    </xf>
    <xf numFmtId="0" fontId="34" fillId="23" borderId="0" xfId="0" applyFont="1" applyFill="1" applyAlignment="1">
      <alignment horizontal="center"/>
    </xf>
    <xf numFmtId="43" fontId="0" fillId="0" borderId="0" xfId="1" applyFont="1"/>
    <xf numFmtId="43" fontId="82" fillId="0" borderId="0" xfId="1" applyFont="1" applyAlignment="1">
      <alignment horizontal="right"/>
    </xf>
    <xf numFmtId="43" fontId="82" fillId="0" borderId="0" xfId="1" applyFont="1"/>
    <xf numFmtId="2" fontId="83" fillId="7" borderId="5" xfId="0" applyNumberFormat="1" applyFont="1" applyFill="1" applyBorder="1"/>
    <xf numFmtId="43" fontId="83" fillId="7" borderId="5" xfId="1" applyFont="1" applyFill="1" applyBorder="1"/>
    <xf numFmtId="0" fontId="1" fillId="6" borderId="0" xfId="14" applyFill="1"/>
    <xf numFmtId="0" fontId="33" fillId="6" borderId="0" xfId="14" applyFont="1" applyFill="1" applyAlignment="1">
      <alignment horizontal="center"/>
    </xf>
    <xf numFmtId="0" fontId="33" fillId="6" borderId="0" xfId="14" applyFont="1" applyFill="1"/>
    <xf numFmtId="0" fontId="1" fillId="6" borderId="0" xfId="14" applyFill="1" applyAlignment="1">
      <alignment horizontal="center"/>
    </xf>
    <xf numFmtId="2" fontId="82" fillId="0" borderId="0" xfId="1" applyNumberFormat="1" applyFont="1"/>
    <xf numFmtId="2" fontId="81" fillId="24" borderId="11" xfId="1" applyNumberFormat="1" applyFont="1" applyFill="1" applyBorder="1" applyAlignment="1">
      <alignment horizontal="center"/>
    </xf>
    <xf numFmtId="2" fontId="34" fillId="20" borderId="0" xfId="1" quotePrefix="1" applyNumberFormat="1" applyFont="1" applyFill="1" applyAlignment="1">
      <alignment horizontal="center"/>
    </xf>
    <xf numFmtId="41" fontId="41" fillId="0" borderId="0" xfId="20" quotePrefix="1" applyNumberFormat="1" applyFont="1" applyFill="1" applyBorder="1" applyAlignment="1">
      <alignment horizontal="center"/>
    </xf>
    <xf numFmtId="10" fontId="39" fillId="0" borderId="0" xfId="19" applyNumberFormat="1" applyFont="1" applyFill="1" applyBorder="1"/>
    <xf numFmtId="10" fontId="39" fillId="0" borderId="0" xfId="19" applyNumberFormat="1" applyFont="1" applyFill="1"/>
    <xf numFmtId="43" fontId="39" fillId="0" borderId="0" xfId="16" applyNumberFormat="1" applyFont="1" applyFill="1" applyBorder="1"/>
    <xf numFmtId="43" fontId="39" fillId="0" borderId="0" xfId="17" applyFont="1" applyFill="1" applyBorder="1"/>
    <xf numFmtId="43" fontId="39" fillId="0" borderId="0" xfId="16" applyNumberFormat="1" applyFont="1" applyFill="1"/>
    <xf numFmtId="0" fontId="39" fillId="0" borderId="0" xfId="16" applyFont="1" applyFill="1"/>
    <xf numFmtId="43" fontId="34" fillId="0" borderId="5" xfId="15" applyFont="1" applyBorder="1"/>
    <xf numFmtId="43" fontId="64" fillId="0" borderId="5" xfId="15" applyFont="1" applyBorder="1"/>
    <xf numFmtId="43" fontId="64" fillId="0" borderId="5" xfId="20" applyFont="1" applyBorder="1"/>
    <xf numFmtId="43" fontId="34" fillId="0" borderId="5" xfId="20" applyFont="1" applyBorder="1"/>
    <xf numFmtId="43" fontId="34" fillId="0" borderId="5" xfId="14" applyNumberFormat="1" applyFont="1" applyBorder="1"/>
    <xf numFmtId="0" fontId="0" fillId="20" borderId="0" xfId="0" applyFill="1" applyAlignment="1">
      <alignment horizontal="right"/>
    </xf>
    <xf numFmtId="0" fontId="82" fillId="20" borderId="0" xfId="23" applyFont="1" applyFill="1" applyAlignment="1">
      <alignment horizontal="right"/>
    </xf>
    <xf numFmtId="49" fontId="44" fillId="0" borderId="0" xfId="2" quotePrefix="1" applyNumberFormat="1" applyFont="1" applyBorder="1" applyAlignment="1">
      <alignment horizontal="center" vertical="center"/>
    </xf>
    <xf numFmtId="177" fontId="44" fillId="0" borderId="0" xfId="2" quotePrefix="1" applyNumberFormat="1" applyFont="1" applyBorder="1" applyAlignment="1">
      <alignment horizontal="left"/>
    </xf>
    <xf numFmtId="0" fontId="40" fillId="0" borderId="15" xfId="16" applyFont="1" applyBorder="1" applyAlignment="1">
      <alignment horizontal="center"/>
    </xf>
    <xf numFmtId="0" fontId="40" fillId="0" borderId="5" xfId="16" applyFont="1" applyBorder="1" applyAlignment="1">
      <alignment horizontal="center"/>
    </xf>
    <xf numFmtId="0" fontId="40" fillId="0" borderId="14" xfId="16" applyFont="1" applyBorder="1" applyAlignment="1">
      <alignment horizontal="center"/>
    </xf>
    <xf numFmtId="0" fontId="40" fillId="0" borderId="11" xfId="16" applyFont="1" applyBorder="1" applyAlignment="1">
      <alignment horizontal="center"/>
    </xf>
    <xf numFmtId="0" fontId="40" fillId="0" borderId="0" xfId="16" quotePrefix="1" applyFont="1" applyAlignment="1">
      <alignment horizontal="center"/>
    </xf>
    <xf numFmtId="0" fontId="42" fillId="0" borderId="21" xfId="16" quotePrefix="1" applyFont="1" applyBorder="1" applyAlignment="1">
      <alignment horizontal="center"/>
    </xf>
    <xf numFmtId="0" fontId="42" fillId="0" borderId="22" xfId="16" quotePrefix="1" applyFont="1" applyBorder="1" applyAlignment="1">
      <alignment horizontal="center"/>
    </xf>
    <xf numFmtId="0" fontId="42" fillId="0" borderId="23" xfId="16" quotePrefix="1" applyFont="1" applyBorder="1" applyAlignment="1">
      <alignment horizontal="center"/>
    </xf>
    <xf numFmtId="43" fontId="40" fillId="0" borderId="11" xfId="17" quotePrefix="1" applyFont="1" applyBorder="1" applyAlignment="1">
      <alignment horizontal="center"/>
    </xf>
    <xf numFmtId="0" fontId="40" fillId="0" borderId="11" xfId="16" quotePrefix="1" applyFont="1" applyBorder="1" applyAlignment="1">
      <alignment horizontal="center"/>
    </xf>
    <xf numFmtId="49" fontId="42" fillId="0" borderId="11" xfId="2" quotePrefix="1" applyNumberFormat="1" applyFont="1" applyBorder="1" applyAlignment="1">
      <alignment horizontal="center"/>
    </xf>
    <xf numFmtId="49" fontId="42" fillId="0" borderId="11" xfId="2" applyNumberFormat="1" applyFont="1" applyBorder="1" applyAlignment="1">
      <alignment horizontal="center"/>
    </xf>
    <xf numFmtId="0" fontId="36" fillId="0" borderId="3" xfId="16" quotePrefix="1" applyFont="1" applyBorder="1" applyAlignment="1">
      <alignment horizontal="center"/>
    </xf>
    <xf numFmtId="164" fontId="36" fillId="0" borderId="5" xfId="16" quotePrefix="1" applyNumberFormat="1" applyFont="1" applyBorder="1" applyAlignment="1">
      <alignment horizontal="center"/>
    </xf>
    <xf numFmtId="0" fontId="36" fillId="0" borderId="4" xfId="16" applyFont="1" applyBorder="1" applyAlignment="1">
      <alignment horizontal="left"/>
    </xf>
    <xf numFmtId="164" fontId="36" fillId="0" borderId="0" xfId="16" applyNumberFormat="1" applyFont="1" applyAlignment="1">
      <alignment horizontal="center"/>
    </xf>
    <xf numFmtId="0" fontId="36" fillId="0" borderId="0" xfId="16" applyFont="1" applyAlignment="1">
      <alignment horizontal="left"/>
    </xf>
    <xf numFmtId="0" fontId="47" fillId="0" borderId="2" xfId="16" applyFont="1" applyBorder="1" applyAlignment="1">
      <alignment horizontal="left"/>
    </xf>
    <xf numFmtId="0" fontId="47" fillId="0" borderId="0" xfId="16" applyFont="1" applyAlignment="1">
      <alignment horizontal="left"/>
    </xf>
    <xf numFmtId="4" fontId="36" fillId="0" borderId="0" xfId="16" applyNumberFormat="1" applyFont="1"/>
    <xf numFmtId="4" fontId="47" fillId="0" borderId="0" xfId="16" applyNumberFormat="1" applyFont="1" applyAlignment="1">
      <alignment horizontal="left"/>
    </xf>
    <xf numFmtId="164" fontId="36" fillId="0" borderId="0" xfId="16" applyNumberFormat="1" applyFont="1" applyAlignment="1">
      <alignment horizontal="center" wrapText="1"/>
    </xf>
    <xf numFmtId="0" fontId="36" fillId="0" borderId="3" xfId="16" applyFont="1" applyBorder="1" applyAlignment="1">
      <alignment horizontal="left" wrapText="1"/>
    </xf>
    <xf numFmtId="164" fontId="36" fillId="0" borderId="3" xfId="16" applyNumberFormat="1" applyFont="1" applyBorder="1" applyAlignment="1">
      <alignment horizontal="center" wrapText="1"/>
    </xf>
    <xf numFmtId="0" fontId="31" fillId="0" borderId="0" xfId="2" applyFont="1" applyAlignment="1">
      <alignment horizontal="left"/>
    </xf>
    <xf numFmtId="0" fontId="36" fillId="0" borderId="0" xfId="16" quotePrefix="1" applyFont="1" applyAlignment="1">
      <alignment horizontal="left" indent="2"/>
    </xf>
    <xf numFmtId="0" fontId="36" fillId="0" borderId="0" xfId="16" applyFont="1" applyAlignment="1">
      <alignment horizontal="left" indent="2"/>
    </xf>
    <xf numFmtId="0" fontId="36" fillId="0" borderId="0" xfId="16" applyFont="1" applyAlignment="1">
      <alignment horizontal="left" wrapText="1"/>
    </xf>
    <xf numFmtId="2" fontId="36" fillId="0" borderId="4" xfId="16" applyNumberFormat="1" applyFont="1" applyBorder="1" applyAlignment="1">
      <alignment horizontal="center"/>
    </xf>
    <xf numFmtId="0" fontId="36" fillId="0" borderId="0" xfId="16" quotePrefix="1" applyFont="1" applyAlignment="1">
      <alignment horizontal="left"/>
    </xf>
    <xf numFmtId="0" fontId="36" fillId="0" borderId="0" xfId="16" quotePrefix="1" applyFont="1" applyAlignment="1">
      <alignment horizontal="center"/>
    </xf>
    <xf numFmtId="0" fontId="49" fillId="0" borderId="0" xfId="16" quotePrefix="1" applyFont="1" applyAlignment="1">
      <alignment horizontal="right"/>
    </xf>
    <xf numFmtId="0" fontId="49" fillId="0" borderId="0" xfId="16" quotePrefix="1" applyFont="1" applyAlignment="1">
      <alignment horizontal="center"/>
    </xf>
    <xf numFmtId="0" fontId="48" fillId="0" borderId="4" xfId="16" applyFont="1" applyBorder="1" applyAlignment="1">
      <alignment horizontal="left" vertical="center" wrapText="1"/>
    </xf>
    <xf numFmtId="0" fontId="48" fillId="0" borderId="0" xfId="16" applyFont="1" applyAlignment="1">
      <alignment horizontal="left" vertical="center" wrapText="1"/>
    </xf>
    <xf numFmtId="0" fontId="36" fillId="0" borderId="0" xfId="16" applyFont="1" applyAlignment="1">
      <alignment horizontal="right"/>
    </xf>
    <xf numFmtId="0" fontId="36" fillId="0" borderId="0" xfId="16" applyFont="1" applyAlignment="1">
      <alignment horizontal="center"/>
    </xf>
    <xf numFmtId="0" fontId="36" fillId="0" borderId="3" xfId="16" applyFont="1" applyBorder="1" applyAlignment="1">
      <alignment horizontal="center"/>
    </xf>
    <xf numFmtId="180" fontId="36" fillId="0" borderId="0" xfId="16" applyNumberFormat="1" applyFont="1"/>
    <xf numFmtId="180" fontId="36" fillId="0" borderId="10" xfId="16" applyNumberFormat="1" applyFont="1" applyBorder="1"/>
    <xf numFmtId="0" fontId="36" fillId="0" borderId="0" xfId="16" quotePrefix="1" applyFont="1" applyAlignment="1">
      <alignment horizontal="left" wrapText="1"/>
    </xf>
    <xf numFmtId="0" fontId="5" fillId="0" borderId="5" xfId="2" applyFont="1" applyBorder="1" applyAlignment="1">
      <alignment horizontal="left" indent="3"/>
    </xf>
    <xf numFmtId="0" fontId="36" fillId="0" borderId="4" xfId="16" applyFont="1" applyBorder="1" applyAlignment="1">
      <alignment horizontal="left" indent="2"/>
    </xf>
    <xf numFmtId="7" fontId="36" fillId="0" borderId="4" xfId="16" applyNumberFormat="1" applyFont="1" applyBorder="1" applyAlignment="1">
      <alignment horizontal="right"/>
    </xf>
    <xf numFmtId="2" fontId="58" fillId="0" borderId="0" xfId="16" applyNumberFormat="1" applyFont="1" applyAlignment="1">
      <alignment horizontal="left" indent="3"/>
    </xf>
    <xf numFmtId="4" fontId="36" fillId="0" borderId="0" xfId="16" quotePrefix="1" applyNumberFormat="1" applyFont="1" applyAlignment="1">
      <alignment horizontal="center"/>
    </xf>
    <xf numFmtId="0" fontId="49" fillId="0" borderId="0" xfId="16" applyFont="1" applyAlignment="1">
      <alignment horizontal="right"/>
    </xf>
    <xf numFmtId="0" fontId="23" fillId="0" borderId="0" xfId="16" applyFont="1" applyAlignment="1">
      <alignment horizontal="left" vertical="center"/>
    </xf>
    <xf numFmtId="0" fontId="23" fillId="0" borderId="0" xfId="16" applyFont="1" applyAlignment="1">
      <alignment horizontal="left" vertical="center" wrapText="1"/>
    </xf>
    <xf numFmtId="7" fontId="36" fillId="0" borderId="0" xfId="16" applyNumberFormat="1" applyFont="1" applyAlignment="1">
      <alignment horizontal="right"/>
    </xf>
    <xf numFmtId="0" fontId="36" fillId="4" borderId="3" xfId="16" applyFont="1" applyFill="1" applyBorder="1" applyAlignment="1">
      <alignment horizontal="center"/>
    </xf>
    <xf numFmtId="3" fontId="36" fillId="0" borderId="0" xfId="16" quotePrefix="1" applyNumberFormat="1" applyFont="1" applyAlignment="1">
      <alignment horizontal="center"/>
    </xf>
    <xf numFmtId="0" fontId="27" fillId="0" borderId="0" xfId="16" applyFont="1" applyAlignment="1">
      <alignment horizontal="left" vertical="center" wrapText="1"/>
    </xf>
    <xf numFmtId="0" fontId="28" fillId="0" borderId="0" xfId="16" applyFont="1" applyAlignment="1">
      <alignment horizontal="left" vertical="center" wrapText="1"/>
    </xf>
    <xf numFmtId="0" fontId="28" fillId="0" borderId="0" xfId="16" applyFont="1" applyAlignment="1">
      <alignment horizontal="left" vertical="center"/>
    </xf>
    <xf numFmtId="0" fontId="5" fillId="0" borderId="3" xfId="2" applyFont="1" applyBorder="1" applyAlignment="1">
      <alignment horizontal="left" wrapText="1"/>
    </xf>
    <xf numFmtId="2" fontId="11" fillId="0" borderId="3" xfId="2" applyNumberFormat="1" applyFont="1" applyBorder="1" applyAlignment="1">
      <alignment horizontal="center" wrapText="1"/>
    </xf>
    <xf numFmtId="2" fontId="11" fillId="0" borderId="3" xfId="2" applyNumberFormat="1" applyFont="1" applyBorder="1" applyAlignment="1">
      <alignment horizontal="center"/>
    </xf>
    <xf numFmtId="0" fontId="5" fillId="0" borderId="0" xfId="2" applyFont="1" applyAlignment="1">
      <alignment horizontal="left" indent="3"/>
    </xf>
    <xf numFmtId="0" fontId="5" fillId="0" borderId="5" xfId="2" applyFont="1" applyBorder="1" applyAlignment="1">
      <alignment horizontal="left" wrapText="1" indent="3"/>
    </xf>
    <xf numFmtId="0" fontId="5" fillId="0" borderId="3" xfId="2" applyFont="1" applyBorder="1" applyAlignment="1">
      <alignment horizontal="left" indent="3"/>
    </xf>
    <xf numFmtId="2" fontId="11" fillId="5" borderId="5" xfId="2" applyNumberFormat="1" applyFont="1" applyFill="1" applyBorder="1" applyAlignment="1">
      <alignment horizontal="center"/>
    </xf>
    <xf numFmtId="0" fontId="5" fillId="0" borderId="0" xfId="2" applyFont="1" applyAlignment="1">
      <alignment horizontal="center"/>
    </xf>
    <xf numFmtId="166" fontId="5" fillId="0" borderId="0" xfId="2" applyNumberFormat="1" applyFont="1" applyAlignment="1">
      <alignment horizontal="center"/>
    </xf>
    <xf numFmtId="0" fontId="11" fillId="0" borderId="3" xfId="2" applyFont="1" applyBorder="1" applyAlignment="1">
      <alignment horizontal="center"/>
    </xf>
    <xf numFmtId="0" fontId="28" fillId="0" borderId="0" xfId="2" applyFont="1" applyAlignment="1">
      <alignment horizontal="left"/>
    </xf>
    <xf numFmtId="0" fontId="11" fillId="0" borderId="0" xfId="2" applyFont="1" applyAlignment="1">
      <alignment horizontal="center"/>
    </xf>
    <xf numFmtId="0" fontId="4" fillId="5" borderId="2" xfId="0" applyFont="1" applyFill="1" applyBorder="1" applyAlignment="1">
      <alignment horizontal="left"/>
    </xf>
    <xf numFmtId="0" fontId="4" fillId="5" borderId="0" xfId="0" applyFont="1" applyFill="1" applyAlignment="1">
      <alignment horizontal="left"/>
    </xf>
    <xf numFmtId="0" fontId="7" fillId="5" borderId="0" xfId="0" applyFont="1" applyFill="1" applyAlignment="1">
      <alignment horizontal="left"/>
    </xf>
    <xf numFmtId="0" fontId="5" fillId="5" borderId="0" xfId="0" applyFont="1" applyFill="1" applyAlignment="1">
      <alignment horizontal="center"/>
    </xf>
    <xf numFmtId="4" fontId="5" fillId="5" borderId="0" xfId="0" applyNumberFormat="1" applyFont="1" applyFill="1" applyAlignment="1">
      <alignment horizontal="left" indent="2"/>
    </xf>
    <xf numFmtId="4" fontId="4" fillId="5" borderId="0" xfId="0" applyNumberFormat="1" applyFont="1" applyFill="1" applyAlignment="1">
      <alignment horizontal="left"/>
    </xf>
    <xf numFmtId="4" fontId="5" fillId="5" borderId="0" xfId="0" applyNumberFormat="1" applyFont="1" applyFill="1" applyAlignment="1">
      <alignment horizontal="left"/>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164" fontId="5" fillId="5" borderId="0" xfId="0" applyNumberFormat="1" applyFont="1" applyFill="1" applyAlignment="1">
      <alignment horizontal="center" wrapText="1"/>
    </xf>
    <xf numFmtId="0" fontId="5" fillId="5" borderId="3" xfId="0" applyFont="1" applyFill="1" applyBorder="1" applyAlignment="1">
      <alignment horizontal="left" wrapText="1"/>
    </xf>
    <xf numFmtId="0" fontId="3" fillId="5" borderId="3" xfId="0" applyFont="1" applyFill="1" applyBorder="1" applyAlignment="1">
      <alignment horizontal="center" wrapText="1"/>
    </xf>
    <xf numFmtId="164" fontId="5" fillId="5" borderId="3" xfId="0" applyNumberFormat="1" applyFont="1" applyFill="1" applyBorder="1" applyAlignment="1">
      <alignment horizontal="center" wrapText="1"/>
    </xf>
    <xf numFmtId="0" fontId="5" fillId="5" borderId="3" xfId="0" quotePrefix="1" applyFont="1" applyFill="1" applyBorder="1" applyAlignment="1">
      <alignment horizontal="center"/>
    </xf>
    <xf numFmtId="0" fontId="3" fillId="5" borderId="3" xfId="0" quotePrefix="1" applyFont="1" applyFill="1" applyBorder="1" applyAlignment="1">
      <alignment horizontal="center"/>
    </xf>
    <xf numFmtId="164" fontId="5" fillId="5" borderId="3" xfId="0" quotePrefix="1" applyNumberFormat="1" applyFont="1" applyFill="1" applyBorder="1" applyAlignment="1">
      <alignment horizontal="center"/>
    </xf>
    <xf numFmtId="0" fontId="5" fillId="5" borderId="4" xfId="0" applyFont="1" applyFill="1" applyBorder="1" applyAlignment="1">
      <alignment horizontal="left" indent="3"/>
    </xf>
    <xf numFmtId="2" fontId="30" fillId="5" borderId="5" xfId="0" applyNumberFormat="1" applyFont="1" applyFill="1" applyBorder="1" applyAlignment="1">
      <alignment horizontal="center"/>
    </xf>
    <xf numFmtId="164" fontId="5" fillId="5" borderId="4" xfId="0" applyNumberFormat="1" applyFont="1" applyFill="1" applyBorder="1" applyAlignment="1">
      <alignment horizontal="center"/>
    </xf>
    <xf numFmtId="0" fontId="5" fillId="5" borderId="0" xfId="0" applyFont="1" applyFill="1" applyAlignment="1">
      <alignment horizontal="left" indent="3"/>
    </xf>
    <xf numFmtId="0" fontId="27" fillId="0" borderId="0" xfId="2" applyFont="1" applyAlignment="1">
      <alignment horizontal="left" wrapText="1"/>
    </xf>
    <xf numFmtId="0" fontId="23" fillId="0" borderId="0" xfId="2" applyFont="1" applyAlignment="1">
      <alignment horizontal="left" wrapText="1"/>
    </xf>
    <xf numFmtId="0" fontId="28" fillId="0" borderId="0" xfId="2" applyFont="1" applyAlignment="1">
      <alignment horizontal="left" wrapText="1"/>
    </xf>
    <xf numFmtId="164" fontId="5" fillId="5" borderId="0" xfId="0" applyNumberFormat="1" applyFont="1" applyFill="1" applyAlignment="1">
      <alignment horizontal="center"/>
    </xf>
    <xf numFmtId="0" fontId="23" fillId="0" borderId="0" xfId="2" applyFont="1" applyAlignment="1">
      <alignment horizontal="left"/>
    </xf>
    <xf numFmtId="0" fontId="5" fillId="0" borderId="0" xfId="2" applyFont="1" applyAlignment="1">
      <alignment horizontal="left"/>
    </xf>
    <xf numFmtId="0" fontId="5" fillId="0" borderId="0" xfId="2" applyFont="1" applyAlignment="1">
      <alignment horizontal="left" indent="2"/>
    </xf>
    <xf numFmtId="0" fontId="5" fillId="5" borderId="0" xfId="0" applyFont="1" applyFill="1" applyAlignment="1">
      <alignment horizontal="left" wrapText="1"/>
    </xf>
    <xf numFmtId="0" fontId="5" fillId="5" borderId="0" xfId="0" applyFont="1" applyFill="1" applyAlignment="1">
      <alignment horizontal="left"/>
    </xf>
    <xf numFmtId="0" fontId="5" fillId="5" borderId="3" xfId="0" applyFont="1" applyFill="1" applyBorder="1" applyAlignment="1">
      <alignment horizontal="left"/>
    </xf>
    <xf numFmtId="2" fontId="3" fillId="5" borderId="3" xfId="0" applyNumberFormat="1" applyFont="1" applyFill="1" applyBorder="1" applyAlignment="1">
      <alignment horizontal="center"/>
    </xf>
    <xf numFmtId="0" fontId="9" fillId="5" borderId="0" xfId="0" applyFont="1" applyFill="1" applyAlignment="1">
      <alignment horizontal="left" vertical="center" wrapText="1" indent="6"/>
    </xf>
    <xf numFmtId="4" fontId="11" fillId="5" borderId="3" xfId="0" applyNumberFormat="1" applyFont="1" applyFill="1" applyBorder="1" applyAlignment="1">
      <alignment horizontal="center" vertical="center" wrapText="1"/>
    </xf>
    <xf numFmtId="4" fontId="11" fillId="5" borderId="5" xfId="0" applyNumberFormat="1" applyFont="1" applyFill="1" applyBorder="1" applyAlignment="1">
      <alignment horizontal="center" vertical="center" wrapText="1"/>
    </xf>
    <xf numFmtId="0" fontId="5" fillId="5" borderId="3" xfId="0" applyFont="1" applyFill="1" applyBorder="1" applyAlignment="1">
      <alignment horizontal="left" indent="3"/>
    </xf>
    <xf numFmtId="164" fontId="5" fillId="5" borderId="3" xfId="0" applyNumberFormat="1" applyFont="1" applyFill="1" applyBorder="1" applyAlignment="1">
      <alignment horizontal="center"/>
    </xf>
    <xf numFmtId="0" fontId="5" fillId="5" borderId="4" xfId="0" applyFont="1" applyFill="1" applyBorder="1" applyAlignment="1">
      <alignment horizontal="right"/>
    </xf>
    <xf numFmtId="2" fontId="13" fillId="5" borderId="3" xfId="0" applyNumberFormat="1" applyFont="1" applyFill="1" applyBorder="1" applyAlignment="1">
      <alignment horizontal="center"/>
    </xf>
    <xf numFmtId="2" fontId="5" fillId="5" borderId="0" xfId="0" applyNumberFormat="1" applyFont="1" applyFill="1" applyAlignment="1">
      <alignment horizontal="center"/>
    </xf>
    <xf numFmtId="2" fontId="11" fillId="5" borderId="3" xfId="0" applyNumberFormat="1" applyFont="1" applyFill="1" applyBorder="1" applyAlignment="1">
      <alignment horizontal="center" wrapText="1"/>
    </xf>
    <xf numFmtId="2" fontId="11" fillId="5" borderId="3" xfId="0" applyNumberFormat="1" applyFont="1" applyFill="1" applyBorder="1" applyAlignment="1">
      <alignment horizontal="center"/>
    </xf>
    <xf numFmtId="4" fontId="11" fillId="5" borderId="5" xfId="0" applyNumberFormat="1" applyFont="1" applyFill="1" applyBorder="1" applyAlignment="1">
      <alignment horizontal="center"/>
    </xf>
    <xf numFmtId="0" fontId="5" fillId="5" borderId="0" xfId="0" applyFont="1" applyFill="1" applyAlignment="1">
      <alignment horizontal="right"/>
    </xf>
    <xf numFmtId="0" fontId="5" fillId="0" borderId="0" xfId="2" applyFont="1" applyAlignment="1">
      <alignment horizontal="right"/>
    </xf>
    <xf numFmtId="4" fontId="11" fillId="5" borderId="6" xfId="0" applyNumberFormat="1" applyFont="1" applyFill="1" applyBorder="1" applyAlignment="1">
      <alignment horizontal="center" vertical="center" wrapText="1"/>
    </xf>
    <xf numFmtId="2" fontId="5" fillId="5" borderId="7" xfId="0" applyNumberFormat="1" applyFont="1" applyFill="1" applyBorder="1" applyAlignment="1">
      <alignment horizontal="center"/>
    </xf>
    <xf numFmtId="0" fontId="5" fillId="4" borderId="3" xfId="2" applyFont="1" applyFill="1" applyBorder="1" applyAlignment="1">
      <alignment horizontal="center"/>
    </xf>
    <xf numFmtId="3" fontId="5" fillId="0" borderId="0" xfId="2" quotePrefix="1" applyNumberFormat="1" applyFont="1" applyAlignment="1">
      <alignment horizontal="center"/>
    </xf>
    <xf numFmtId="0" fontId="5" fillId="5" borderId="0" xfId="0" applyFont="1" applyFill="1" applyAlignment="1">
      <alignment horizontal="left" indent="2"/>
    </xf>
    <xf numFmtId="164" fontId="5" fillId="5" borderId="0" xfId="0" applyNumberFormat="1" applyFont="1" applyFill="1" applyAlignment="1">
      <alignment horizontal="right" wrapText="1"/>
    </xf>
    <xf numFmtId="4" fontId="22" fillId="5" borderId="0" xfId="0" applyNumberFormat="1" applyFont="1" applyFill="1" applyAlignment="1">
      <alignment horizontal="left" indent="1"/>
    </xf>
    <xf numFmtId="169" fontId="13" fillId="5" borderId="0" xfId="0" applyNumberFormat="1" applyFont="1" applyFill="1" applyAlignment="1">
      <alignment horizontal="left" indent="2"/>
    </xf>
    <xf numFmtId="7" fontId="5" fillId="0" borderId="4" xfId="2" applyNumberFormat="1" applyFont="1" applyBorder="1" applyAlignment="1">
      <alignment horizontal="right"/>
    </xf>
    <xf numFmtId="7" fontId="5" fillId="0" borderId="0" xfId="2" applyNumberFormat="1" applyFont="1" applyAlignment="1">
      <alignment horizontal="right"/>
    </xf>
    <xf numFmtId="0" fontId="5" fillId="5" borderId="0" xfId="0" applyFont="1" applyFill="1" applyAlignment="1">
      <alignment horizontal="left" wrapText="1" indent="2"/>
    </xf>
    <xf numFmtId="0" fontId="5" fillId="5" borderId="5" xfId="0" applyFont="1" applyFill="1" applyBorder="1" applyAlignment="1">
      <alignment horizontal="left" indent="3"/>
    </xf>
    <xf numFmtId="0" fontId="5" fillId="5" borderId="5" xfId="0" applyFont="1" applyFill="1" applyBorder="1" applyAlignment="1">
      <alignment horizontal="left" wrapText="1" indent="3"/>
    </xf>
    <xf numFmtId="166" fontId="5" fillId="5" borderId="0" xfId="0" applyNumberFormat="1" applyFont="1" applyFill="1" applyAlignment="1">
      <alignment horizontal="center"/>
    </xf>
    <xf numFmtId="170" fontId="5" fillId="5" borderId="2" xfId="6" applyFont="1" applyFill="1" applyBorder="1" applyAlignment="1">
      <alignment horizontal="right"/>
    </xf>
    <xf numFmtId="170" fontId="5" fillId="5" borderId="0" xfId="6" applyFont="1" applyFill="1" applyBorder="1" applyAlignment="1">
      <alignment horizontal="right"/>
    </xf>
    <xf numFmtId="2" fontId="25" fillId="5" borderId="0" xfId="0" applyNumberFormat="1" applyFont="1" applyFill="1" applyAlignment="1">
      <alignment horizontal="left" indent="6"/>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30" fillId="5" borderId="3" xfId="0" applyFont="1" applyFill="1" applyBorder="1" applyAlignment="1">
      <alignment horizontal="center"/>
    </xf>
    <xf numFmtId="0" fontId="22" fillId="5" borderId="0" xfId="0" applyFont="1" applyFill="1" applyAlignment="1">
      <alignment horizontal="right"/>
    </xf>
    <xf numFmtId="0" fontId="22" fillId="5" borderId="0" xfId="0" applyFont="1" applyFill="1" applyAlignment="1">
      <alignment horizontal="center"/>
    </xf>
    <xf numFmtId="4" fontId="22" fillId="5" borderId="0" xfId="0" applyNumberFormat="1" applyFont="1" applyFill="1" applyAlignment="1">
      <alignment horizontal="left"/>
    </xf>
    <xf numFmtId="0" fontId="11" fillId="5" borderId="5" xfId="0" applyFont="1" applyFill="1" applyBorder="1" applyAlignment="1">
      <alignment horizontal="center"/>
    </xf>
    <xf numFmtId="7" fontId="5" fillId="5" borderId="4" xfId="0" applyNumberFormat="1" applyFont="1" applyFill="1" applyBorder="1" applyAlignment="1">
      <alignment horizontal="right"/>
    </xf>
    <xf numFmtId="0" fontId="5" fillId="5" borderId="3" xfId="0" applyFont="1" applyFill="1" applyBorder="1" applyAlignment="1">
      <alignment horizontal="center"/>
    </xf>
    <xf numFmtId="0" fontId="11" fillId="5" borderId="3" xfId="0" applyFont="1" applyFill="1" applyBorder="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2" fontId="25" fillId="0" borderId="0" xfId="2" applyNumberFormat="1" applyFont="1" applyAlignment="1">
      <alignment horizontal="left" indent="6"/>
    </xf>
    <xf numFmtId="4" fontId="5" fillId="0" borderId="0" xfId="2" quotePrefix="1" applyNumberFormat="1" applyFont="1" applyAlignment="1">
      <alignment horizontal="center"/>
    </xf>
    <xf numFmtId="43" fontId="11" fillId="0" borderId="3" xfId="1" applyFont="1" applyFill="1" applyBorder="1" applyAlignment="1">
      <alignment horizontal="center"/>
    </xf>
    <xf numFmtId="3" fontId="5" fillId="5" borderId="0" xfId="0" quotePrefix="1" applyNumberFormat="1" applyFont="1" applyFill="1" applyAlignment="1">
      <alignment horizontal="center"/>
    </xf>
    <xf numFmtId="169" fontId="13" fillId="0" borderId="0" xfId="2" applyNumberFormat="1" applyFont="1" applyAlignment="1">
      <alignment horizontal="left" indent="2"/>
    </xf>
    <xf numFmtId="0" fontId="5" fillId="0" borderId="4" xfId="2" applyFont="1" applyBorder="1" applyAlignment="1">
      <alignment horizontal="left"/>
    </xf>
    <xf numFmtId="0" fontId="5" fillId="0" borderId="0" xfId="2" applyFont="1" applyAlignment="1">
      <alignment horizontal="left" wrapText="1"/>
    </xf>
    <xf numFmtId="0" fontId="5" fillId="0" borderId="0" xfId="2" applyFont="1" applyAlignment="1">
      <alignment horizontal="left" wrapText="1" indent="2"/>
    </xf>
    <xf numFmtId="0" fontId="5" fillId="0" borderId="3" xfId="2" applyFont="1" applyBorder="1" applyAlignment="1">
      <alignment horizontal="center"/>
    </xf>
    <xf numFmtId="0" fontId="5" fillId="0" borderId="3" xfId="2" applyFont="1" applyBorder="1" applyAlignment="1">
      <alignment horizontal="center" wrapText="1"/>
    </xf>
    <xf numFmtId="7" fontId="5" fillId="5" borderId="0" xfId="0" applyNumberFormat="1" applyFont="1" applyFill="1" applyAlignment="1">
      <alignment horizontal="right"/>
    </xf>
    <xf numFmtId="0" fontId="23" fillId="5" borderId="0" xfId="0" applyFont="1" applyFill="1" applyAlignment="1">
      <alignment horizontal="left" wrapText="1"/>
    </xf>
    <xf numFmtId="0" fontId="23" fillId="5" borderId="0" xfId="0" applyFont="1" applyFill="1" applyAlignment="1">
      <alignment horizontal="left"/>
    </xf>
    <xf numFmtId="4" fontId="11" fillId="0" borderId="0" xfId="2" applyNumberFormat="1" applyFont="1" applyAlignment="1">
      <alignment horizontal="center" vertical="center" wrapText="1"/>
    </xf>
    <xf numFmtId="4" fontId="11" fillId="0" borderId="3" xfId="2" applyNumberFormat="1" applyFont="1" applyBorder="1" applyAlignment="1">
      <alignment horizontal="center" vertical="center" wrapText="1"/>
    </xf>
    <xf numFmtId="2" fontId="5" fillId="0" borderId="7" xfId="2" applyNumberFormat="1" applyFont="1" applyBorder="1" applyAlignment="1">
      <alignment horizontal="center"/>
    </xf>
    <xf numFmtId="0" fontId="5" fillId="0" borderId="3" xfId="2" applyFont="1" applyBorder="1" applyAlignment="1">
      <alignment horizontal="left"/>
    </xf>
    <xf numFmtId="2" fontId="3" fillId="0" borderId="3" xfId="2" applyNumberFormat="1" applyFont="1" applyBorder="1" applyAlignment="1">
      <alignment horizontal="center"/>
    </xf>
    <xf numFmtId="0" fontId="9" fillId="0" borderId="4" xfId="2" applyFont="1" applyBorder="1" applyAlignment="1">
      <alignment horizontal="left" vertical="center" wrapText="1" indent="3"/>
    </xf>
    <xf numFmtId="0" fontId="9" fillId="0" borderId="0" xfId="2" applyFont="1" applyAlignment="1">
      <alignment horizontal="left" vertical="center" wrapText="1" indent="3"/>
    </xf>
    <xf numFmtId="2" fontId="5" fillId="0" borderId="0" xfId="2" applyNumberFormat="1" applyFont="1" applyAlignment="1">
      <alignment horizontal="center"/>
    </xf>
    <xf numFmtId="2" fontId="5" fillId="0" borderId="4" xfId="2" applyNumberFormat="1" applyFont="1" applyBorder="1" applyAlignment="1">
      <alignment horizontal="center"/>
    </xf>
    <xf numFmtId="2" fontId="5" fillId="0" borderId="3" xfId="2" applyNumberFormat="1" applyFont="1" applyBorder="1" applyAlignment="1">
      <alignment horizontal="center"/>
    </xf>
    <xf numFmtId="164" fontId="5" fillId="5" borderId="3" xfId="2" applyNumberFormat="1" applyFont="1" applyFill="1" applyBorder="1" applyAlignment="1">
      <alignment horizontal="center"/>
    </xf>
    <xf numFmtId="0" fontId="5" fillId="0" borderId="4" xfId="2" applyFont="1" applyBorder="1" applyAlignment="1">
      <alignment horizontal="right"/>
    </xf>
    <xf numFmtId="2" fontId="13" fillId="0" borderId="3" xfId="2" applyNumberFormat="1" applyFont="1" applyBorder="1" applyAlignment="1">
      <alignment horizontal="center"/>
    </xf>
    <xf numFmtId="164" fontId="5" fillId="5" borderId="0" xfId="2" applyNumberFormat="1" applyFont="1" applyFill="1" applyAlignment="1">
      <alignment horizontal="center"/>
    </xf>
    <xf numFmtId="164" fontId="5" fillId="0" borderId="0" xfId="2" applyNumberFormat="1" applyFont="1" applyAlignment="1">
      <alignment horizontal="center"/>
    </xf>
    <xf numFmtId="164" fontId="73" fillId="0" borderId="0" xfId="2" applyNumberFormat="1" applyFont="1" applyAlignment="1">
      <alignment horizontal="center" wrapText="1"/>
    </xf>
    <xf numFmtId="0" fontId="4" fillId="0" borderId="2" xfId="2" applyFont="1" applyBorder="1" applyAlignment="1">
      <alignment horizontal="left"/>
    </xf>
    <xf numFmtId="0" fontId="4" fillId="0" borderId="0" xfId="2" applyFont="1" applyAlignment="1">
      <alignment horizontal="left"/>
    </xf>
    <xf numFmtId="4" fontId="5" fillId="0" borderId="0" xfId="2" applyNumberFormat="1" applyFont="1" applyAlignment="1">
      <alignment horizontal="left" indent="2"/>
    </xf>
    <xf numFmtId="4" fontId="5" fillId="0" borderId="0" xfId="2" applyNumberFormat="1" applyFont="1" applyAlignment="1">
      <alignment horizontal="left"/>
    </xf>
    <xf numFmtId="0" fontId="5" fillId="0" borderId="3" xfId="2" quotePrefix="1" applyFont="1" applyBorder="1" applyAlignment="1">
      <alignment horizontal="center"/>
    </xf>
    <xf numFmtId="0" fontId="3" fillId="0" borderId="0" xfId="2" quotePrefix="1" applyFont="1" applyAlignment="1">
      <alignment horizontal="center"/>
    </xf>
    <xf numFmtId="164" fontId="5" fillId="0" borderId="3" xfId="2" quotePrefix="1" applyNumberFormat="1" applyFont="1" applyBorder="1" applyAlignment="1">
      <alignment horizontal="center"/>
    </xf>
    <xf numFmtId="0" fontId="5" fillId="0" borderId="4" xfId="2" applyFont="1" applyBorder="1" applyAlignment="1">
      <alignment horizontal="left" indent="3"/>
    </xf>
    <xf numFmtId="164" fontId="5" fillId="5" borderId="4" xfId="2" applyNumberFormat="1" applyFont="1" applyFill="1" applyBorder="1" applyAlignment="1">
      <alignment horizontal="center"/>
    </xf>
    <xf numFmtId="0" fontId="9" fillId="0" borderId="0" xfId="2" applyFont="1" applyAlignment="1">
      <alignment horizontal="center"/>
    </xf>
    <xf numFmtId="7" fontId="9" fillId="5" borderId="0" xfId="2" applyNumberFormat="1" applyFont="1" applyFill="1" applyAlignment="1">
      <alignment horizontal="center"/>
    </xf>
    <xf numFmtId="0" fontId="9" fillId="0" borderId="0" xfId="2" applyFont="1" applyAlignment="1">
      <alignment horizontal="left"/>
    </xf>
    <xf numFmtId="164" fontId="5" fillId="0" borderId="0" xfId="2" applyNumberFormat="1" applyFont="1" applyAlignment="1">
      <alignment horizontal="center" wrapText="1"/>
    </xf>
    <xf numFmtId="0" fontId="3" fillId="0" borderId="3" xfId="2" applyFont="1" applyBorder="1" applyAlignment="1">
      <alignment horizontal="center" wrapText="1"/>
    </xf>
    <xf numFmtId="164" fontId="5" fillId="0" borderId="3" xfId="2" applyNumberFormat="1" applyFont="1" applyBorder="1" applyAlignment="1">
      <alignment horizontal="center" wrapText="1"/>
    </xf>
    <xf numFmtId="43" fontId="11" fillId="0" borderId="3" xfId="2" applyNumberFormat="1" applyFont="1" applyBorder="1" applyAlignment="1">
      <alignment horizontal="center"/>
    </xf>
    <xf numFmtId="4" fontId="22" fillId="0" borderId="0" xfId="2" applyNumberFormat="1" applyFont="1" applyAlignment="1">
      <alignment horizontal="left"/>
    </xf>
    <xf numFmtId="164" fontId="5" fillId="0" borderId="0" xfId="2" applyNumberFormat="1" applyFont="1" applyAlignment="1">
      <alignment horizontal="right" wrapText="1"/>
    </xf>
    <xf numFmtId="4" fontId="11" fillId="0" borderId="4" xfId="2" applyNumberFormat="1" applyFont="1" applyBorder="1" applyAlignment="1">
      <alignment horizontal="center" vertical="center" wrapText="1"/>
    </xf>
    <xf numFmtId="43" fontId="13" fillId="0" borderId="3" xfId="1" applyFont="1" applyBorder="1" applyAlignment="1">
      <alignment horizontal="center"/>
    </xf>
    <xf numFmtId="43" fontId="11" fillId="0" borderId="3" xfId="1" applyFont="1" applyBorder="1" applyAlignment="1">
      <alignment horizontal="center"/>
    </xf>
    <xf numFmtId="164" fontId="74" fillId="5" borderId="0" xfId="0" applyNumberFormat="1" applyFont="1" applyFill="1" applyAlignment="1">
      <alignment horizontal="right"/>
    </xf>
    <xf numFmtId="4" fontId="32" fillId="0" borderId="0" xfId="2" applyNumberFormat="1" applyFont="1" applyAlignment="1">
      <alignment horizontal="left" indent="1"/>
    </xf>
    <xf numFmtId="165" fontId="5" fillId="0" borderId="0" xfId="2" applyNumberFormat="1" applyFont="1" applyAlignment="1">
      <alignment horizontal="center"/>
    </xf>
    <xf numFmtId="165" fontId="5" fillId="0" borderId="0" xfId="2" applyNumberFormat="1" applyFont="1" applyAlignment="1">
      <alignment horizontal="left"/>
    </xf>
    <xf numFmtId="165" fontId="5" fillId="0" borderId="0" xfId="2" applyNumberFormat="1" applyFont="1" applyAlignment="1">
      <alignment horizontal="right"/>
    </xf>
    <xf numFmtId="165" fontId="5" fillId="0" borderId="0" xfId="2" applyNumberFormat="1" applyFont="1" applyAlignment="1">
      <alignment horizontal="left" indent="2"/>
    </xf>
    <xf numFmtId="166" fontId="5" fillId="5" borderId="0" xfId="0" applyNumberFormat="1" applyFont="1" applyFill="1" applyAlignment="1">
      <alignment horizontal="left" indent="2"/>
    </xf>
  </cellXfs>
  <cellStyles count="25">
    <cellStyle name="Comma" xfId="1" builtinId="3"/>
    <cellStyle name="Comma 2" xfId="7" xr:uid="{A77AAC65-6ABC-4BD7-B4E4-E8C6EA87404E}"/>
    <cellStyle name="Comma 2 2" xfId="20" xr:uid="{E2538F31-FAEE-410C-AF2B-5F50FABAC09B}"/>
    <cellStyle name="Comma 3" xfId="15" xr:uid="{E12AE131-F748-46E9-B13D-002899C3BEBA}"/>
    <cellStyle name="Comma 3 8" xfId="8" xr:uid="{DD14EDE5-9F57-4335-8F7B-31D969EC9681}"/>
    <cellStyle name="Comma 4" xfId="17" xr:uid="{C67BBFE0-F8BA-4FA9-B2E2-B5F9B888CB9F}"/>
    <cellStyle name="Comma 5" xfId="24" xr:uid="{CCFD2768-ADAE-4494-9668-03FF36050254}"/>
    <cellStyle name="Comma_charter school revenue frame" xfId="6" xr:uid="{54A18062-2B6E-435D-9591-679221AA979E}"/>
    <cellStyle name="Comma_charter school revenue frame 2" xfId="22" xr:uid="{881D83CA-369D-4FF1-8828-1DD9606B6256}"/>
    <cellStyle name="Currency 2" xfId="4" xr:uid="{049B6946-81A6-4654-9DB7-D984AC16F1BF}"/>
    <cellStyle name="Currency 2 8" xfId="9" xr:uid="{EBE2B08F-1A54-4FF2-9D8F-8BC80D7B785F}"/>
    <cellStyle name="Currency_charter school revenue frame" xfId="3" xr:uid="{3B48E0E5-2BEF-49BA-8437-CEC3897C6086}"/>
    <cellStyle name="Currency_charter school revenue frame 2" xfId="21" xr:uid="{2307F5FA-701B-4A97-B3FB-462A24E87172}"/>
    <cellStyle name="Normal" xfId="0" builtinId="0"/>
    <cellStyle name="Normal 2" xfId="2" xr:uid="{AF2D144A-E667-4245-AF28-F226C3B3204D}"/>
    <cellStyle name="Normal 2 2" xfId="11" xr:uid="{CE1E0F82-DC65-4709-9150-11DA8DAD6052}"/>
    <cellStyle name="Normal 2 2 2" xfId="18" xr:uid="{86E235BA-E09F-40BE-8B3D-693563FEDECB}"/>
    <cellStyle name="Normal 2 3" xfId="10" xr:uid="{B0EC3044-EB83-4D47-95A1-A611DC2B1103}"/>
    <cellStyle name="Normal 3" xfId="14" xr:uid="{8C037667-6869-4A85-886F-D0E1318975F9}"/>
    <cellStyle name="Normal 3 8" xfId="12" xr:uid="{1B25DA00-62E1-4173-AE38-4ADD75ADC081}"/>
    <cellStyle name="Normal 4" xfId="16" xr:uid="{FCA7D7F8-2C47-4643-A907-38A516636C11}"/>
    <cellStyle name="Normal 5" xfId="23" xr:uid="{039F2D1D-1439-4D92-A96F-2903684CE684}"/>
    <cellStyle name="Percent 2" xfId="5" xr:uid="{5229ADFB-D40A-4B60-9737-6A11FF83C6E0}"/>
    <cellStyle name="Percent 3" xfId="19" xr:uid="{6227FAB4-7B4E-431E-8FC9-D4621A766CA4}"/>
    <cellStyle name="Percent 3 8" xfId="13" xr:uid="{9DF5C671-750A-41AF-AD37-8977655559A3}"/>
  </cellStyles>
  <dxfs count="18">
    <dxf>
      <fill>
        <patternFill>
          <bgColor theme="0" tint="-0.14996795556505021"/>
        </patternFill>
      </fill>
    </dxf>
    <dxf>
      <fill>
        <patternFill>
          <bgColor theme="0" tint="-0.14996795556505021"/>
        </patternFill>
      </fill>
    </dxf>
    <dxf>
      <fill>
        <patternFill>
          <bgColor rgb="FFFFFF66"/>
        </patternFill>
      </fill>
    </dxf>
    <dxf>
      <fill>
        <patternFill>
          <bgColor theme="0" tint="-0.14996795556505021"/>
        </patternFill>
      </fill>
    </dxf>
    <dxf>
      <fill>
        <patternFill>
          <bgColor rgb="FFFFFF66"/>
        </patternFill>
      </fill>
    </dxf>
    <dxf>
      <fill>
        <patternFill>
          <bgColor theme="0" tint="-0.14996795556505021"/>
        </patternFill>
      </fill>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font>
    </dxf>
    <dxf>
      <font>
        <b/>
        <i val="0"/>
        <color rgb="FFFF0000"/>
      </font>
    </dxf>
    <dxf>
      <font>
        <color theme="0"/>
      </font>
    </dxf>
    <dxf>
      <font>
        <b/>
        <i val="0"/>
        <color rgb="FFFF0000"/>
      </font>
    </dxf>
    <dxf>
      <font>
        <color theme="0"/>
      </font>
    </dxf>
    <dxf>
      <font>
        <color theme="0"/>
      </font>
    </dxf>
    <dxf>
      <font>
        <color theme="0"/>
      </font>
    </dxf>
  </dxfs>
  <tableStyles count="0" defaultTableStyle="TableStyleMedium2" defaultPivotStyle="PivotStyleLight16"/>
  <colors>
    <mruColors>
      <color rgb="FF0000FF"/>
      <color rgb="FFFF9F9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eetMetadata" Target="metadata.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58190-7C49-453E-BD24-94A5DAAD9D46}">
  <dimension ref="A1:R243"/>
  <sheetViews>
    <sheetView workbookViewId="0">
      <pane ySplit="4" topLeftCell="A83" activePane="bottomLeft" state="frozen"/>
      <selection pane="bottomLeft" activeCell="C95" sqref="C95"/>
    </sheetView>
  </sheetViews>
  <sheetFormatPr defaultColWidth="9.140625" defaultRowHeight="12.75" x14ac:dyDescent="0.2"/>
  <cols>
    <col min="1" max="1" width="23.42578125" style="246" customWidth="1"/>
    <col min="2" max="2" width="9.140625" style="246"/>
    <col min="3" max="3" width="14.85546875" style="247" bestFit="1" customWidth="1"/>
    <col min="4" max="5" width="18.42578125" style="247" customWidth="1"/>
    <col min="6" max="6" width="9.140625" style="247"/>
    <col min="7" max="7" width="14.7109375" style="247" bestFit="1" customWidth="1"/>
    <col min="8" max="9" width="18.42578125" style="247" bestFit="1" customWidth="1"/>
    <col min="10" max="10" width="9.140625" style="247"/>
    <col min="11" max="11" width="16.5703125" style="247" bestFit="1" customWidth="1"/>
    <col min="12" max="16384" width="9.140625" style="246"/>
  </cols>
  <sheetData>
    <row r="1" spans="1:17" x14ac:dyDescent="0.2">
      <c r="A1" s="292"/>
    </row>
    <row r="3" spans="1:17" x14ac:dyDescent="0.2">
      <c r="C3" s="858" t="s">
        <v>250</v>
      </c>
      <c r="D3" s="859"/>
      <c r="E3" s="860"/>
      <c r="G3" s="861" t="s">
        <v>249</v>
      </c>
      <c r="H3" s="861"/>
      <c r="I3" s="861"/>
      <c r="K3" s="291" t="s">
        <v>218</v>
      </c>
    </row>
    <row r="4" spans="1:17" x14ac:dyDescent="0.2">
      <c r="C4" s="289" t="s">
        <v>248</v>
      </c>
      <c r="D4" s="289" t="s">
        <v>247</v>
      </c>
      <c r="E4" s="290" t="s">
        <v>246</v>
      </c>
      <c r="F4" s="259"/>
      <c r="G4" s="289" t="s">
        <v>248</v>
      </c>
      <c r="H4" s="289" t="s">
        <v>247</v>
      </c>
      <c r="I4" s="290" t="s">
        <v>246</v>
      </c>
      <c r="J4" s="259"/>
      <c r="K4" s="289" t="s">
        <v>245</v>
      </c>
    </row>
    <row r="5" spans="1:17" x14ac:dyDescent="0.2">
      <c r="C5" s="259"/>
      <c r="D5" s="259"/>
      <c r="E5" s="259"/>
      <c r="F5" s="259"/>
      <c r="G5" s="259"/>
      <c r="H5" s="259"/>
      <c r="I5" s="259"/>
      <c r="J5" s="259"/>
      <c r="K5" s="259"/>
    </row>
    <row r="6" spans="1:17" x14ac:dyDescent="0.2">
      <c r="C6" s="259"/>
      <c r="D6" s="259"/>
      <c r="E6" s="259"/>
      <c r="F6" s="259"/>
      <c r="G6" s="259"/>
      <c r="H6" s="259"/>
      <c r="I6" s="259"/>
      <c r="J6" s="259"/>
      <c r="K6" s="259"/>
    </row>
    <row r="7" spans="1:17" x14ac:dyDescent="0.2">
      <c r="A7" s="288" t="s">
        <v>244</v>
      </c>
      <c r="B7" s="288"/>
      <c r="C7" s="287"/>
      <c r="D7" s="287"/>
      <c r="E7" s="287"/>
      <c r="F7" s="287"/>
      <c r="G7" s="287"/>
      <c r="H7" s="287"/>
      <c r="I7" s="287"/>
      <c r="J7" s="287"/>
      <c r="K7" s="287"/>
    </row>
    <row r="8" spans="1:17" x14ac:dyDescent="0.2">
      <c r="A8" s="250" t="s">
        <v>219</v>
      </c>
      <c r="C8" s="259">
        <v>42342</v>
      </c>
      <c r="D8" s="259"/>
      <c r="E8" s="259"/>
      <c r="F8" s="259"/>
      <c r="G8" s="259">
        <v>42459</v>
      </c>
      <c r="H8" s="259"/>
      <c r="I8" s="259"/>
      <c r="J8" s="259"/>
      <c r="K8" s="259">
        <v>42629</v>
      </c>
    </row>
    <row r="9" spans="1:17" x14ac:dyDescent="0.2">
      <c r="A9" s="250" t="s">
        <v>194</v>
      </c>
      <c r="C9" s="258">
        <v>42339</v>
      </c>
      <c r="D9" s="258"/>
      <c r="E9" s="258"/>
      <c r="F9" s="258"/>
      <c r="G9" s="258">
        <v>42491</v>
      </c>
      <c r="H9" s="258"/>
      <c r="I9" s="258"/>
      <c r="J9" s="258"/>
      <c r="K9" s="258">
        <v>42675</v>
      </c>
    </row>
    <row r="10" spans="1:17" x14ac:dyDescent="0.2">
      <c r="C10" s="259"/>
      <c r="D10" s="259"/>
      <c r="E10" s="259"/>
      <c r="F10" s="259"/>
      <c r="G10" s="259"/>
      <c r="H10" s="259"/>
      <c r="I10" s="259"/>
      <c r="J10" s="259"/>
      <c r="K10" s="259"/>
    </row>
    <row r="11" spans="1:17" x14ac:dyDescent="0.2">
      <c r="C11" s="259"/>
      <c r="D11" s="259"/>
      <c r="E11" s="259"/>
      <c r="F11" s="259"/>
      <c r="G11" s="259"/>
      <c r="H11" s="259"/>
      <c r="I11" s="259"/>
      <c r="J11" s="259"/>
      <c r="K11" s="259"/>
    </row>
    <row r="12" spans="1:17" x14ac:dyDescent="0.2">
      <c r="A12" s="286" t="s">
        <v>243</v>
      </c>
      <c r="B12" s="286"/>
      <c r="C12" s="285"/>
      <c r="D12" s="285"/>
      <c r="E12" s="285"/>
      <c r="F12" s="285"/>
      <c r="G12" s="285"/>
      <c r="H12" s="285"/>
      <c r="I12" s="285"/>
      <c r="J12" s="285"/>
      <c r="K12" s="285"/>
    </row>
    <row r="13" spans="1:17" x14ac:dyDescent="0.2">
      <c r="A13" s="250" t="s">
        <v>219</v>
      </c>
      <c r="C13" s="259">
        <v>42702</v>
      </c>
      <c r="D13" s="259"/>
      <c r="E13" s="259"/>
      <c r="F13" s="259"/>
      <c r="G13" s="259">
        <v>42817</v>
      </c>
      <c r="H13" s="259"/>
      <c r="I13" s="259"/>
      <c r="J13" s="259"/>
      <c r="K13" s="259">
        <v>42997</v>
      </c>
    </row>
    <row r="14" spans="1:17" x14ac:dyDescent="0.2">
      <c r="A14" s="250" t="s">
        <v>194</v>
      </c>
      <c r="C14" s="258">
        <v>42705</v>
      </c>
      <c r="D14" s="258"/>
      <c r="E14" s="258"/>
      <c r="F14" s="258"/>
      <c r="G14" s="258">
        <v>42826</v>
      </c>
      <c r="H14" s="258"/>
      <c r="I14" s="258"/>
      <c r="J14" s="258"/>
      <c r="K14" s="258">
        <v>43040</v>
      </c>
    </row>
    <row r="15" spans="1:17" x14ac:dyDescent="0.2">
      <c r="C15" s="259"/>
      <c r="D15" s="259"/>
      <c r="E15" s="259"/>
      <c r="F15" s="259"/>
      <c r="G15" s="259"/>
      <c r="H15" s="259"/>
      <c r="I15" s="259"/>
      <c r="J15" s="259"/>
      <c r="K15" s="259"/>
    </row>
    <row r="16" spans="1:17" x14ac:dyDescent="0.2">
      <c r="C16" s="259"/>
      <c r="D16" s="259"/>
      <c r="E16" s="259"/>
      <c r="F16" s="259"/>
      <c r="G16" s="259"/>
      <c r="H16" s="259"/>
      <c r="I16" s="259"/>
      <c r="J16" s="259"/>
      <c r="K16" s="259"/>
      <c r="Q16" s="280"/>
    </row>
    <row r="17" spans="1:18" x14ac:dyDescent="0.2">
      <c r="A17" s="284" t="s">
        <v>242</v>
      </c>
      <c r="B17" s="284"/>
      <c r="C17" s="283"/>
      <c r="D17" s="283"/>
      <c r="E17" s="283"/>
      <c r="F17" s="283"/>
      <c r="G17" s="283"/>
      <c r="H17" s="283"/>
      <c r="I17" s="283"/>
      <c r="J17" s="283"/>
      <c r="K17" s="283"/>
      <c r="Q17" s="280"/>
    </row>
    <row r="18" spans="1:18" x14ac:dyDescent="0.2">
      <c r="A18" s="250" t="s">
        <v>219</v>
      </c>
      <c r="C18" s="259">
        <v>43046</v>
      </c>
      <c r="D18" s="259"/>
      <c r="E18" s="259"/>
      <c r="F18" s="259"/>
      <c r="G18" s="259">
        <v>43218</v>
      </c>
      <c r="H18" s="259"/>
      <c r="I18" s="259"/>
      <c r="J18" s="259"/>
      <c r="K18" s="259">
        <v>43343</v>
      </c>
      <c r="R18" s="280"/>
    </row>
    <row r="19" spans="1:18" x14ac:dyDescent="0.2">
      <c r="A19" s="250" t="s">
        <v>195</v>
      </c>
      <c r="C19" s="259"/>
      <c r="D19" s="259"/>
      <c r="E19" s="259"/>
      <c r="F19" s="259"/>
      <c r="G19" s="259"/>
      <c r="H19" s="259"/>
      <c r="I19" s="259"/>
      <c r="J19" s="259"/>
      <c r="K19" s="282">
        <v>43647</v>
      </c>
      <c r="R19" s="280"/>
    </row>
    <row r="20" spans="1:18" x14ac:dyDescent="0.2">
      <c r="A20" s="250" t="s">
        <v>194</v>
      </c>
      <c r="C20" s="258">
        <v>43070</v>
      </c>
      <c r="D20" s="258"/>
      <c r="E20" s="258"/>
      <c r="F20" s="258"/>
      <c r="G20" s="258">
        <v>43221</v>
      </c>
      <c r="H20" s="258"/>
      <c r="I20" s="258"/>
      <c r="J20" s="258"/>
      <c r="K20" s="281">
        <v>43708</v>
      </c>
      <c r="R20" s="280"/>
    </row>
    <row r="21" spans="1:18" x14ac:dyDescent="0.2">
      <c r="C21" s="267" t="s">
        <v>220</v>
      </c>
      <c r="D21" s="267"/>
      <c r="E21" s="267"/>
      <c r="F21" s="259"/>
      <c r="G21" s="259"/>
      <c r="H21" s="259"/>
      <c r="I21" s="259"/>
      <c r="J21" s="259"/>
      <c r="K21" s="259"/>
    </row>
    <row r="22" spans="1:18" x14ac:dyDescent="0.2">
      <c r="C22" s="259"/>
      <c r="D22" s="259"/>
      <c r="E22" s="259"/>
      <c r="F22" s="259"/>
      <c r="G22" s="259"/>
      <c r="H22" s="259"/>
      <c r="I22" s="259"/>
      <c r="J22" s="259"/>
      <c r="K22" s="259"/>
    </row>
    <row r="23" spans="1:18" x14ac:dyDescent="0.2">
      <c r="A23" s="250" t="s">
        <v>219</v>
      </c>
      <c r="C23" s="259">
        <v>43102</v>
      </c>
      <c r="D23" s="259"/>
      <c r="E23" s="259"/>
      <c r="F23" s="259"/>
      <c r="G23" s="249" t="s">
        <v>190</v>
      </c>
      <c r="H23" s="249"/>
      <c r="I23" s="249"/>
      <c r="J23" s="259"/>
      <c r="K23" s="249" t="s">
        <v>190</v>
      </c>
    </row>
    <row r="24" spans="1:18" x14ac:dyDescent="0.2">
      <c r="A24" s="250" t="s">
        <v>194</v>
      </c>
      <c r="C24" s="258">
        <v>43132</v>
      </c>
      <c r="D24" s="258"/>
      <c r="E24" s="258"/>
      <c r="F24" s="258"/>
      <c r="G24" s="249" t="s">
        <v>190</v>
      </c>
      <c r="H24" s="249"/>
      <c r="I24" s="249"/>
      <c r="J24" s="258"/>
      <c r="K24" s="249" t="s">
        <v>190</v>
      </c>
    </row>
    <row r="25" spans="1:18" x14ac:dyDescent="0.2">
      <c r="C25" s="267" t="s">
        <v>218</v>
      </c>
      <c r="D25" s="267"/>
      <c r="E25" s="267"/>
      <c r="F25" s="259"/>
      <c r="G25" s="249" t="s">
        <v>190</v>
      </c>
      <c r="H25" s="249"/>
      <c r="I25" s="249"/>
      <c r="J25" s="259"/>
      <c r="K25" s="249" t="s">
        <v>190</v>
      </c>
    </row>
    <row r="26" spans="1:18" x14ac:dyDescent="0.2">
      <c r="C26" s="259"/>
      <c r="D26" s="259"/>
      <c r="E26" s="259"/>
      <c r="F26" s="259"/>
      <c r="G26" s="259"/>
      <c r="H26" s="259"/>
      <c r="I26" s="259"/>
      <c r="J26" s="259"/>
      <c r="K26" s="259"/>
    </row>
    <row r="27" spans="1:18" x14ac:dyDescent="0.2">
      <c r="C27" s="259"/>
      <c r="D27" s="259"/>
      <c r="E27" s="259"/>
      <c r="F27" s="259"/>
      <c r="G27" s="259"/>
      <c r="H27" s="259"/>
      <c r="I27" s="259"/>
      <c r="J27" s="259"/>
      <c r="K27" s="259"/>
    </row>
    <row r="28" spans="1:18" x14ac:dyDescent="0.2">
      <c r="A28" s="279" t="s">
        <v>241</v>
      </c>
      <c r="B28" s="278"/>
      <c r="C28" s="277"/>
      <c r="D28" s="277"/>
      <c r="E28" s="277"/>
      <c r="F28" s="277"/>
      <c r="G28" s="277"/>
      <c r="H28" s="277"/>
      <c r="I28" s="277"/>
      <c r="J28" s="277"/>
      <c r="K28" s="277"/>
    </row>
    <row r="29" spans="1:18" x14ac:dyDescent="0.2">
      <c r="A29" s="250" t="s">
        <v>219</v>
      </c>
      <c r="C29" s="259">
        <v>43468</v>
      </c>
      <c r="D29" s="249" t="s">
        <v>190</v>
      </c>
      <c r="E29" s="249"/>
      <c r="F29" s="259"/>
      <c r="G29" s="259">
        <v>43538</v>
      </c>
      <c r="H29" s="249" t="s">
        <v>190</v>
      </c>
      <c r="I29" s="249"/>
      <c r="J29" s="259"/>
      <c r="K29" s="259">
        <v>43713</v>
      </c>
    </row>
    <row r="30" spans="1:18" x14ac:dyDescent="0.2">
      <c r="A30" s="250" t="s">
        <v>195</v>
      </c>
      <c r="C30" s="259">
        <v>43476</v>
      </c>
      <c r="D30" s="259"/>
      <c r="E30" s="259"/>
      <c r="F30" s="259"/>
      <c r="G30" s="259">
        <v>43595</v>
      </c>
      <c r="H30" s="259">
        <v>43726</v>
      </c>
      <c r="I30" s="259">
        <v>43648</v>
      </c>
      <c r="J30" s="259"/>
      <c r="K30" s="259">
        <v>43773</v>
      </c>
    </row>
    <row r="31" spans="1:18" x14ac:dyDescent="0.2">
      <c r="A31" s="250" t="s">
        <v>194</v>
      </c>
      <c r="C31" s="258">
        <v>43497</v>
      </c>
      <c r="D31" s="258">
        <v>43525</v>
      </c>
      <c r="E31" s="258"/>
      <c r="F31" s="258"/>
      <c r="G31" s="258">
        <v>43617</v>
      </c>
      <c r="H31" s="258">
        <v>43770</v>
      </c>
      <c r="I31" s="258">
        <v>43656</v>
      </c>
      <c r="J31" s="258"/>
      <c r="K31" s="258">
        <v>43770</v>
      </c>
    </row>
    <row r="32" spans="1:18" x14ac:dyDescent="0.2">
      <c r="C32" s="259"/>
      <c r="D32" s="259"/>
      <c r="E32" s="259"/>
      <c r="F32" s="259"/>
      <c r="G32" s="259"/>
      <c r="H32" s="259" t="s">
        <v>240</v>
      </c>
      <c r="I32" s="259" t="s">
        <v>239</v>
      </c>
      <c r="J32" s="259"/>
      <c r="K32" s="259"/>
    </row>
    <row r="33" spans="1:11" x14ac:dyDescent="0.2">
      <c r="C33" s="259"/>
      <c r="D33" s="259"/>
      <c r="E33" s="259"/>
      <c r="F33" s="259"/>
      <c r="G33" s="259"/>
      <c r="H33" s="259"/>
      <c r="I33" s="259"/>
      <c r="J33" s="259"/>
      <c r="K33" s="259"/>
    </row>
    <row r="34" spans="1:11" x14ac:dyDescent="0.2">
      <c r="A34" s="276" t="s">
        <v>238</v>
      </c>
      <c r="B34" s="275"/>
      <c r="C34" s="274"/>
      <c r="D34" s="274"/>
      <c r="E34" s="274"/>
      <c r="F34" s="274"/>
      <c r="G34" s="274"/>
      <c r="H34" s="274"/>
      <c r="I34" s="274"/>
      <c r="J34" s="274"/>
      <c r="K34" s="274"/>
    </row>
    <row r="35" spans="1:11" x14ac:dyDescent="0.2">
      <c r="A35" s="251" t="s">
        <v>198</v>
      </c>
      <c r="C35" s="259">
        <v>43775</v>
      </c>
      <c r="D35" s="259"/>
      <c r="E35" s="259"/>
      <c r="F35" s="259"/>
      <c r="G35" s="259"/>
      <c r="H35" s="259"/>
      <c r="I35" s="259"/>
      <c r="J35" s="259"/>
      <c r="K35" s="259"/>
    </row>
    <row r="36" spans="1:11" x14ac:dyDescent="0.2">
      <c r="A36" s="250" t="s">
        <v>195</v>
      </c>
      <c r="C36" s="259">
        <v>43788</v>
      </c>
      <c r="D36" s="259"/>
      <c r="E36" s="259"/>
      <c r="F36" s="259"/>
      <c r="G36" s="259"/>
      <c r="H36" s="259"/>
      <c r="I36" s="259"/>
      <c r="J36" s="259"/>
      <c r="K36" s="259"/>
    </row>
    <row r="37" spans="1:11" x14ac:dyDescent="0.2">
      <c r="A37" s="250" t="s">
        <v>194</v>
      </c>
      <c r="C37" s="258">
        <v>43830</v>
      </c>
      <c r="D37" s="258"/>
      <c r="E37" s="258"/>
      <c r="F37" s="258"/>
      <c r="G37" s="258"/>
      <c r="H37" s="258"/>
      <c r="I37" s="258"/>
      <c r="J37" s="258"/>
      <c r="K37" s="258"/>
    </row>
    <row r="38" spans="1:11" x14ac:dyDescent="0.2">
      <c r="C38" s="267" t="s">
        <v>220</v>
      </c>
      <c r="D38" s="259"/>
      <c r="E38" s="259"/>
      <c r="F38" s="259"/>
      <c r="G38" s="259"/>
      <c r="H38" s="259"/>
      <c r="I38" s="259"/>
      <c r="J38" s="259"/>
      <c r="K38" s="259"/>
    </row>
    <row r="39" spans="1:11" x14ac:dyDescent="0.2">
      <c r="C39" s="259"/>
      <c r="D39" s="259"/>
      <c r="E39" s="259"/>
      <c r="F39" s="259"/>
      <c r="G39" s="259"/>
      <c r="H39" s="259"/>
      <c r="I39" s="259"/>
      <c r="J39" s="259"/>
      <c r="K39" s="259"/>
    </row>
    <row r="40" spans="1:11" x14ac:dyDescent="0.2">
      <c r="A40" s="251" t="s">
        <v>198</v>
      </c>
      <c r="C40" s="259">
        <v>43833</v>
      </c>
      <c r="D40" s="259">
        <v>43853</v>
      </c>
      <c r="E40" s="259">
        <v>43853</v>
      </c>
      <c r="F40" s="259"/>
      <c r="G40" s="259">
        <v>43895</v>
      </c>
      <c r="H40" s="259">
        <v>43906</v>
      </c>
      <c r="I40" s="259">
        <v>43906</v>
      </c>
      <c r="J40" s="259"/>
      <c r="K40" s="259">
        <v>44028</v>
      </c>
    </row>
    <row r="41" spans="1:11" x14ac:dyDescent="0.2">
      <c r="A41" s="250" t="s">
        <v>195</v>
      </c>
      <c r="C41" s="259">
        <v>43859</v>
      </c>
      <c r="D41" s="259">
        <v>43858</v>
      </c>
      <c r="E41" s="259">
        <v>43858</v>
      </c>
      <c r="F41" s="259"/>
      <c r="G41" s="259">
        <v>43906</v>
      </c>
      <c r="H41" s="259">
        <v>43950</v>
      </c>
      <c r="I41" s="259">
        <v>43950</v>
      </c>
      <c r="J41" s="259"/>
      <c r="K41" s="259">
        <v>44075</v>
      </c>
    </row>
    <row r="42" spans="1:11" x14ac:dyDescent="0.2">
      <c r="A42" s="250" t="s">
        <v>194</v>
      </c>
      <c r="C42" s="258">
        <v>43889</v>
      </c>
      <c r="D42" s="258">
        <v>43889</v>
      </c>
      <c r="E42" s="258">
        <v>43889</v>
      </c>
      <c r="F42" s="259"/>
      <c r="G42" s="258">
        <v>43951</v>
      </c>
      <c r="H42" s="258">
        <v>43982</v>
      </c>
      <c r="I42" s="258">
        <v>43982</v>
      </c>
      <c r="J42" s="259"/>
      <c r="K42" s="258">
        <v>44166</v>
      </c>
    </row>
    <row r="43" spans="1:11" x14ac:dyDescent="0.2">
      <c r="A43" s="250" t="s">
        <v>191</v>
      </c>
      <c r="C43" s="267" t="s">
        <v>218</v>
      </c>
      <c r="D43" s="259" t="s">
        <v>237</v>
      </c>
      <c r="E43" s="259" t="s">
        <v>236</v>
      </c>
      <c r="F43" s="259"/>
      <c r="G43" s="259"/>
      <c r="H43" s="259" t="s">
        <v>235</v>
      </c>
      <c r="I43" s="259" t="s">
        <v>234</v>
      </c>
      <c r="J43" s="259"/>
      <c r="K43" s="259"/>
    </row>
    <row r="44" spans="1:11" x14ac:dyDescent="0.2">
      <c r="C44" s="259"/>
      <c r="D44" s="259"/>
      <c r="E44" s="259"/>
      <c r="F44" s="259"/>
      <c r="G44" s="259"/>
      <c r="H44" s="259"/>
      <c r="I44" s="259"/>
      <c r="J44" s="259"/>
      <c r="K44" s="259"/>
    </row>
    <row r="45" spans="1:11" x14ac:dyDescent="0.2">
      <c r="C45" s="259"/>
      <c r="D45" s="259"/>
      <c r="E45" s="259"/>
      <c r="F45" s="259"/>
      <c r="G45" s="259"/>
      <c r="H45" s="259"/>
      <c r="I45" s="259"/>
      <c r="J45" s="259"/>
      <c r="K45" s="259"/>
    </row>
    <row r="46" spans="1:11" x14ac:dyDescent="0.2">
      <c r="A46" s="273" t="s">
        <v>233</v>
      </c>
      <c r="B46" s="272"/>
      <c r="C46" s="271"/>
      <c r="D46" s="271"/>
      <c r="E46" s="271"/>
      <c r="F46" s="271"/>
      <c r="G46" s="271"/>
      <c r="H46" s="271"/>
      <c r="I46" s="271"/>
      <c r="J46" s="271"/>
      <c r="K46" s="271"/>
    </row>
    <row r="47" spans="1:11" x14ac:dyDescent="0.2">
      <c r="C47" s="259"/>
      <c r="D47" s="259"/>
      <c r="E47" s="259"/>
      <c r="F47" s="259"/>
      <c r="G47" s="259"/>
      <c r="H47" s="259"/>
      <c r="I47" s="259"/>
      <c r="J47" s="259"/>
      <c r="K47" s="259"/>
    </row>
    <row r="48" spans="1:11" x14ac:dyDescent="0.2">
      <c r="A48" s="251" t="s">
        <v>198</v>
      </c>
      <c r="C48" s="259">
        <v>44147</v>
      </c>
      <c r="D48" s="259">
        <v>44314</v>
      </c>
      <c r="E48" s="259">
        <v>44314</v>
      </c>
      <c r="F48" s="259"/>
      <c r="G48" s="259">
        <v>44307</v>
      </c>
      <c r="H48" s="259">
        <v>44314</v>
      </c>
      <c r="I48" s="259">
        <v>44314</v>
      </c>
      <c r="J48" s="259"/>
      <c r="K48" s="259">
        <v>44875</v>
      </c>
    </row>
    <row r="49" spans="1:11" x14ac:dyDescent="0.2">
      <c r="A49" s="250" t="s">
        <v>195</v>
      </c>
      <c r="C49" s="259">
        <v>44151</v>
      </c>
      <c r="D49" s="259">
        <v>44316</v>
      </c>
      <c r="E49" s="259">
        <v>44316</v>
      </c>
      <c r="F49" s="259"/>
      <c r="G49" s="259">
        <v>44314</v>
      </c>
      <c r="H49" s="259">
        <v>44319</v>
      </c>
      <c r="I49" s="259">
        <v>44319</v>
      </c>
      <c r="J49" s="259"/>
      <c r="K49" s="259">
        <v>44565</v>
      </c>
    </row>
    <row r="50" spans="1:11" x14ac:dyDescent="0.2">
      <c r="A50" s="250" t="s">
        <v>194</v>
      </c>
      <c r="C50" s="258">
        <v>44317</v>
      </c>
      <c r="D50" s="258">
        <v>44347</v>
      </c>
      <c r="E50" s="258">
        <v>44347</v>
      </c>
      <c r="F50" s="259"/>
      <c r="G50" s="258">
        <v>44347</v>
      </c>
      <c r="H50" s="258">
        <v>44347</v>
      </c>
      <c r="I50" s="258">
        <v>44347</v>
      </c>
      <c r="J50" s="259"/>
      <c r="K50" s="258">
        <v>44613</v>
      </c>
    </row>
    <row r="51" spans="1:11" x14ac:dyDescent="0.2">
      <c r="A51" s="250" t="s">
        <v>191</v>
      </c>
      <c r="C51" s="258"/>
      <c r="D51" s="258" t="s">
        <v>232</v>
      </c>
      <c r="E51" s="258" t="s">
        <v>223</v>
      </c>
      <c r="F51" s="259"/>
      <c r="G51" s="258"/>
      <c r="H51" s="258" t="s">
        <v>231</v>
      </c>
      <c r="I51" s="258" t="s">
        <v>230</v>
      </c>
      <c r="J51" s="259"/>
      <c r="K51" s="259"/>
    </row>
    <row r="52" spans="1:11" x14ac:dyDescent="0.2">
      <c r="C52" s="259"/>
      <c r="D52" s="259"/>
      <c r="E52" s="259"/>
      <c r="F52" s="259"/>
      <c r="G52" s="259"/>
      <c r="H52" s="259"/>
      <c r="I52" s="259"/>
      <c r="J52" s="259"/>
      <c r="K52" s="259"/>
    </row>
    <row r="53" spans="1:11" x14ac:dyDescent="0.2">
      <c r="C53" s="259"/>
      <c r="D53" s="259"/>
      <c r="E53" s="259"/>
      <c r="F53" s="259"/>
      <c r="G53" s="259"/>
      <c r="H53" s="259"/>
      <c r="I53" s="259"/>
      <c r="J53" s="259"/>
      <c r="K53" s="259"/>
    </row>
    <row r="54" spans="1:11" x14ac:dyDescent="0.2">
      <c r="A54" s="270" t="s">
        <v>229</v>
      </c>
      <c r="B54" s="269"/>
      <c r="C54" s="268"/>
      <c r="D54" s="268"/>
      <c r="E54" s="268"/>
      <c r="F54" s="268"/>
      <c r="G54" s="268"/>
      <c r="H54" s="268"/>
      <c r="I54" s="268"/>
      <c r="J54" s="268"/>
      <c r="K54" s="268"/>
    </row>
    <row r="55" spans="1:11" x14ac:dyDescent="0.2">
      <c r="C55" s="259"/>
      <c r="D55" s="259"/>
      <c r="E55" s="259"/>
      <c r="F55" s="259"/>
      <c r="G55" s="259"/>
      <c r="H55" s="259"/>
      <c r="I55" s="259"/>
      <c r="J55" s="259"/>
      <c r="K55" s="259"/>
    </row>
    <row r="56" spans="1:11" x14ac:dyDescent="0.2">
      <c r="A56" s="251" t="s">
        <v>198</v>
      </c>
      <c r="C56" s="259">
        <v>44518</v>
      </c>
      <c r="D56" s="249" t="s">
        <v>228</v>
      </c>
      <c r="E56" s="259" t="s">
        <v>227</v>
      </c>
      <c r="F56" s="259"/>
      <c r="G56" s="259">
        <v>44630</v>
      </c>
      <c r="H56" s="249" t="s">
        <v>226</v>
      </c>
      <c r="I56" s="249" t="s">
        <v>225</v>
      </c>
      <c r="J56" s="259"/>
      <c r="K56" s="259">
        <v>44834</v>
      </c>
    </row>
    <row r="57" spans="1:11" x14ac:dyDescent="0.2">
      <c r="A57" s="250" t="s">
        <v>195</v>
      </c>
      <c r="C57" s="259">
        <v>44565</v>
      </c>
      <c r="D57" s="259">
        <v>44580</v>
      </c>
      <c r="E57" s="259">
        <v>44580</v>
      </c>
      <c r="F57" s="259"/>
      <c r="G57" s="259">
        <v>44684</v>
      </c>
      <c r="H57" s="259">
        <v>44691</v>
      </c>
      <c r="I57" s="259">
        <v>44691</v>
      </c>
      <c r="J57" s="259"/>
      <c r="K57" s="259">
        <v>44893</v>
      </c>
    </row>
    <row r="58" spans="1:11" x14ac:dyDescent="0.2">
      <c r="A58" s="250" t="s">
        <v>194</v>
      </c>
      <c r="C58" s="258">
        <v>44562</v>
      </c>
      <c r="D58" s="258">
        <v>44620</v>
      </c>
      <c r="E58" s="258">
        <v>44620</v>
      </c>
      <c r="F58" s="259"/>
      <c r="G58" s="258">
        <v>44712</v>
      </c>
      <c r="H58" s="258">
        <v>44742</v>
      </c>
      <c r="I58" s="258">
        <v>44742</v>
      </c>
      <c r="J58" s="259"/>
      <c r="K58" s="258">
        <v>44926</v>
      </c>
    </row>
    <row r="59" spans="1:11" x14ac:dyDescent="0.2">
      <c r="A59" s="250" t="s">
        <v>191</v>
      </c>
      <c r="C59" s="249" t="s">
        <v>190</v>
      </c>
      <c r="D59" s="263" t="s">
        <v>224</v>
      </c>
      <c r="E59" s="263" t="s">
        <v>223</v>
      </c>
      <c r="F59" s="259"/>
      <c r="G59" s="249" t="s">
        <v>190</v>
      </c>
      <c r="H59" s="263" t="s">
        <v>222</v>
      </c>
      <c r="I59" s="263" t="s">
        <v>221</v>
      </c>
      <c r="J59" s="259"/>
      <c r="K59" s="249" t="s">
        <v>190</v>
      </c>
    </row>
    <row r="60" spans="1:11" x14ac:dyDescent="0.2">
      <c r="A60" s="250"/>
      <c r="C60" s="267" t="s">
        <v>220</v>
      </c>
      <c r="D60" s="258"/>
      <c r="E60" s="258"/>
      <c r="F60" s="259"/>
      <c r="G60" s="258"/>
      <c r="H60" s="258"/>
      <c r="I60" s="258"/>
      <c r="J60" s="259"/>
      <c r="K60" s="259"/>
    </row>
    <row r="61" spans="1:11" x14ac:dyDescent="0.2">
      <c r="A61" s="250"/>
      <c r="C61" s="258"/>
      <c r="D61" s="258"/>
      <c r="E61" s="258"/>
      <c r="F61" s="259"/>
      <c r="G61" s="258"/>
      <c r="H61" s="258"/>
      <c r="I61" s="258"/>
      <c r="J61" s="259"/>
      <c r="K61" s="259"/>
    </row>
    <row r="62" spans="1:11" x14ac:dyDescent="0.2">
      <c r="A62" s="251" t="s">
        <v>219</v>
      </c>
      <c r="C62" s="259">
        <v>44574</v>
      </c>
      <c r="D62" s="258"/>
      <c r="E62" s="258"/>
      <c r="F62" s="259"/>
      <c r="G62" s="259"/>
      <c r="H62" s="258"/>
      <c r="I62" s="258"/>
      <c r="J62" s="259"/>
      <c r="K62" s="259"/>
    </row>
    <row r="63" spans="1:11" x14ac:dyDescent="0.2">
      <c r="A63" s="250" t="s">
        <v>195</v>
      </c>
      <c r="C63" s="259">
        <v>44579</v>
      </c>
      <c r="D63" s="258"/>
      <c r="E63" s="258"/>
      <c r="F63" s="259"/>
      <c r="G63" s="259"/>
      <c r="H63" s="258"/>
      <c r="I63" s="258"/>
      <c r="J63" s="259"/>
      <c r="K63" s="259"/>
    </row>
    <row r="64" spans="1:11" x14ac:dyDescent="0.2">
      <c r="A64" s="250" t="s">
        <v>194</v>
      </c>
      <c r="C64" s="258">
        <v>44620</v>
      </c>
      <c r="D64" s="258"/>
      <c r="E64" s="258"/>
      <c r="F64" s="259"/>
      <c r="G64" s="258"/>
      <c r="H64" s="258"/>
      <c r="I64" s="258"/>
      <c r="J64" s="259"/>
      <c r="K64" s="259"/>
    </row>
    <row r="65" spans="1:11" x14ac:dyDescent="0.2">
      <c r="A65" s="250"/>
      <c r="C65" s="267" t="s">
        <v>218</v>
      </c>
      <c r="D65" s="258"/>
      <c r="E65" s="258"/>
      <c r="F65" s="259"/>
      <c r="G65" s="258"/>
      <c r="H65" s="258"/>
      <c r="I65" s="258"/>
      <c r="J65" s="259"/>
      <c r="K65" s="259"/>
    </row>
    <row r="66" spans="1:11" x14ac:dyDescent="0.2">
      <c r="A66" s="250"/>
      <c r="C66" s="267"/>
      <c r="D66" s="258"/>
      <c r="E66" s="258"/>
      <c r="F66" s="259"/>
      <c r="G66" s="258"/>
      <c r="H66" s="258"/>
      <c r="I66" s="258"/>
      <c r="J66" s="259"/>
      <c r="K66" s="259"/>
    </row>
    <row r="67" spans="1:11" x14ac:dyDescent="0.2">
      <c r="A67" s="266" t="s">
        <v>217</v>
      </c>
      <c r="B67" s="265"/>
      <c r="C67" s="264"/>
      <c r="D67" s="264"/>
      <c r="E67" s="264"/>
      <c r="F67" s="264"/>
      <c r="G67" s="264"/>
      <c r="H67" s="264"/>
      <c r="I67" s="264"/>
      <c r="J67" s="264"/>
      <c r="K67" s="264"/>
    </row>
    <row r="68" spans="1:11" x14ac:dyDescent="0.2">
      <c r="C68" s="259"/>
      <c r="D68" s="259"/>
      <c r="E68" s="259"/>
      <c r="F68" s="259"/>
      <c r="G68" s="259"/>
      <c r="H68" s="259"/>
      <c r="I68" s="259"/>
      <c r="J68" s="259"/>
      <c r="K68" s="259"/>
    </row>
    <row r="69" spans="1:11" x14ac:dyDescent="0.2">
      <c r="A69" s="251" t="s">
        <v>198</v>
      </c>
      <c r="C69" s="259">
        <v>44874</v>
      </c>
      <c r="D69" s="249" t="s">
        <v>216</v>
      </c>
      <c r="E69" s="259" t="s">
        <v>215</v>
      </c>
      <c r="F69" s="259"/>
      <c r="G69" s="259">
        <v>45008</v>
      </c>
      <c r="H69" s="249" t="s">
        <v>214</v>
      </c>
      <c r="I69" s="249" t="s">
        <v>213</v>
      </c>
      <c r="J69" s="259"/>
      <c r="K69" s="259">
        <v>45199</v>
      </c>
    </row>
    <row r="70" spans="1:11" x14ac:dyDescent="0.2">
      <c r="A70" s="250" t="s">
        <v>195</v>
      </c>
      <c r="C70" s="259">
        <v>44896</v>
      </c>
      <c r="D70" s="259">
        <v>44938</v>
      </c>
      <c r="E70" s="259">
        <v>44938</v>
      </c>
      <c r="F70" s="259"/>
      <c r="G70" s="259">
        <v>45020</v>
      </c>
      <c r="H70" s="259">
        <v>45027</v>
      </c>
      <c r="I70" s="259">
        <v>45027</v>
      </c>
      <c r="J70" s="259"/>
      <c r="K70" s="259">
        <v>45258</v>
      </c>
    </row>
    <row r="71" spans="1:11" x14ac:dyDescent="0.2">
      <c r="A71" s="250" t="s">
        <v>194</v>
      </c>
      <c r="C71" s="258">
        <v>44957</v>
      </c>
      <c r="D71" s="258">
        <v>44980</v>
      </c>
      <c r="E71" s="258">
        <v>44980</v>
      </c>
      <c r="F71" s="259"/>
      <c r="G71" s="258">
        <v>45039</v>
      </c>
      <c r="H71" s="258">
        <v>45077</v>
      </c>
      <c r="I71" s="258">
        <v>45077</v>
      </c>
      <c r="J71" s="259"/>
      <c r="K71" s="258">
        <v>45261</v>
      </c>
    </row>
    <row r="72" spans="1:11" x14ac:dyDescent="0.2">
      <c r="A72" s="250" t="s">
        <v>191</v>
      </c>
      <c r="C72" s="249" t="s">
        <v>190</v>
      </c>
      <c r="D72" s="263" t="s">
        <v>212</v>
      </c>
      <c r="E72" s="263" t="s">
        <v>211</v>
      </c>
      <c r="F72" s="259"/>
      <c r="G72" s="249" t="s">
        <v>190</v>
      </c>
      <c r="H72" s="263" t="s">
        <v>210</v>
      </c>
      <c r="I72" s="263" t="s">
        <v>209</v>
      </c>
      <c r="J72" s="259"/>
    </row>
    <row r="73" spans="1:11" x14ac:dyDescent="0.2">
      <c r="C73" s="248"/>
      <c r="D73" s="248"/>
      <c r="E73" s="248"/>
      <c r="F73" s="248"/>
      <c r="G73" s="248"/>
      <c r="H73" s="248"/>
      <c r="I73" s="248"/>
      <c r="J73" s="248"/>
      <c r="K73" s="248"/>
    </row>
    <row r="74" spans="1:11" x14ac:dyDescent="0.2">
      <c r="C74" s="248"/>
      <c r="D74" s="248"/>
      <c r="E74" s="248"/>
      <c r="F74" s="248"/>
      <c r="G74" s="248"/>
      <c r="H74" s="248"/>
      <c r="I74" s="248"/>
      <c r="J74" s="248"/>
      <c r="K74" s="248"/>
    </row>
    <row r="75" spans="1:11" x14ac:dyDescent="0.2">
      <c r="A75" s="262" t="s">
        <v>208</v>
      </c>
      <c r="B75" s="261"/>
      <c r="C75" s="260"/>
      <c r="D75" s="260"/>
      <c r="E75" s="260"/>
      <c r="F75" s="260"/>
      <c r="G75" s="260"/>
      <c r="H75" s="260"/>
      <c r="I75" s="260"/>
      <c r="J75" s="260"/>
      <c r="K75" s="260"/>
    </row>
    <row r="76" spans="1:11" x14ac:dyDescent="0.2">
      <c r="C76" s="248"/>
      <c r="D76" s="248"/>
      <c r="E76" s="248"/>
      <c r="F76" s="248"/>
      <c r="G76" s="248"/>
      <c r="H76" s="248"/>
      <c r="I76" s="248"/>
      <c r="J76" s="248"/>
      <c r="K76" s="248"/>
    </row>
    <row r="77" spans="1:11" x14ac:dyDescent="0.2">
      <c r="A77" s="251" t="s">
        <v>198</v>
      </c>
      <c r="C77" s="259">
        <v>45239</v>
      </c>
      <c r="D77" s="249">
        <v>45295</v>
      </c>
      <c r="E77" s="249">
        <v>45295</v>
      </c>
      <c r="F77" s="248"/>
      <c r="G77" s="248" t="s">
        <v>207</v>
      </c>
      <c r="H77" s="248">
        <v>45384</v>
      </c>
      <c r="I77" s="248">
        <v>45384</v>
      </c>
      <c r="J77" s="248"/>
      <c r="K77" s="248">
        <v>45586</v>
      </c>
    </row>
    <row r="78" spans="1:11" x14ac:dyDescent="0.2">
      <c r="A78" s="250" t="s">
        <v>195</v>
      </c>
      <c r="C78" s="259">
        <v>45261</v>
      </c>
      <c r="D78" s="248">
        <v>45302</v>
      </c>
      <c r="E78" s="248">
        <v>45302</v>
      </c>
      <c r="F78" s="248"/>
      <c r="G78" s="248" t="s">
        <v>206</v>
      </c>
      <c r="H78" s="248">
        <v>45435</v>
      </c>
      <c r="I78" s="248">
        <v>45435</v>
      </c>
      <c r="J78" s="248"/>
      <c r="K78" s="248">
        <v>45589</v>
      </c>
    </row>
    <row r="79" spans="1:11" x14ac:dyDescent="0.2">
      <c r="A79" s="250" t="s">
        <v>194</v>
      </c>
      <c r="C79" s="258">
        <v>45292</v>
      </c>
      <c r="D79" s="257" t="s">
        <v>636</v>
      </c>
      <c r="E79" s="257" t="s">
        <v>636</v>
      </c>
      <c r="F79" s="248"/>
      <c r="G79" s="256" t="s">
        <v>205</v>
      </c>
      <c r="H79" s="255" t="s">
        <v>204</v>
      </c>
      <c r="I79" s="255" t="s">
        <v>204</v>
      </c>
      <c r="J79" s="248"/>
      <c r="K79" s="248">
        <v>45597</v>
      </c>
    </row>
    <row r="80" spans="1:11" x14ac:dyDescent="0.2">
      <c r="A80" s="250" t="s">
        <v>191</v>
      </c>
      <c r="C80" s="249" t="s">
        <v>190</v>
      </c>
      <c r="D80" s="248" t="s">
        <v>203</v>
      </c>
      <c r="E80" s="248" t="s">
        <v>202</v>
      </c>
      <c r="F80" s="248"/>
      <c r="G80" s="249" t="s">
        <v>190</v>
      </c>
      <c r="H80" s="248" t="s">
        <v>201</v>
      </c>
      <c r="I80" s="248" t="s">
        <v>200</v>
      </c>
      <c r="J80" s="248"/>
      <c r="K80" s="248"/>
    </row>
    <row r="81" spans="1:11" x14ac:dyDescent="0.2">
      <c r="C81" s="248"/>
      <c r="D81" s="248"/>
      <c r="E81" s="248"/>
      <c r="F81" s="248"/>
      <c r="G81" s="248"/>
      <c r="H81" s="248"/>
      <c r="I81" s="248"/>
      <c r="J81" s="248"/>
      <c r="K81" s="248"/>
    </row>
    <row r="82" spans="1:11" x14ac:dyDescent="0.2">
      <c r="C82" s="248"/>
      <c r="D82" s="248"/>
      <c r="E82" s="248"/>
      <c r="F82" s="248"/>
      <c r="G82" s="248"/>
      <c r="H82" s="248"/>
      <c r="I82" s="248"/>
      <c r="J82" s="248"/>
      <c r="K82" s="248"/>
    </row>
    <row r="83" spans="1:11" x14ac:dyDescent="0.2">
      <c r="A83" s="254" t="s">
        <v>199</v>
      </c>
      <c r="B83" s="253"/>
      <c r="C83" s="252"/>
      <c r="D83" s="252"/>
      <c r="E83" s="252"/>
      <c r="F83" s="252"/>
      <c r="G83" s="252"/>
      <c r="H83" s="252"/>
      <c r="I83" s="252"/>
      <c r="J83" s="252"/>
      <c r="K83" s="252"/>
    </row>
    <row r="84" spans="1:11" x14ac:dyDescent="0.2">
      <c r="C84" s="248"/>
      <c r="D84" s="248"/>
      <c r="E84" s="248"/>
      <c r="F84" s="248"/>
      <c r="G84" s="248"/>
      <c r="H84" s="248"/>
      <c r="I84" s="248"/>
      <c r="J84" s="248"/>
      <c r="K84" s="248"/>
    </row>
    <row r="85" spans="1:11" x14ac:dyDescent="0.2">
      <c r="A85" s="251" t="s">
        <v>198</v>
      </c>
      <c r="C85" s="248">
        <v>45602</v>
      </c>
      <c r="D85" s="248" t="s">
        <v>197</v>
      </c>
      <c r="E85" s="248" t="s">
        <v>197</v>
      </c>
      <c r="F85" s="248"/>
      <c r="G85" s="248" t="s">
        <v>618</v>
      </c>
      <c r="H85" s="248" t="s">
        <v>618</v>
      </c>
      <c r="I85" s="248" t="s">
        <v>196</v>
      </c>
      <c r="J85" s="248"/>
      <c r="K85" s="248" t="s">
        <v>619</v>
      </c>
    </row>
    <row r="86" spans="1:11" x14ac:dyDescent="0.2">
      <c r="A86" s="250" t="s">
        <v>195</v>
      </c>
      <c r="C86" s="248">
        <v>45614</v>
      </c>
      <c r="D86" s="248">
        <v>45674</v>
      </c>
      <c r="E86" s="248">
        <v>45674</v>
      </c>
      <c r="F86" s="248"/>
      <c r="G86" s="248"/>
      <c r="H86" s="248"/>
      <c r="I86" s="248">
        <v>45866</v>
      </c>
      <c r="J86" s="248"/>
      <c r="K86" s="689">
        <v>45932</v>
      </c>
    </row>
    <row r="87" spans="1:11" x14ac:dyDescent="0.2">
      <c r="A87" s="250" t="s">
        <v>194</v>
      </c>
      <c r="C87" s="248" t="s">
        <v>193</v>
      </c>
      <c r="D87" s="248" t="s">
        <v>192</v>
      </c>
      <c r="E87" s="248" t="s">
        <v>192</v>
      </c>
      <c r="F87" s="248"/>
      <c r="G87" s="248"/>
      <c r="H87" s="248"/>
      <c r="I87" s="248">
        <v>45870</v>
      </c>
      <c r="J87" s="248"/>
      <c r="K87" s="248">
        <v>46001</v>
      </c>
    </row>
    <row r="88" spans="1:11" x14ac:dyDescent="0.2">
      <c r="A88" s="250" t="s">
        <v>191</v>
      </c>
      <c r="C88" s="249" t="s">
        <v>190</v>
      </c>
      <c r="D88" s="248" t="s">
        <v>189</v>
      </c>
      <c r="E88" s="248" t="s">
        <v>188</v>
      </c>
      <c r="F88" s="248"/>
      <c r="G88" s="248"/>
      <c r="H88" s="248"/>
      <c r="I88" s="248" t="s">
        <v>187</v>
      </c>
      <c r="J88" s="248"/>
      <c r="K88" s="248" t="s">
        <v>187</v>
      </c>
    </row>
    <row r="89" spans="1:11" x14ac:dyDescent="0.2">
      <c r="C89" s="248"/>
      <c r="D89" s="248"/>
      <c r="E89" s="248"/>
      <c r="F89" s="248"/>
      <c r="G89" s="248"/>
      <c r="H89" s="248"/>
      <c r="I89" s="248"/>
      <c r="J89" s="248"/>
      <c r="K89" s="248"/>
    </row>
    <row r="90" spans="1:11" x14ac:dyDescent="0.2">
      <c r="C90" s="248"/>
      <c r="D90" s="248"/>
      <c r="E90" s="248"/>
      <c r="F90" s="248"/>
      <c r="G90" s="248"/>
      <c r="H90" s="248"/>
      <c r="I90" s="248"/>
      <c r="J90" s="248"/>
      <c r="K90" s="248"/>
    </row>
    <row r="91" spans="1:11" x14ac:dyDescent="0.2">
      <c r="A91" s="686" t="s">
        <v>617</v>
      </c>
      <c r="B91" s="687"/>
      <c r="C91" s="688"/>
      <c r="D91" s="688"/>
      <c r="E91" s="688"/>
      <c r="F91" s="688"/>
      <c r="G91" s="688"/>
      <c r="H91" s="688"/>
      <c r="I91" s="688"/>
      <c r="J91" s="688"/>
      <c r="K91" s="688"/>
    </row>
    <row r="92" spans="1:11" x14ac:dyDescent="0.2">
      <c r="C92" s="248"/>
      <c r="D92" s="248"/>
      <c r="E92" s="248"/>
      <c r="F92" s="248"/>
      <c r="G92" s="248"/>
      <c r="H92" s="248"/>
      <c r="I92" s="248"/>
      <c r="J92" s="248"/>
      <c r="K92" s="248"/>
    </row>
    <row r="93" spans="1:11" x14ac:dyDescent="0.2">
      <c r="A93" s="251" t="s">
        <v>198</v>
      </c>
      <c r="C93" s="248">
        <v>46019</v>
      </c>
      <c r="D93" s="248">
        <v>46019</v>
      </c>
      <c r="E93" s="248">
        <v>46019</v>
      </c>
      <c r="F93" s="248"/>
      <c r="G93" s="248">
        <v>46141</v>
      </c>
      <c r="H93" s="248"/>
      <c r="I93" s="248"/>
      <c r="J93" s="248"/>
      <c r="K93" s="248"/>
    </row>
    <row r="94" spans="1:11" x14ac:dyDescent="0.2">
      <c r="A94" s="250" t="s">
        <v>195</v>
      </c>
      <c r="C94" s="248">
        <v>46019</v>
      </c>
      <c r="D94" s="248">
        <v>46019</v>
      </c>
      <c r="E94" s="248">
        <v>46019</v>
      </c>
      <c r="F94" s="248"/>
      <c r="G94" s="248">
        <v>46142</v>
      </c>
      <c r="H94" s="248"/>
      <c r="I94" s="248"/>
      <c r="J94" s="248"/>
      <c r="K94" s="248"/>
    </row>
    <row r="95" spans="1:11" x14ac:dyDescent="0.2">
      <c r="A95" s="250" t="s">
        <v>194</v>
      </c>
      <c r="C95" s="248">
        <v>46063</v>
      </c>
      <c r="D95" s="248">
        <v>46063</v>
      </c>
      <c r="E95" s="248">
        <v>46063</v>
      </c>
      <c r="F95" s="248"/>
      <c r="G95" s="248">
        <v>46152</v>
      </c>
      <c r="H95" s="248"/>
      <c r="I95" s="248"/>
      <c r="J95" s="248"/>
      <c r="K95" s="248"/>
    </row>
    <row r="96" spans="1:11" x14ac:dyDescent="0.2">
      <c r="A96" s="250" t="s">
        <v>191</v>
      </c>
      <c r="C96" s="248"/>
      <c r="D96" s="248"/>
      <c r="E96" s="248"/>
      <c r="F96" s="248"/>
      <c r="G96" s="248"/>
      <c r="H96" s="248"/>
      <c r="I96" s="248"/>
      <c r="J96" s="248"/>
      <c r="K96" s="248"/>
    </row>
    <row r="97" spans="3:11" x14ac:dyDescent="0.2">
      <c r="C97" s="248"/>
      <c r="D97" s="248"/>
      <c r="E97" s="248"/>
      <c r="F97" s="248"/>
      <c r="G97" s="248"/>
      <c r="H97" s="248"/>
      <c r="I97" s="248"/>
      <c r="J97" s="248"/>
      <c r="K97" s="248"/>
    </row>
    <row r="98" spans="3:11" x14ac:dyDescent="0.2">
      <c r="C98" s="248"/>
      <c r="D98" s="248"/>
      <c r="E98" s="248"/>
      <c r="F98" s="248"/>
      <c r="G98" s="248"/>
      <c r="H98" s="248"/>
      <c r="I98" s="248"/>
      <c r="J98" s="248"/>
      <c r="K98" s="248"/>
    </row>
    <row r="99" spans="3:11" x14ac:dyDescent="0.2">
      <c r="C99" s="248"/>
      <c r="D99" s="248"/>
      <c r="E99" s="248"/>
      <c r="F99" s="248"/>
      <c r="G99" s="248"/>
      <c r="H99" s="248"/>
      <c r="I99" s="248"/>
      <c r="J99" s="248"/>
      <c r="K99" s="248"/>
    </row>
    <row r="100" spans="3:11" x14ac:dyDescent="0.2">
      <c r="C100" s="248"/>
      <c r="D100" s="248"/>
      <c r="E100" s="248"/>
      <c r="F100" s="248"/>
      <c r="G100" s="248"/>
      <c r="H100" s="248"/>
      <c r="I100" s="248"/>
      <c r="J100" s="248"/>
      <c r="K100" s="248"/>
    </row>
    <row r="101" spans="3:11" x14ac:dyDescent="0.2">
      <c r="C101" s="248"/>
      <c r="D101" s="248"/>
      <c r="E101" s="248"/>
      <c r="F101" s="248"/>
      <c r="G101" s="248"/>
      <c r="H101" s="248"/>
      <c r="I101" s="248"/>
      <c r="J101" s="248"/>
      <c r="K101" s="248"/>
    </row>
    <row r="102" spans="3:11" x14ac:dyDescent="0.2">
      <c r="C102" s="248"/>
      <c r="D102" s="248"/>
      <c r="E102" s="248"/>
      <c r="F102" s="248"/>
      <c r="G102" s="248"/>
      <c r="H102" s="248"/>
      <c r="I102" s="248"/>
      <c r="J102" s="248"/>
      <c r="K102" s="248"/>
    </row>
    <row r="103" spans="3:11" x14ac:dyDescent="0.2">
      <c r="C103" s="248"/>
      <c r="D103" s="248"/>
      <c r="E103" s="248"/>
      <c r="F103" s="248"/>
      <c r="G103" s="248"/>
      <c r="H103" s="248"/>
      <c r="I103" s="248"/>
      <c r="J103" s="248"/>
      <c r="K103" s="248"/>
    </row>
    <row r="104" spans="3:11" x14ac:dyDescent="0.2">
      <c r="C104" s="248"/>
      <c r="D104" s="248"/>
      <c r="E104" s="248"/>
      <c r="F104" s="248"/>
      <c r="G104" s="248"/>
      <c r="H104" s="248"/>
      <c r="I104" s="248"/>
      <c r="J104" s="248"/>
      <c r="K104" s="248"/>
    </row>
    <row r="105" spans="3:11" x14ac:dyDescent="0.2">
      <c r="C105" s="248"/>
      <c r="D105" s="248"/>
      <c r="E105" s="248"/>
      <c r="F105" s="248"/>
      <c r="G105" s="248"/>
      <c r="H105" s="248"/>
      <c r="I105" s="248"/>
      <c r="J105" s="248"/>
      <c r="K105" s="248"/>
    </row>
    <row r="106" spans="3:11" x14ac:dyDescent="0.2">
      <c r="C106" s="248"/>
      <c r="D106" s="248"/>
      <c r="E106" s="248"/>
      <c r="F106" s="248"/>
      <c r="G106" s="248"/>
      <c r="H106" s="248"/>
      <c r="I106" s="248"/>
      <c r="J106" s="248"/>
      <c r="K106" s="248"/>
    </row>
    <row r="107" spans="3:11" x14ac:dyDescent="0.2">
      <c r="C107" s="248"/>
      <c r="D107" s="248"/>
      <c r="E107" s="248"/>
      <c r="F107" s="248"/>
      <c r="G107" s="248"/>
      <c r="H107" s="248"/>
      <c r="I107" s="248"/>
      <c r="J107" s="248"/>
      <c r="K107" s="248"/>
    </row>
    <row r="108" spans="3:11" x14ac:dyDescent="0.2">
      <c r="C108" s="248"/>
      <c r="D108" s="248"/>
      <c r="E108" s="248"/>
      <c r="F108" s="248"/>
      <c r="G108" s="248"/>
      <c r="H108" s="248"/>
      <c r="I108" s="248"/>
      <c r="J108" s="248"/>
      <c r="K108" s="248"/>
    </row>
    <row r="109" spans="3:11" x14ac:dyDescent="0.2">
      <c r="C109" s="248"/>
      <c r="D109" s="248"/>
      <c r="E109" s="248"/>
      <c r="F109" s="248"/>
      <c r="G109" s="248"/>
      <c r="H109" s="248"/>
      <c r="I109" s="248"/>
      <c r="J109" s="248"/>
      <c r="K109" s="248"/>
    </row>
    <row r="110" spans="3:11" x14ac:dyDescent="0.2">
      <c r="C110" s="248"/>
      <c r="D110" s="248"/>
      <c r="E110" s="248"/>
      <c r="F110" s="248"/>
      <c r="G110" s="248"/>
      <c r="H110" s="248"/>
      <c r="I110" s="248"/>
      <c r="J110" s="248"/>
      <c r="K110" s="248"/>
    </row>
    <row r="111" spans="3:11" x14ac:dyDescent="0.2">
      <c r="C111" s="248"/>
      <c r="D111" s="248"/>
      <c r="E111" s="248"/>
      <c r="F111" s="248"/>
      <c r="G111" s="248"/>
      <c r="H111" s="248"/>
      <c r="I111" s="248"/>
      <c r="J111" s="248"/>
      <c r="K111" s="248"/>
    </row>
    <row r="112" spans="3:11" x14ac:dyDescent="0.2">
      <c r="C112" s="248"/>
      <c r="D112" s="248"/>
      <c r="E112" s="248"/>
      <c r="F112" s="248"/>
      <c r="G112" s="248"/>
      <c r="H112" s="248"/>
      <c r="I112" s="248"/>
      <c r="J112" s="248"/>
      <c r="K112" s="248"/>
    </row>
    <row r="113" spans="3:11" x14ac:dyDescent="0.2">
      <c r="C113" s="248"/>
      <c r="D113" s="248"/>
      <c r="E113" s="248"/>
      <c r="F113" s="248"/>
      <c r="G113" s="248"/>
      <c r="H113" s="248"/>
      <c r="I113" s="248"/>
      <c r="J113" s="248"/>
      <c r="K113" s="248"/>
    </row>
    <row r="114" spans="3:11" x14ac:dyDescent="0.2">
      <c r="C114" s="248"/>
      <c r="D114" s="248"/>
      <c r="E114" s="248"/>
      <c r="F114" s="248"/>
      <c r="G114" s="248"/>
      <c r="H114" s="248"/>
      <c r="I114" s="248"/>
      <c r="J114" s="248"/>
      <c r="K114" s="248"/>
    </row>
    <row r="115" spans="3:11" x14ac:dyDescent="0.2">
      <c r="C115" s="248"/>
      <c r="D115" s="248"/>
      <c r="E115" s="248"/>
      <c r="F115" s="248"/>
      <c r="G115" s="248"/>
      <c r="H115" s="248"/>
      <c r="I115" s="248"/>
      <c r="J115" s="248"/>
      <c r="K115" s="248"/>
    </row>
    <row r="116" spans="3:11" x14ac:dyDescent="0.2">
      <c r="C116" s="248"/>
      <c r="D116" s="248"/>
      <c r="E116" s="248"/>
      <c r="F116" s="248"/>
      <c r="G116" s="248"/>
      <c r="H116" s="248"/>
      <c r="I116" s="248"/>
      <c r="J116" s="248"/>
      <c r="K116" s="248"/>
    </row>
    <row r="117" spans="3:11" x14ac:dyDescent="0.2">
      <c r="C117" s="248"/>
      <c r="D117" s="248"/>
      <c r="E117" s="248"/>
      <c r="F117" s="248"/>
      <c r="G117" s="248"/>
      <c r="H117" s="248"/>
      <c r="I117" s="248"/>
      <c r="J117" s="248"/>
      <c r="K117" s="248"/>
    </row>
    <row r="118" spans="3:11" x14ac:dyDescent="0.2">
      <c r="C118" s="248"/>
      <c r="D118" s="248"/>
      <c r="E118" s="248"/>
      <c r="F118" s="248"/>
      <c r="G118" s="248"/>
      <c r="H118" s="248"/>
      <c r="I118" s="248"/>
      <c r="J118" s="248"/>
      <c r="K118" s="248"/>
    </row>
    <row r="119" spans="3:11" x14ac:dyDescent="0.2">
      <c r="C119" s="248"/>
      <c r="D119" s="248"/>
      <c r="E119" s="248"/>
      <c r="F119" s="248"/>
      <c r="G119" s="248"/>
      <c r="H119" s="248"/>
      <c r="I119" s="248"/>
      <c r="J119" s="248"/>
      <c r="K119" s="248"/>
    </row>
    <row r="120" spans="3:11" x14ac:dyDescent="0.2">
      <c r="C120" s="248"/>
      <c r="D120" s="248"/>
      <c r="E120" s="248"/>
      <c r="F120" s="248"/>
      <c r="G120" s="248"/>
      <c r="H120" s="248"/>
      <c r="I120" s="248"/>
      <c r="J120" s="248"/>
      <c r="K120" s="248"/>
    </row>
    <row r="121" spans="3:11" x14ac:dyDescent="0.2">
      <c r="C121" s="248"/>
      <c r="D121" s="248"/>
      <c r="E121" s="248"/>
      <c r="F121" s="248"/>
      <c r="G121" s="248"/>
      <c r="H121" s="248"/>
      <c r="I121" s="248"/>
      <c r="J121" s="248"/>
      <c r="K121" s="248"/>
    </row>
    <row r="122" spans="3:11" x14ac:dyDescent="0.2">
      <c r="C122" s="248"/>
      <c r="D122" s="248"/>
      <c r="E122" s="248"/>
      <c r="F122" s="248"/>
      <c r="G122" s="248"/>
      <c r="H122" s="248"/>
      <c r="I122" s="248"/>
      <c r="J122" s="248"/>
      <c r="K122" s="248"/>
    </row>
    <row r="123" spans="3:11" x14ac:dyDescent="0.2">
      <c r="C123" s="248"/>
      <c r="D123" s="248"/>
      <c r="E123" s="248"/>
      <c r="F123" s="248"/>
      <c r="G123" s="248"/>
      <c r="H123" s="248"/>
      <c r="I123" s="248"/>
      <c r="J123" s="248"/>
      <c r="K123" s="248"/>
    </row>
    <row r="124" spans="3:11" x14ac:dyDescent="0.2">
      <c r="C124" s="248"/>
      <c r="D124" s="248"/>
      <c r="E124" s="248"/>
      <c r="F124" s="248"/>
      <c r="G124" s="248"/>
      <c r="H124" s="248"/>
      <c r="I124" s="248"/>
      <c r="J124" s="248"/>
      <c r="K124" s="248"/>
    </row>
    <row r="125" spans="3:11" x14ac:dyDescent="0.2">
      <c r="C125" s="248"/>
      <c r="D125" s="248"/>
      <c r="E125" s="248"/>
      <c r="F125" s="248"/>
      <c r="G125" s="248"/>
      <c r="H125" s="248"/>
      <c r="I125" s="248"/>
      <c r="J125" s="248"/>
      <c r="K125" s="248"/>
    </row>
    <row r="126" spans="3:11" x14ac:dyDescent="0.2">
      <c r="C126" s="248"/>
      <c r="D126" s="248"/>
      <c r="E126" s="248"/>
      <c r="F126" s="248"/>
      <c r="G126" s="248"/>
      <c r="H126" s="248"/>
      <c r="I126" s="248"/>
      <c r="J126" s="248"/>
      <c r="K126" s="248"/>
    </row>
    <row r="127" spans="3:11" x14ac:dyDescent="0.2">
      <c r="C127" s="248"/>
      <c r="D127" s="248"/>
      <c r="E127" s="248"/>
      <c r="F127" s="248"/>
      <c r="G127" s="248"/>
      <c r="H127" s="248"/>
      <c r="I127" s="248"/>
      <c r="J127" s="248"/>
      <c r="K127" s="248"/>
    </row>
    <row r="128" spans="3:11" x14ac:dyDescent="0.2">
      <c r="C128" s="248"/>
      <c r="D128" s="248"/>
      <c r="E128" s="248"/>
      <c r="F128" s="248"/>
      <c r="G128" s="248"/>
      <c r="H128" s="248"/>
      <c r="I128" s="248"/>
      <c r="J128" s="248"/>
      <c r="K128" s="248"/>
    </row>
    <row r="129" spans="3:11" x14ac:dyDescent="0.2">
      <c r="C129" s="248"/>
      <c r="D129" s="248"/>
      <c r="E129" s="248"/>
      <c r="F129" s="248"/>
      <c r="G129" s="248"/>
      <c r="H129" s="248"/>
      <c r="I129" s="248"/>
      <c r="J129" s="248"/>
      <c r="K129" s="248"/>
    </row>
    <row r="130" spans="3:11" x14ac:dyDescent="0.2">
      <c r="C130" s="248"/>
      <c r="D130" s="248"/>
      <c r="E130" s="248"/>
      <c r="F130" s="248"/>
      <c r="G130" s="248"/>
      <c r="H130" s="248"/>
      <c r="I130" s="248"/>
      <c r="J130" s="248"/>
      <c r="K130" s="248"/>
    </row>
    <row r="131" spans="3:11" x14ac:dyDescent="0.2">
      <c r="C131" s="248"/>
      <c r="D131" s="248"/>
      <c r="E131" s="248"/>
      <c r="F131" s="248"/>
      <c r="G131" s="248"/>
      <c r="H131" s="248"/>
      <c r="I131" s="248"/>
      <c r="J131" s="248"/>
      <c r="K131" s="248"/>
    </row>
    <row r="132" spans="3:11" x14ac:dyDescent="0.2">
      <c r="C132" s="248"/>
      <c r="D132" s="248"/>
      <c r="E132" s="248"/>
      <c r="F132" s="248"/>
      <c r="G132" s="248"/>
      <c r="H132" s="248"/>
      <c r="I132" s="248"/>
      <c r="J132" s="248"/>
      <c r="K132" s="248"/>
    </row>
    <row r="133" spans="3:11" x14ac:dyDescent="0.2">
      <c r="C133" s="248"/>
      <c r="D133" s="248"/>
      <c r="E133" s="248"/>
      <c r="F133" s="248"/>
      <c r="G133" s="248"/>
      <c r="H133" s="248"/>
      <c r="I133" s="248"/>
      <c r="J133" s="248"/>
      <c r="K133" s="248"/>
    </row>
    <row r="134" spans="3:11" x14ac:dyDescent="0.2">
      <c r="C134" s="248"/>
      <c r="D134" s="248"/>
      <c r="E134" s="248"/>
      <c r="F134" s="248"/>
      <c r="G134" s="248"/>
      <c r="H134" s="248"/>
      <c r="I134" s="248"/>
      <c r="J134" s="248"/>
      <c r="K134" s="248"/>
    </row>
    <row r="135" spans="3:11" x14ac:dyDescent="0.2">
      <c r="C135" s="248"/>
      <c r="D135" s="248"/>
      <c r="E135" s="248"/>
      <c r="F135" s="248"/>
      <c r="G135" s="248"/>
      <c r="H135" s="248"/>
      <c r="I135" s="248"/>
      <c r="J135" s="248"/>
      <c r="K135" s="248"/>
    </row>
    <row r="136" spans="3:11" x14ac:dyDescent="0.2">
      <c r="C136" s="248"/>
      <c r="D136" s="248"/>
      <c r="E136" s="248"/>
      <c r="F136" s="248"/>
      <c r="G136" s="248"/>
      <c r="H136" s="248"/>
      <c r="I136" s="248"/>
      <c r="J136" s="248"/>
      <c r="K136" s="248"/>
    </row>
    <row r="137" spans="3:11" x14ac:dyDescent="0.2">
      <c r="C137" s="248"/>
      <c r="D137" s="248"/>
      <c r="E137" s="248"/>
      <c r="F137" s="248"/>
      <c r="G137" s="248"/>
      <c r="H137" s="248"/>
      <c r="I137" s="248"/>
      <c r="J137" s="248"/>
      <c r="K137" s="248"/>
    </row>
    <row r="138" spans="3:11" x14ac:dyDescent="0.2">
      <c r="C138" s="248"/>
      <c r="D138" s="248"/>
      <c r="E138" s="248"/>
      <c r="F138" s="248"/>
      <c r="G138" s="248"/>
      <c r="H138" s="248"/>
      <c r="I138" s="248"/>
      <c r="J138" s="248"/>
      <c r="K138" s="248"/>
    </row>
    <row r="139" spans="3:11" x14ac:dyDescent="0.2">
      <c r="C139" s="248"/>
      <c r="D139" s="248"/>
      <c r="E139" s="248"/>
      <c r="F139" s="248"/>
      <c r="G139" s="248"/>
      <c r="H139" s="248"/>
      <c r="I139" s="248"/>
      <c r="J139" s="248"/>
      <c r="K139" s="248"/>
    </row>
    <row r="140" spans="3:11" x14ac:dyDescent="0.2">
      <c r="C140" s="248"/>
      <c r="D140" s="248"/>
      <c r="E140" s="248"/>
      <c r="F140" s="248"/>
      <c r="G140" s="248"/>
      <c r="H140" s="248"/>
      <c r="I140" s="248"/>
      <c r="J140" s="248"/>
      <c r="K140" s="248"/>
    </row>
    <row r="141" spans="3:11" x14ac:dyDescent="0.2">
      <c r="C141" s="248"/>
      <c r="D141" s="248"/>
      <c r="E141" s="248"/>
      <c r="F141" s="248"/>
      <c r="G141" s="248"/>
      <c r="H141" s="248"/>
      <c r="I141" s="248"/>
      <c r="J141" s="248"/>
      <c r="K141" s="248"/>
    </row>
    <row r="142" spans="3:11" x14ac:dyDescent="0.2">
      <c r="C142" s="248"/>
      <c r="D142" s="248"/>
      <c r="E142" s="248"/>
      <c r="F142" s="248"/>
      <c r="G142" s="248"/>
      <c r="H142" s="248"/>
      <c r="I142" s="248"/>
      <c r="J142" s="248"/>
      <c r="K142" s="248"/>
    </row>
    <row r="143" spans="3:11" x14ac:dyDescent="0.2">
      <c r="C143" s="248"/>
      <c r="D143" s="248"/>
      <c r="E143" s="248"/>
      <c r="F143" s="248"/>
      <c r="G143" s="248"/>
      <c r="H143" s="248"/>
      <c r="I143" s="248"/>
      <c r="J143" s="248"/>
      <c r="K143" s="248"/>
    </row>
    <row r="144" spans="3:11" x14ac:dyDescent="0.2">
      <c r="C144" s="248"/>
      <c r="D144" s="248"/>
      <c r="E144" s="248"/>
      <c r="F144" s="248"/>
      <c r="G144" s="248"/>
      <c r="H144" s="248"/>
      <c r="I144" s="248"/>
      <c r="J144" s="248"/>
      <c r="K144" s="248"/>
    </row>
    <row r="145" spans="3:11" x14ac:dyDescent="0.2">
      <c r="C145" s="248"/>
      <c r="D145" s="248"/>
      <c r="E145" s="248"/>
      <c r="F145" s="248"/>
      <c r="G145" s="248"/>
      <c r="H145" s="248"/>
      <c r="I145" s="248"/>
      <c r="J145" s="248"/>
      <c r="K145" s="248"/>
    </row>
    <row r="146" spans="3:11" x14ac:dyDescent="0.2">
      <c r="C146" s="248"/>
      <c r="D146" s="248"/>
      <c r="E146" s="248"/>
      <c r="F146" s="248"/>
      <c r="G146" s="248"/>
      <c r="H146" s="248"/>
      <c r="I146" s="248"/>
      <c r="J146" s="248"/>
      <c r="K146" s="248"/>
    </row>
    <row r="147" spans="3:11" x14ac:dyDescent="0.2">
      <c r="C147" s="248"/>
      <c r="D147" s="248"/>
      <c r="E147" s="248"/>
      <c r="F147" s="248"/>
      <c r="G147" s="248"/>
      <c r="H147" s="248"/>
      <c r="I147" s="248"/>
      <c r="J147" s="248"/>
      <c r="K147" s="248"/>
    </row>
    <row r="148" spans="3:11" x14ac:dyDescent="0.2">
      <c r="C148" s="248"/>
      <c r="D148" s="248"/>
      <c r="E148" s="248"/>
      <c r="F148" s="248"/>
      <c r="G148" s="248"/>
      <c r="H148" s="248"/>
      <c r="I148" s="248"/>
      <c r="J148" s="248"/>
      <c r="K148" s="248"/>
    </row>
    <row r="149" spans="3:11" x14ac:dyDescent="0.2">
      <c r="C149" s="248"/>
      <c r="D149" s="248"/>
      <c r="E149" s="248"/>
      <c r="F149" s="248"/>
      <c r="G149" s="248"/>
      <c r="H149" s="248"/>
      <c r="I149" s="248"/>
      <c r="J149" s="248"/>
      <c r="K149" s="248"/>
    </row>
    <row r="150" spans="3:11" x14ac:dyDescent="0.2">
      <c r="C150" s="248"/>
      <c r="D150" s="248"/>
      <c r="E150" s="248"/>
      <c r="F150" s="248"/>
      <c r="G150" s="248"/>
      <c r="H150" s="248"/>
      <c r="I150" s="248"/>
      <c r="J150" s="248"/>
      <c r="K150" s="248"/>
    </row>
    <row r="151" spans="3:11" x14ac:dyDescent="0.2">
      <c r="C151" s="248"/>
      <c r="D151" s="248"/>
      <c r="E151" s="248"/>
      <c r="F151" s="248"/>
      <c r="G151" s="248"/>
      <c r="H151" s="248"/>
      <c r="I151" s="248"/>
      <c r="J151" s="248"/>
      <c r="K151" s="248"/>
    </row>
    <row r="152" spans="3:11" x14ac:dyDescent="0.2">
      <c r="C152" s="248"/>
      <c r="D152" s="248"/>
      <c r="E152" s="248"/>
      <c r="F152" s="248"/>
      <c r="G152" s="248"/>
      <c r="H152" s="248"/>
      <c r="I152" s="248"/>
      <c r="J152" s="248"/>
      <c r="K152" s="248"/>
    </row>
    <row r="153" spans="3:11" x14ac:dyDescent="0.2">
      <c r="C153" s="248"/>
      <c r="D153" s="248"/>
      <c r="E153" s="248"/>
      <c r="F153" s="248"/>
      <c r="G153" s="248"/>
      <c r="H153" s="248"/>
      <c r="I153" s="248"/>
      <c r="J153" s="248"/>
      <c r="K153" s="248"/>
    </row>
    <row r="154" spans="3:11" x14ac:dyDescent="0.2">
      <c r="C154" s="248"/>
      <c r="D154" s="248"/>
      <c r="E154" s="248"/>
      <c r="F154" s="248"/>
      <c r="G154" s="248"/>
      <c r="H154" s="248"/>
      <c r="I154" s="248"/>
      <c r="J154" s="248"/>
      <c r="K154" s="248"/>
    </row>
    <row r="155" spans="3:11" x14ac:dyDescent="0.2">
      <c r="C155" s="248"/>
      <c r="D155" s="248"/>
      <c r="E155" s="248"/>
      <c r="F155" s="248"/>
      <c r="G155" s="248"/>
      <c r="H155" s="248"/>
      <c r="I155" s="248"/>
      <c r="J155" s="248"/>
      <c r="K155" s="248"/>
    </row>
    <row r="156" spans="3:11" x14ac:dyDescent="0.2">
      <c r="C156" s="248"/>
      <c r="D156" s="248"/>
      <c r="E156" s="248"/>
      <c r="F156" s="248"/>
      <c r="G156" s="248"/>
      <c r="H156" s="248"/>
      <c r="I156" s="248"/>
      <c r="J156" s="248"/>
      <c r="K156" s="248"/>
    </row>
    <row r="157" spans="3:11" x14ac:dyDescent="0.2">
      <c r="C157" s="248"/>
      <c r="D157" s="248"/>
      <c r="E157" s="248"/>
      <c r="F157" s="248"/>
      <c r="G157" s="248"/>
      <c r="H157" s="248"/>
      <c r="I157" s="248"/>
      <c r="J157" s="248"/>
      <c r="K157" s="248"/>
    </row>
    <row r="158" spans="3:11" x14ac:dyDescent="0.2">
      <c r="C158" s="248"/>
      <c r="D158" s="248"/>
      <c r="E158" s="248"/>
      <c r="F158" s="248"/>
      <c r="G158" s="248"/>
      <c r="H158" s="248"/>
      <c r="I158" s="248"/>
      <c r="J158" s="248"/>
      <c r="K158" s="248"/>
    </row>
    <row r="159" spans="3:11" x14ac:dyDescent="0.2">
      <c r="C159" s="248"/>
      <c r="D159" s="248"/>
      <c r="E159" s="248"/>
      <c r="F159" s="248"/>
      <c r="G159" s="248"/>
      <c r="H159" s="248"/>
      <c r="I159" s="248"/>
      <c r="J159" s="248"/>
      <c r="K159" s="248"/>
    </row>
    <row r="160" spans="3:11" x14ac:dyDescent="0.2">
      <c r="C160" s="248"/>
      <c r="D160" s="248"/>
      <c r="E160" s="248"/>
      <c r="F160" s="248"/>
      <c r="G160" s="248"/>
      <c r="H160" s="248"/>
      <c r="I160" s="248"/>
      <c r="J160" s="248"/>
      <c r="K160" s="248"/>
    </row>
    <row r="161" spans="3:11" x14ac:dyDescent="0.2">
      <c r="C161" s="248"/>
      <c r="D161" s="248"/>
      <c r="E161" s="248"/>
      <c r="F161" s="248"/>
      <c r="G161" s="248"/>
      <c r="H161" s="248"/>
      <c r="I161" s="248"/>
      <c r="J161" s="248"/>
      <c r="K161" s="248"/>
    </row>
    <row r="162" spans="3:11" x14ac:dyDescent="0.2">
      <c r="C162" s="248"/>
      <c r="D162" s="248"/>
      <c r="E162" s="248"/>
      <c r="F162" s="248"/>
      <c r="G162" s="248"/>
      <c r="H162" s="248"/>
      <c r="I162" s="248"/>
      <c r="J162" s="248"/>
      <c r="K162" s="248"/>
    </row>
    <row r="163" spans="3:11" x14ac:dyDescent="0.2">
      <c r="C163" s="248"/>
      <c r="D163" s="248"/>
      <c r="E163" s="248"/>
      <c r="F163" s="248"/>
      <c r="G163" s="248"/>
      <c r="H163" s="248"/>
      <c r="I163" s="248"/>
      <c r="J163" s="248"/>
      <c r="K163" s="248"/>
    </row>
    <row r="164" spans="3:11" x14ac:dyDescent="0.2">
      <c r="C164" s="248"/>
      <c r="D164" s="248"/>
      <c r="E164" s="248"/>
      <c r="F164" s="248"/>
      <c r="G164" s="248"/>
      <c r="H164" s="248"/>
      <c r="I164" s="248"/>
      <c r="J164" s="248"/>
      <c r="K164" s="248"/>
    </row>
    <row r="165" spans="3:11" x14ac:dyDescent="0.2">
      <c r="C165" s="248"/>
      <c r="D165" s="248"/>
      <c r="E165" s="248"/>
      <c r="F165" s="248"/>
      <c r="G165" s="248"/>
      <c r="H165" s="248"/>
      <c r="I165" s="248"/>
      <c r="J165" s="248"/>
      <c r="K165" s="248"/>
    </row>
    <row r="166" spans="3:11" x14ac:dyDescent="0.2">
      <c r="C166" s="248"/>
      <c r="D166" s="248"/>
      <c r="E166" s="248"/>
      <c r="F166" s="248"/>
      <c r="G166" s="248"/>
      <c r="H166" s="248"/>
      <c r="I166" s="248"/>
      <c r="J166" s="248"/>
      <c r="K166" s="248"/>
    </row>
    <row r="167" spans="3:11" x14ac:dyDescent="0.2">
      <c r="C167" s="248"/>
      <c r="D167" s="248"/>
      <c r="E167" s="248"/>
      <c r="F167" s="248"/>
      <c r="G167" s="248"/>
      <c r="H167" s="248"/>
      <c r="I167" s="248"/>
      <c r="J167" s="248"/>
      <c r="K167" s="248"/>
    </row>
    <row r="168" spans="3:11" x14ac:dyDescent="0.2">
      <c r="C168" s="248"/>
      <c r="D168" s="248"/>
      <c r="E168" s="248"/>
      <c r="F168" s="248"/>
      <c r="G168" s="248"/>
      <c r="H168" s="248"/>
      <c r="I168" s="248"/>
      <c r="J168" s="248"/>
      <c r="K168" s="248"/>
    </row>
    <row r="169" spans="3:11" x14ac:dyDescent="0.2">
      <c r="C169" s="248"/>
      <c r="D169" s="248"/>
      <c r="E169" s="248"/>
      <c r="F169" s="248"/>
      <c r="G169" s="248"/>
      <c r="H169" s="248"/>
      <c r="I169" s="248"/>
      <c r="J169" s="248"/>
      <c r="K169" s="248"/>
    </row>
    <row r="170" spans="3:11" x14ac:dyDescent="0.2">
      <c r="C170" s="248"/>
      <c r="D170" s="248"/>
      <c r="E170" s="248"/>
      <c r="F170" s="248"/>
      <c r="G170" s="248"/>
      <c r="H170" s="248"/>
      <c r="I170" s="248"/>
      <c r="J170" s="248"/>
      <c r="K170" s="248"/>
    </row>
    <row r="171" spans="3:11" x14ac:dyDescent="0.2">
      <c r="C171" s="248"/>
      <c r="D171" s="248"/>
      <c r="E171" s="248"/>
      <c r="F171" s="248"/>
      <c r="G171" s="248"/>
      <c r="H171" s="248"/>
      <c r="I171" s="248"/>
      <c r="J171" s="248"/>
      <c r="K171" s="248"/>
    </row>
    <row r="172" spans="3:11" x14ac:dyDescent="0.2">
      <c r="C172" s="248"/>
      <c r="D172" s="248"/>
      <c r="E172" s="248"/>
      <c r="F172" s="248"/>
      <c r="G172" s="248"/>
      <c r="H172" s="248"/>
      <c r="I172" s="248"/>
      <c r="J172" s="248"/>
      <c r="K172" s="248"/>
    </row>
    <row r="173" spans="3:11" x14ac:dyDescent="0.2">
      <c r="C173" s="248"/>
      <c r="D173" s="248"/>
      <c r="E173" s="248"/>
      <c r="F173" s="248"/>
      <c r="G173" s="248"/>
      <c r="H173" s="248"/>
      <c r="I173" s="248"/>
      <c r="J173" s="248"/>
      <c r="K173" s="248"/>
    </row>
    <row r="174" spans="3:11" x14ac:dyDescent="0.2">
      <c r="C174" s="248"/>
      <c r="D174" s="248"/>
      <c r="E174" s="248"/>
      <c r="F174" s="248"/>
      <c r="G174" s="248"/>
      <c r="H174" s="248"/>
      <c r="I174" s="248"/>
      <c r="J174" s="248"/>
      <c r="K174" s="248"/>
    </row>
    <row r="175" spans="3:11" x14ac:dyDescent="0.2">
      <c r="C175" s="248"/>
      <c r="D175" s="248"/>
      <c r="E175" s="248"/>
      <c r="F175" s="248"/>
      <c r="G175" s="248"/>
      <c r="H175" s="248"/>
      <c r="I175" s="248"/>
      <c r="J175" s="248"/>
      <c r="K175" s="248"/>
    </row>
    <row r="176" spans="3:11" x14ac:dyDescent="0.2">
      <c r="C176" s="248"/>
      <c r="D176" s="248"/>
      <c r="E176" s="248"/>
      <c r="F176" s="248"/>
      <c r="G176" s="248"/>
      <c r="H176" s="248"/>
      <c r="I176" s="248"/>
      <c r="J176" s="248"/>
      <c r="K176" s="248"/>
    </row>
    <row r="177" spans="3:11" x14ac:dyDescent="0.2">
      <c r="C177" s="248"/>
      <c r="D177" s="248"/>
      <c r="E177" s="248"/>
      <c r="F177" s="248"/>
      <c r="G177" s="248"/>
      <c r="H177" s="248"/>
      <c r="I177" s="248"/>
      <c r="J177" s="248"/>
      <c r="K177" s="248"/>
    </row>
    <row r="178" spans="3:11" x14ac:dyDescent="0.2">
      <c r="C178" s="248"/>
      <c r="D178" s="248"/>
      <c r="E178" s="248"/>
      <c r="F178" s="248"/>
      <c r="G178" s="248"/>
      <c r="H178" s="248"/>
      <c r="I178" s="248"/>
      <c r="J178" s="248"/>
      <c r="K178" s="248"/>
    </row>
    <row r="179" spans="3:11" x14ac:dyDescent="0.2">
      <c r="C179" s="248"/>
      <c r="D179" s="248"/>
      <c r="E179" s="248"/>
      <c r="F179" s="248"/>
      <c r="G179" s="248"/>
      <c r="H179" s="248"/>
      <c r="I179" s="248"/>
      <c r="J179" s="248"/>
      <c r="K179" s="248"/>
    </row>
    <row r="180" spans="3:11" x14ac:dyDescent="0.2">
      <c r="C180" s="248"/>
      <c r="D180" s="248"/>
      <c r="E180" s="248"/>
      <c r="F180" s="248"/>
      <c r="G180" s="248"/>
      <c r="H180" s="248"/>
      <c r="I180" s="248"/>
      <c r="J180" s="248"/>
      <c r="K180" s="248"/>
    </row>
    <row r="181" spans="3:11" x14ac:dyDescent="0.2">
      <c r="C181" s="248"/>
      <c r="D181" s="248"/>
      <c r="E181" s="248"/>
      <c r="F181" s="248"/>
      <c r="G181" s="248"/>
      <c r="H181" s="248"/>
      <c r="I181" s="248"/>
      <c r="J181" s="248"/>
      <c r="K181" s="248"/>
    </row>
    <row r="182" spans="3:11" x14ac:dyDescent="0.2">
      <c r="C182" s="248"/>
      <c r="D182" s="248"/>
      <c r="E182" s="248"/>
      <c r="F182" s="248"/>
      <c r="G182" s="248"/>
      <c r="H182" s="248"/>
      <c r="I182" s="248"/>
      <c r="J182" s="248"/>
      <c r="K182" s="248"/>
    </row>
    <row r="183" spans="3:11" x14ac:dyDescent="0.2">
      <c r="C183" s="248"/>
      <c r="D183" s="248"/>
      <c r="E183" s="248"/>
      <c r="F183" s="248"/>
      <c r="G183" s="248"/>
      <c r="H183" s="248"/>
      <c r="I183" s="248"/>
      <c r="J183" s="248"/>
      <c r="K183" s="248"/>
    </row>
    <row r="184" spans="3:11" x14ac:dyDescent="0.2">
      <c r="C184" s="248"/>
      <c r="D184" s="248"/>
      <c r="E184" s="248"/>
      <c r="F184" s="248"/>
      <c r="G184" s="248"/>
      <c r="H184" s="248"/>
      <c r="I184" s="248"/>
      <c r="J184" s="248"/>
      <c r="K184" s="248"/>
    </row>
    <row r="185" spans="3:11" x14ac:dyDescent="0.2">
      <c r="C185" s="248"/>
      <c r="D185" s="248"/>
      <c r="E185" s="248"/>
      <c r="F185" s="248"/>
      <c r="G185" s="248"/>
      <c r="H185" s="248"/>
      <c r="I185" s="248"/>
      <c r="J185" s="248"/>
      <c r="K185" s="248"/>
    </row>
    <row r="186" spans="3:11" x14ac:dyDescent="0.2">
      <c r="C186" s="248"/>
      <c r="D186" s="248"/>
      <c r="E186" s="248"/>
      <c r="F186" s="248"/>
      <c r="G186" s="248"/>
      <c r="H186" s="248"/>
      <c r="I186" s="248"/>
      <c r="J186" s="248"/>
      <c r="K186" s="248"/>
    </row>
    <row r="187" spans="3:11" x14ac:dyDescent="0.2">
      <c r="C187" s="248"/>
      <c r="D187" s="248"/>
      <c r="E187" s="248"/>
      <c r="F187" s="248"/>
      <c r="G187" s="248"/>
      <c r="H187" s="248"/>
      <c r="I187" s="248"/>
      <c r="J187" s="248"/>
      <c r="K187" s="248"/>
    </row>
    <row r="188" spans="3:11" x14ac:dyDescent="0.2">
      <c r="C188" s="248"/>
      <c r="D188" s="248"/>
      <c r="E188" s="248"/>
      <c r="F188" s="248"/>
      <c r="G188" s="248"/>
      <c r="H188" s="248"/>
      <c r="I188" s="248"/>
      <c r="J188" s="248"/>
      <c r="K188" s="248"/>
    </row>
    <row r="189" spans="3:11" x14ac:dyDescent="0.2">
      <c r="C189" s="248"/>
      <c r="D189" s="248"/>
      <c r="E189" s="248"/>
      <c r="F189" s="248"/>
      <c r="G189" s="248"/>
      <c r="H189" s="248"/>
      <c r="I189" s="248"/>
      <c r="J189" s="248"/>
      <c r="K189" s="248"/>
    </row>
    <row r="190" spans="3:11" x14ac:dyDescent="0.2">
      <c r="C190" s="248"/>
      <c r="D190" s="248"/>
      <c r="E190" s="248"/>
      <c r="F190" s="248"/>
      <c r="G190" s="248"/>
      <c r="H190" s="248"/>
      <c r="I190" s="248"/>
      <c r="J190" s="248"/>
      <c r="K190" s="248"/>
    </row>
    <row r="191" spans="3:11" x14ac:dyDescent="0.2">
      <c r="C191" s="248"/>
      <c r="D191" s="248"/>
      <c r="E191" s="248"/>
      <c r="F191" s="248"/>
      <c r="G191" s="248"/>
      <c r="H191" s="248"/>
      <c r="I191" s="248"/>
      <c r="J191" s="248"/>
      <c r="K191" s="248"/>
    </row>
    <row r="192" spans="3:11" x14ac:dyDescent="0.2">
      <c r="C192" s="248"/>
      <c r="D192" s="248"/>
      <c r="E192" s="248"/>
      <c r="F192" s="248"/>
      <c r="G192" s="248"/>
      <c r="H192" s="248"/>
      <c r="I192" s="248"/>
      <c r="J192" s="248"/>
      <c r="K192" s="248"/>
    </row>
    <row r="193" spans="3:11" x14ac:dyDescent="0.2">
      <c r="C193" s="248"/>
      <c r="D193" s="248"/>
      <c r="E193" s="248"/>
      <c r="F193" s="248"/>
      <c r="G193" s="248"/>
      <c r="H193" s="248"/>
      <c r="I193" s="248"/>
      <c r="J193" s="248"/>
      <c r="K193" s="248"/>
    </row>
    <row r="194" spans="3:11" x14ac:dyDescent="0.2">
      <c r="C194" s="248"/>
      <c r="D194" s="248"/>
      <c r="E194" s="248"/>
      <c r="F194" s="248"/>
      <c r="G194" s="248"/>
      <c r="H194" s="248"/>
      <c r="I194" s="248"/>
      <c r="J194" s="248"/>
      <c r="K194" s="248"/>
    </row>
    <row r="195" spans="3:11" x14ac:dyDescent="0.2">
      <c r="C195" s="248"/>
      <c r="D195" s="248"/>
      <c r="E195" s="248"/>
      <c r="F195" s="248"/>
      <c r="G195" s="248"/>
      <c r="H195" s="248"/>
      <c r="I195" s="248"/>
      <c r="J195" s="248"/>
      <c r="K195" s="248"/>
    </row>
    <row r="196" spans="3:11" x14ac:dyDescent="0.2">
      <c r="C196" s="248"/>
      <c r="D196" s="248"/>
      <c r="E196" s="248"/>
      <c r="F196" s="248"/>
      <c r="G196" s="248"/>
      <c r="H196" s="248"/>
      <c r="I196" s="248"/>
      <c r="J196" s="248"/>
      <c r="K196" s="248"/>
    </row>
    <row r="197" spans="3:11" x14ac:dyDescent="0.2">
      <c r="C197" s="248"/>
      <c r="D197" s="248"/>
      <c r="E197" s="248"/>
      <c r="F197" s="248"/>
      <c r="G197" s="248"/>
      <c r="H197" s="248"/>
      <c r="I197" s="248"/>
      <c r="J197" s="248"/>
      <c r="K197" s="248"/>
    </row>
    <row r="198" spans="3:11" x14ac:dyDescent="0.2">
      <c r="C198" s="248"/>
      <c r="D198" s="248"/>
      <c r="E198" s="248"/>
      <c r="F198" s="248"/>
      <c r="G198" s="248"/>
      <c r="H198" s="248"/>
      <c r="I198" s="248"/>
      <c r="J198" s="248"/>
      <c r="K198" s="248"/>
    </row>
    <row r="199" spans="3:11" x14ac:dyDescent="0.2">
      <c r="C199" s="248"/>
      <c r="D199" s="248"/>
      <c r="E199" s="248"/>
      <c r="F199" s="248"/>
      <c r="G199" s="248"/>
      <c r="H199" s="248"/>
      <c r="I199" s="248"/>
      <c r="J199" s="248"/>
      <c r="K199" s="248"/>
    </row>
    <row r="200" spans="3:11" x14ac:dyDescent="0.2">
      <c r="C200" s="248"/>
      <c r="D200" s="248"/>
      <c r="E200" s="248"/>
      <c r="F200" s="248"/>
      <c r="G200" s="248"/>
      <c r="H200" s="248"/>
      <c r="I200" s="248"/>
      <c r="J200" s="248"/>
      <c r="K200" s="248"/>
    </row>
    <row r="201" spans="3:11" x14ac:dyDescent="0.2">
      <c r="C201" s="248"/>
      <c r="D201" s="248"/>
      <c r="E201" s="248"/>
      <c r="F201" s="248"/>
      <c r="G201" s="248"/>
      <c r="H201" s="248"/>
      <c r="I201" s="248"/>
      <c r="J201" s="248"/>
      <c r="K201" s="248"/>
    </row>
    <row r="202" spans="3:11" x14ac:dyDescent="0.2">
      <c r="C202" s="248"/>
      <c r="D202" s="248"/>
      <c r="E202" s="248"/>
      <c r="F202" s="248"/>
      <c r="G202" s="248"/>
      <c r="H202" s="248"/>
      <c r="I202" s="248"/>
      <c r="J202" s="248"/>
      <c r="K202" s="248"/>
    </row>
    <row r="203" spans="3:11" x14ac:dyDescent="0.2">
      <c r="C203" s="248"/>
      <c r="D203" s="248"/>
      <c r="E203" s="248"/>
      <c r="F203" s="248"/>
      <c r="G203" s="248"/>
      <c r="H203" s="248"/>
      <c r="I203" s="248"/>
      <c r="J203" s="248"/>
      <c r="K203" s="248"/>
    </row>
    <row r="204" spans="3:11" x14ac:dyDescent="0.2">
      <c r="C204" s="248"/>
      <c r="D204" s="248"/>
      <c r="E204" s="248"/>
      <c r="F204" s="248"/>
      <c r="G204" s="248"/>
      <c r="H204" s="248"/>
      <c r="I204" s="248"/>
      <c r="J204" s="248"/>
      <c r="K204" s="248"/>
    </row>
    <row r="205" spans="3:11" x14ac:dyDescent="0.2">
      <c r="C205" s="248"/>
      <c r="D205" s="248"/>
      <c r="E205" s="248"/>
      <c r="F205" s="248"/>
      <c r="G205" s="248"/>
      <c r="H205" s="248"/>
      <c r="I205" s="248"/>
      <c r="J205" s="248"/>
      <c r="K205" s="248"/>
    </row>
    <row r="206" spans="3:11" x14ac:dyDescent="0.2">
      <c r="C206" s="248"/>
      <c r="D206" s="248"/>
      <c r="E206" s="248"/>
      <c r="F206" s="248"/>
      <c r="G206" s="248"/>
      <c r="H206" s="248"/>
      <c r="I206" s="248"/>
      <c r="J206" s="248"/>
      <c r="K206" s="248"/>
    </row>
    <row r="207" spans="3:11" x14ac:dyDescent="0.2">
      <c r="C207" s="248"/>
      <c r="D207" s="248"/>
      <c r="E207" s="248"/>
      <c r="F207" s="248"/>
      <c r="G207" s="248"/>
      <c r="H207" s="248"/>
      <c r="I207" s="248"/>
      <c r="J207" s="248"/>
      <c r="K207" s="248"/>
    </row>
    <row r="208" spans="3:11" x14ac:dyDescent="0.2">
      <c r="C208" s="248"/>
      <c r="D208" s="248"/>
      <c r="E208" s="248"/>
      <c r="F208" s="248"/>
      <c r="G208" s="248"/>
      <c r="H208" s="248"/>
      <c r="I208" s="248"/>
      <c r="J208" s="248"/>
      <c r="K208" s="248"/>
    </row>
    <row r="209" spans="3:11" x14ac:dyDescent="0.2">
      <c r="C209" s="248"/>
      <c r="D209" s="248"/>
      <c r="E209" s="248"/>
      <c r="F209" s="248"/>
      <c r="G209" s="248"/>
      <c r="H209" s="248"/>
      <c r="I209" s="248"/>
      <c r="J209" s="248"/>
      <c r="K209" s="248"/>
    </row>
    <row r="210" spans="3:11" x14ac:dyDescent="0.2">
      <c r="C210" s="248"/>
      <c r="D210" s="248"/>
      <c r="E210" s="248"/>
      <c r="F210" s="248"/>
      <c r="G210" s="248"/>
      <c r="H210" s="248"/>
      <c r="I210" s="248"/>
      <c r="J210" s="248"/>
      <c r="K210" s="248"/>
    </row>
    <row r="211" spans="3:11" x14ac:dyDescent="0.2">
      <c r="C211" s="248"/>
      <c r="D211" s="248"/>
      <c r="E211" s="248"/>
      <c r="F211" s="248"/>
      <c r="G211" s="248"/>
      <c r="H211" s="248"/>
      <c r="I211" s="248"/>
      <c r="J211" s="248"/>
      <c r="K211" s="248"/>
    </row>
    <row r="212" spans="3:11" x14ac:dyDescent="0.2">
      <c r="C212" s="248"/>
      <c r="D212" s="248"/>
      <c r="E212" s="248"/>
      <c r="F212" s="248"/>
      <c r="G212" s="248"/>
      <c r="H212" s="248"/>
      <c r="I212" s="248"/>
      <c r="J212" s="248"/>
      <c r="K212" s="248"/>
    </row>
    <row r="213" spans="3:11" x14ac:dyDescent="0.2">
      <c r="C213" s="248"/>
      <c r="D213" s="248"/>
      <c r="E213" s="248"/>
      <c r="F213" s="248"/>
      <c r="G213" s="248"/>
      <c r="H213" s="248"/>
      <c r="I213" s="248"/>
      <c r="J213" s="248"/>
      <c r="K213" s="248"/>
    </row>
    <row r="214" spans="3:11" x14ac:dyDescent="0.2">
      <c r="C214" s="248"/>
      <c r="D214" s="248"/>
      <c r="E214" s="248"/>
      <c r="F214" s="248"/>
      <c r="G214" s="248"/>
      <c r="H214" s="248"/>
      <c r="I214" s="248"/>
      <c r="J214" s="248"/>
      <c r="K214" s="248"/>
    </row>
    <row r="215" spans="3:11" x14ac:dyDescent="0.2">
      <c r="C215" s="248"/>
      <c r="D215" s="248"/>
      <c r="E215" s="248"/>
      <c r="F215" s="248"/>
      <c r="G215" s="248"/>
      <c r="H215" s="248"/>
      <c r="I215" s="248"/>
      <c r="J215" s="248"/>
      <c r="K215" s="248"/>
    </row>
    <row r="216" spans="3:11" x14ac:dyDescent="0.2">
      <c r="C216" s="248"/>
      <c r="D216" s="248"/>
      <c r="E216" s="248"/>
      <c r="F216" s="248"/>
      <c r="G216" s="248"/>
      <c r="H216" s="248"/>
      <c r="I216" s="248"/>
      <c r="J216" s="248"/>
      <c r="K216" s="248"/>
    </row>
    <row r="217" spans="3:11" x14ac:dyDescent="0.2">
      <c r="C217" s="248"/>
      <c r="D217" s="248"/>
      <c r="E217" s="248"/>
      <c r="F217" s="248"/>
      <c r="G217" s="248"/>
      <c r="H217" s="248"/>
      <c r="I217" s="248"/>
      <c r="J217" s="248"/>
      <c r="K217" s="248"/>
    </row>
    <row r="218" spans="3:11" x14ac:dyDescent="0.2">
      <c r="C218" s="248"/>
      <c r="D218" s="248"/>
      <c r="E218" s="248"/>
      <c r="F218" s="248"/>
      <c r="G218" s="248"/>
      <c r="H218" s="248"/>
      <c r="I218" s="248"/>
      <c r="J218" s="248"/>
      <c r="K218" s="248"/>
    </row>
    <row r="219" spans="3:11" x14ac:dyDescent="0.2">
      <c r="C219" s="248"/>
      <c r="D219" s="248"/>
      <c r="E219" s="248"/>
      <c r="F219" s="248"/>
      <c r="G219" s="248"/>
      <c r="H219" s="248"/>
      <c r="I219" s="248"/>
      <c r="J219" s="248"/>
      <c r="K219" s="248"/>
    </row>
    <row r="220" spans="3:11" x14ac:dyDescent="0.2">
      <c r="C220" s="248"/>
      <c r="D220" s="248"/>
      <c r="E220" s="248"/>
      <c r="F220" s="248"/>
      <c r="G220" s="248"/>
      <c r="H220" s="248"/>
      <c r="I220" s="248"/>
      <c r="J220" s="248"/>
      <c r="K220" s="248"/>
    </row>
    <row r="221" spans="3:11" x14ac:dyDescent="0.2">
      <c r="C221" s="248"/>
      <c r="D221" s="248"/>
      <c r="E221" s="248"/>
      <c r="F221" s="248"/>
      <c r="G221" s="248"/>
      <c r="H221" s="248"/>
      <c r="I221" s="248"/>
      <c r="J221" s="248"/>
      <c r="K221" s="248"/>
    </row>
    <row r="222" spans="3:11" x14ac:dyDescent="0.2">
      <c r="C222" s="248"/>
      <c r="D222" s="248"/>
      <c r="E222" s="248"/>
      <c r="F222" s="248"/>
      <c r="G222" s="248"/>
      <c r="H222" s="248"/>
      <c r="I222" s="248"/>
      <c r="J222" s="248"/>
      <c r="K222" s="248"/>
    </row>
    <row r="223" spans="3:11" x14ac:dyDescent="0.2">
      <c r="C223" s="248"/>
      <c r="D223" s="248"/>
      <c r="E223" s="248"/>
      <c r="F223" s="248"/>
      <c r="G223" s="248"/>
      <c r="H223" s="248"/>
      <c r="I223" s="248"/>
      <c r="J223" s="248"/>
      <c r="K223" s="248"/>
    </row>
    <row r="224" spans="3:11" x14ac:dyDescent="0.2">
      <c r="C224" s="248"/>
      <c r="D224" s="248"/>
      <c r="E224" s="248"/>
      <c r="F224" s="248"/>
      <c r="G224" s="248"/>
      <c r="H224" s="248"/>
      <c r="I224" s="248"/>
      <c r="J224" s="248"/>
      <c r="K224" s="248"/>
    </row>
    <row r="225" spans="3:11" x14ac:dyDescent="0.2">
      <c r="C225" s="248"/>
      <c r="D225" s="248"/>
      <c r="E225" s="248"/>
      <c r="F225" s="248"/>
      <c r="G225" s="248"/>
      <c r="H225" s="248"/>
      <c r="I225" s="248"/>
      <c r="J225" s="248"/>
      <c r="K225" s="248"/>
    </row>
    <row r="226" spans="3:11" x14ac:dyDescent="0.2">
      <c r="C226" s="248"/>
      <c r="D226" s="248"/>
      <c r="E226" s="248"/>
      <c r="F226" s="248"/>
      <c r="G226" s="248"/>
      <c r="H226" s="248"/>
      <c r="I226" s="248"/>
      <c r="J226" s="248"/>
      <c r="K226" s="248"/>
    </row>
    <row r="227" spans="3:11" x14ac:dyDescent="0.2">
      <c r="C227" s="248"/>
      <c r="D227" s="248"/>
      <c r="E227" s="248"/>
      <c r="F227" s="248"/>
      <c r="G227" s="248"/>
      <c r="H227" s="248"/>
      <c r="I227" s="248"/>
      <c r="J227" s="248"/>
      <c r="K227" s="248"/>
    </row>
    <row r="228" spans="3:11" x14ac:dyDescent="0.2">
      <c r="C228" s="248"/>
      <c r="D228" s="248"/>
      <c r="E228" s="248"/>
      <c r="F228" s="248"/>
      <c r="G228" s="248"/>
      <c r="H228" s="248"/>
      <c r="I228" s="248"/>
      <c r="J228" s="248"/>
      <c r="K228" s="248"/>
    </row>
    <row r="229" spans="3:11" x14ac:dyDescent="0.2">
      <c r="C229" s="248"/>
      <c r="D229" s="248"/>
      <c r="E229" s="248"/>
      <c r="F229" s="248"/>
      <c r="G229" s="248"/>
      <c r="H229" s="248"/>
      <c r="I229" s="248"/>
      <c r="J229" s="248"/>
      <c r="K229" s="248"/>
    </row>
    <row r="230" spans="3:11" x14ac:dyDescent="0.2">
      <c r="C230" s="248"/>
      <c r="D230" s="248"/>
      <c r="E230" s="248"/>
      <c r="F230" s="248"/>
      <c r="G230" s="248"/>
      <c r="H230" s="248"/>
      <c r="I230" s="248"/>
      <c r="J230" s="248"/>
      <c r="K230" s="248"/>
    </row>
    <row r="231" spans="3:11" x14ac:dyDescent="0.2">
      <c r="C231" s="248"/>
      <c r="D231" s="248"/>
      <c r="E231" s="248"/>
      <c r="F231" s="248"/>
      <c r="G231" s="248"/>
      <c r="H231" s="248"/>
      <c r="I231" s="248"/>
      <c r="J231" s="248"/>
      <c r="K231" s="248"/>
    </row>
    <row r="232" spans="3:11" x14ac:dyDescent="0.2">
      <c r="C232" s="248"/>
      <c r="D232" s="248"/>
      <c r="E232" s="248"/>
      <c r="F232" s="248"/>
      <c r="G232" s="248"/>
      <c r="H232" s="248"/>
      <c r="I232" s="248"/>
      <c r="J232" s="248"/>
      <c r="K232" s="248"/>
    </row>
    <row r="233" spans="3:11" x14ac:dyDescent="0.2">
      <c r="C233" s="248"/>
      <c r="D233" s="248"/>
      <c r="E233" s="248"/>
      <c r="F233" s="248"/>
      <c r="G233" s="248"/>
      <c r="H233" s="248"/>
      <c r="I233" s="248"/>
      <c r="J233" s="248"/>
      <c r="K233" s="248"/>
    </row>
    <row r="234" spans="3:11" x14ac:dyDescent="0.2">
      <c r="C234" s="248"/>
      <c r="D234" s="248"/>
      <c r="E234" s="248"/>
      <c r="F234" s="248"/>
      <c r="G234" s="248"/>
      <c r="H234" s="248"/>
      <c r="I234" s="248"/>
      <c r="J234" s="248"/>
      <c r="K234" s="248"/>
    </row>
    <row r="235" spans="3:11" x14ac:dyDescent="0.2">
      <c r="C235" s="248"/>
      <c r="D235" s="248"/>
      <c r="E235" s="248"/>
      <c r="F235" s="248"/>
      <c r="G235" s="248"/>
      <c r="H235" s="248"/>
      <c r="I235" s="248"/>
      <c r="J235" s="248"/>
      <c r="K235" s="248"/>
    </row>
    <row r="236" spans="3:11" x14ac:dyDescent="0.2">
      <c r="C236" s="248"/>
      <c r="D236" s="248"/>
      <c r="E236" s="248"/>
      <c r="F236" s="248"/>
      <c r="G236" s="248"/>
      <c r="H236" s="248"/>
      <c r="I236" s="248"/>
      <c r="J236" s="248"/>
      <c r="K236" s="248"/>
    </row>
    <row r="237" spans="3:11" x14ac:dyDescent="0.2">
      <c r="C237" s="248"/>
      <c r="D237" s="248"/>
      <c r="E237" s="248"/>
      <c r="F237" s="248"/>
      <c r="G237" s="248"/>
      <c r="H237" s="248"/>
      <c r="I237" s="248"/>
      <c r="J237" s="248"/>
      <c r="K237" s="248"/>
    </row>
    <row r="238" spans="3:11" x14ac:dyDescent="0.2">
      <c r="C238" s="248"/>
      <c r="D238" s="248"/>
      <c r="E238" s="248"/>
      <c r="F238" s="248"/>
      <c r="G238" s="248"/>
      <c r="H238" s="248"/>
      <c r="I238" s="248"/>
      <c r="J238" s="248"/>
      <c r="K238" s="248"/>
    </row>
    <row r="239" spans="3:11" x14ac:dyDescent="0.2">
      <c r="C239" s="248"/>
      <c r="D239" s="248"/>
      <c r="E239" s="248"/>
      <c r="F239" s="248"/>
      <c r="G239" s="248"/>
      <c r="H239" s="248"/>
      <c r="I239" s="248"/>
      <c r="J239" s="248"/>
      <c r="K239" s="248"/>
    </row>
    <row r="240" spans="3:11" x14ac:dyDescent="0.2">
      <c r="C240" s="248"/>
      <c r="D240" s="248"/>
      <c r="E240" s="248"/>
      <c r="F240" s="248"/>
      <c r="G240" s="248"/>
      <c r="H240" s="248"/>
      <c r="I240" s="248"/>
      <c r="J240" s="248"/>
      <c r="K240" s="248"/>
    </row>
    <row r="241" spans="3:11" x14ac:dyDescent="0.2">
      <c r="C241" s="248"/>
      <c r="D241" s="248"/>
      <c r="E241" s="248"/>
      <c r="F241" s="248"/>
      <c r="G241" s="248"/>
      <c r="H241" s="248"/>
      <c r="I241" s="248"/>
      <c r="J241" s="248"/>
      <c r="K241" s="248"/>
    </row>
    <row r="242" spans="3:11" x14ac:dyDescent="0.2">
      <c r="C242" s="248"/>
      <c r="D242" s="248"/>
      <c r="E242" s="248"/>
      <c r="F242" s="248"/>
      <c r="G242" s="248"/>
      <c r="H242" s="248"/>
      <c r="I242" s="248"/>
      <c r="J242" s="248"/>
      <c r="K242" s="248"/>
    </row>
    <row r="243" spans="3:11" x14ac:dyDescent="0.2">
      <c r="C243" s="248"/>
      <c r="D243" s="248"/>
      <c r="E243" s="248"/>
      <c r="F243" s="248"/>
      <c r="G243" s="248"/>
      <c r="H243" s="248"/>
      <c r="I243" s="248"/>
      <c r="J243" s="248"/>
      <c r="K243" s="248"/>
    </row>
  </sheetData>
  <mergeCells count="2">
    <mergeCell ref="C3:E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E053C-4D73-4891-A977-B0EA2A4A890D}">
  <sheetPr>
    <pageSetUpPr fitToPage="1"/>
  </sheetPr>
  <dimension ref="A1:P558"/>
  <sheetViews>
    <sheetView topLeftCell="A101" workbookViewId="0">
      <selection activeCell="D65" sqref="D65"/>
    </sheetView>
  </sheetViews>
  <sheetFormatPr defaultColWidth="9.140625" defaultRowHeight="12.75" customHeight="1" x14ac:dyDescent="0.2"/>
  <cols>
    <col min="1" max="1" width="3" style="246" bestFit="1" customWidth="1"/>
    <col min="2" max="2" width="7.28515625" style="246" customWidth="1"/>
    <col min="3" max="3" width="41" style="246" customWidth="1"/>
    <col min="4" max="4" width="21.85546875" style="246" customWidth="1"/>
    <col min="5" max="5" width="14.42578125" style="246" customWidth="1"/>
    <col min="6" max="6" width="12.140625" style="560" bestFit="1" customWidth="1"/>
    <col min="7" max="7" width="21.42578125" style="246" customWidth="1"/>
    <col min="8" max="8" width="4.28515625" style="560" customWidth="1"/>
    <col min="9" max="9" width="75.7109375" style="246" bestFit="1" customWidth="1"/>
    <col min="10" max="10" width="9.5703125" style="246" bestFit="1" customWidth="1"/>
    <col min="11" max="11" width="14.5703125" style="246" customWidth="1"/>
    <col min="12" max="16384" width="9.140625" style="246"/>
  </cols>
  <sheetData>
    <row r="1" spans="1:11" ht="12.75" customHeight="1" x14ac:dyDescent="0.2">
      <c r="A1" s="557"/>
      <c r="B1" s="558" t="s">
        <v>641</v>
      </c>
      <c r="C1" s="559"/>
      <c r="I1" s="561"/>
    </row>
    <row r="2" spans="1:11" ht="12.75" customHeight="1" x14ac:dyDescent="0.2">
      <c r="B2" s="562" t="str">
        <f>Based_on_the_Second_Calculation_of_the_FEFP_2010_11</f>
        <v>Based on the 2025-26 Third Calculation Worksheet</v>
      </c>
      <c r="C2" s="563"/>
      <c r="E2" s="564"/>
      <c r="F2" s="565"/>
      <c r="G2" s="564"/>
      <c r="I2" s="566"/>
    </row>
    <row r="3" spans="1:11" ht="12.75" customHeight="1" thickBot="1" x14ac:dyDescent="0.25">
      <c r="B3" s="567"/>
      <c r="C3" s="563"/>
      <c r="E3" s="564"/>
      <c r="F3" s="862"/>
      <c r="G3" s="862"/>
      <c r="I3" s="566"/>
    </row>
    <row r="4" spans="1:11" ht="12.75" customHeight="1" thickBot="1" x14ac:dyDescent="0.25">
      <c r="A4" s="247"/>
      <c r="B4" s="568" t="s">
        <v>546</v>
      </c>
      <c r="C4" s="569" t="s">
        <v>547</v>
      </c>
      <c r="D4" s="556" t="s">
        <v>548</v>
      </c>
      <c r="E4" s="298" t="s">
        <v>54</v>
      </c>
      <c r="F4" s="570" t="s">
        <v>549</v>
      </c>
      <c r="G4" s="298" t="s">
        <v>550</v>
      </c>
      <c r="I4" s="571" t="s">
        <v>551</v>
      </c>
    </row>
    <row r="5" spans="1:11" ht="12.75" customHeight="1" x14ac:dyDescent="0.2">
      <c r="A5" s="572">
        <v>1</v>
      </c>
      <c r="B5" s="573" t="s">
        <v>271</v>
      </c>
      <c r="C5" s="574" t="s">
        <v>272</v>
      </c>
      <c r="D5" s="575" t="s">
        <v>677</v>
      </c>
      <c r="E5" s="576">
        <f>'0040'!$J$124</f>
        <v>17938</v>
      </c>
      <c r="F5" s="577"/>
      <c r="G5" s="576">
        <f>SUBTOTAL(109,E5:F7)</f>
        <v>17938</v>
      </c>
      <c r="I5" s="578"/>
    </row>
    <row r="6" spans="1:11" ht="12.75" hidden="1" customHeight="1" x14ac:dyDescent="0.2">
      <c r="A6" s="295"/>
      <c r="B6" s="567"/>
      <c r="C6" s="579"/>
      <c r="D6" s="557" t="s">
        <v>553</v>
      </c>
      <c r="E6" s="295"/>
      <c r="F6" s="702"/>
      <c r="G6" s="295"/>
      <c r="I6" s="580"/>
    </row>
    <row r="7" spans="1:11" ht="12.75" hidden="1" customHeight="1" x14ac:dyDescent="0.2">
      <c r="A7" s="295"/>
      <c r="B7" s="567"/>
      <c r="C7" s="579"/>
      <c r="D7" s="247"/>
      <c r="E7" s="295"/>
      <c r="F7" s="565"/>
      <c r="G7" s="295"/>
      <c r="I7" s="581" t="s">
        <v>552</v>
      </c>
    </row>
    <row r="8" spans="1:11" ht="12.75" customHeight="1" x14ac:dyDescent="0.2">
      <c r="A8" s="572">
        <v>2</v>
      </c>
      <c r="B8" s="573" t="s">
        <v>611</v>
      </c>
      <c r="C8" s="574" t="s">
        <v>612</v>
      </c>
      <c r="D8" s="575" t="str">
        <f>D5</f>
        <v>FTE  Jul 2026</v>
      </c>
      <c r="E8" s="576">
        <f>'0571'!$J$124</f>
        <v>97114.58</v>
      </c>
      <c r="F8" s="577"/>
      <c r="G8" s="576">
        <f>SUBTOTAL(109,E8:F8)</f>
        <v>97114.58</v>
      </c>
      <c r="I8" s="581"/>
      <c r="K8" s="685"/>
    </row>
    <row r="9" spans="1:11" ht="12.75" hidden="1" customHeight="1" x14ac:dyDescent="0.2">
      <c r="A9" s="295"/>
      <c r="B9" s="255"/>
      <c r="C9" s="582"/>
      <c r="D9" s="557"/>
      <c r="E9" s="583"/>
      <c r="F9" s="565"/>
      <c r="G9" s="583"/>
      <c r="I9" s="581"/>
      <c r="K9" s="685"/>
    </row>
    <row r="10" spans="1:11" ht="12.75" customHeight="1" x14ac:dyDescent="0.2">
      <c r="A10" s="295">
        <v>3</v>
      </c>
      <c r="B10" s="255" t="s">
        <v>273</v>
      </c>
      <c r="C10" s="582" t="s">
        <v>392</v>
      </c>
      <c r="D10" s="557" t="str">
        <f>D5</f>
        <v>FTE  Jul 2026</v>
      </c>
      <c r="E10" s="583">
        <f>'0100'!$J$124</f>
        <v>74347.16</v>
      </c>
      <c r="F10" s="565"/>
      <c r="G10" s="583">
        <f>SUBTOTAL(109,E10:F12)</f>
        <v>74347.16</v>
      </c>
      <c r="I10" s="584"/>
      <c r="K10" s="685"/>
    </row>
    <row r="11" spans="1:11" ht="12.75" hidden="1" customHeight="1" x14ac:dyDescent="0.2">
      <c r="A11" s="295"/>
      <c r="B11" s="567"/>
      <c r="C11" s="579"/>
      <c r="D11" s="247" t="s">
        <v>553</v>
      </c>
      <c r="E11" s="295"/>
      <c r="F11" s="702"/>
      <c r="G11" s="295"/>
      <c r="I11" s="584"/>
      <c r="K11" s="685"/>
    </row>
    <row r="12" spans="1:11" ht="12.75" hidden="1" customHeight="1" x14ac:dyDescent="0.2">
      <c r="A12" s="295"/>
      <c r="B12" s="579"/>
      <c r="C12" s="579"/>
      <c r="D12" s="295"/>
      <c r="E12" s="295"/>
      <c r="F12" s="565"/>
      <c r="G12" s="295"/>
      <c r="I12" s="580"/>
      <c r="K12" s="685"/>
    </row>
    <row r="13" spans="1:11" ht="12.75" hidden="1" customHeight="1" x14ac:dyDescent="0.2">
      <c r="A13" s="295"/>
      <c r="B13" s="579"/>
      <c r="C13" s="579"/>
      <c r="D13" s="295"/>
      <c r="E13" s="295"/>
      <c r="F13" s="565"/>
      <c r="G13" s="295"/>
      <c r="I13" s="585"/>
      <c r="K13" s="685"/>
    </row>
    <row r="14" spans="1:11" s="345" customFormat="1" ht="13.5" customHeight="1" x14ac:dyDescent="0.2">
      <c r="A14" s="572">
        <v>4</v>
      </c>
      <c r="B14" s="586" t="s">
        <v>275</v>
      </c>
      <c r="C14" s="587" t="s">
        <v>276</v>
      </c>
      <c r="D14" s="575" t="str">
        <f>D5</f>
        <v>FTE  Jul 2026</v>
      </c>
      <c r="E14" s="576">
        <f>'1461'!$J$124</f>
        <v>659118.96</v>
      </c>
      <c r="F14" s="588"/>
      <c r="G14" s="576">
        <f>SUBTOTAL(109,E14:F55)</f>
        <v>544693.51</v>
      </c>
      <c r="H14" s="589"/>
      <c r="I14" s="585"/>
      <c r="K14" s="685"/>
    </row>
    <row r="15" spans="1:11" s="345" customFormat="1" ht="12.75" hidden="1" customHeight="1" x14ac:dyDescent="0.2">
      <c r="A15" s="572"/>
      <c r="B15" s="586"/>
      <c r="C15" s="587"/>
      <c r="D15" s="590" t="s">
        <v>553</v>
      </c>
      <c r="E15" s="576"/>
      <c r="F15" s="588"/>
      <c r="G15" s="576"/>
      <c r="H15" s="589"/>
      <c r="I15" s="581" t="s">
        <v>552</v>
      </c>
      <c r="K15" s="685"/>
    </row>
    <row r="16" spans="1:11" s="345" customFormat="1" ht="12.75" hidden="1" customHeight="1" x14ac:dyDescent="0.2">
      <c r="A16" s="572"/>
      <c r="B16" s="586"/>
      <c r="C16" s="587"/>
      <c r="D16" s="591" t="s">
        <v>554</v>
      </c>
      <c r="E16" s="576"/>
      <c r="F16" s="588"/>
      <c r="G16" s="576"/>
      <c r="H16" s="589"/>
      <c r="I16" s="581"/>
      <c r="K16" s="685"/>
    </row>
    <row r="17" spans="1:11" s="345" customFormat="1" ht="12.75" hidden="1" customHeight="1" x14ac:dyDescent="0.2">
      <c r="A17" s="572"/>
      <c r="B17" s="586"/>
      <c r="C17" s="587"/>
      <c r="D17" s="590" t="s">
        <v>555</v>
      </c>
      <c r="E17" s="576"/>
      <c r="F17" s="588"/>
      <c r="G17" s="576"/>
      <c r="H17" s="589"/>
      <c r="I17" s="581"/>
      <c r="K17" s="685"/>
    </row>
    <row r="18" spans="1:11" s="345" customFormat="1" ht="12.75" hidden="1" customHeight="1" thickBot="1" x14ac:dyDescent="0.25">
      <c r="A18" s="572"/>
      <c r="B18" s="586"/>
      <c r="C18" s="587"/>
      <c r="D18" s="590" t="s">
        <v>556</v>
      </c>
      <c r="E18" s="576"/>
      <c r="F18" s="588"/>
      <c r="G18" s="576"/>
      <c r="H18" s="589"/>
      <c r="I18" s="592"/>
      <c r="K18" s="685"/>
    </row>
    <row r="19" spans="1:11" s="345" customFormat="1" ht="12.75" hidden="1" customHeight="1" x14ac:dyDescent="0.2">
      <c r="A19" s="572"/>
      <c r="B19" s="586"/>
      <c r="C19" s="587"/>
      <c r="D19" s="590" t="s">
        <v>557</v>
      </c>
      <c r="E19" s="576"/>
      <c r="F19" s="588"/>
      <c r="G19" s="576"/>
      <c r="H19" s="589"/>
      <c r="I19" s="580"/>
      <c r="K19" s="685"/>
    </row>
    <row r="20" spans="1:11" s="345" customFormat="1" ht="12.75" hidden="1" customHeight="1" x14ac:dyDescent="0.2">
      <c r="A20" s="572"/>
      <c r="B20" s="586"/>
      <c r="C20" s="587"/>
      <c r="D20" s="590" t="s">
        <v>558</v>
      </c>
      <c r="E20" s="576"/>
      <c r="F20" s="588"/>
      <c r="G20" s="576"/>
      <c r="H20" s="589"/>
      <c r="I20" s="585"/>
      <c r="K20" s="685"/>
    </row>
    <row r="21" spans="1:11" s="345" customFormat="1" ht="12.75" customHeight="1" thickBot="1" x14ac:dyDescent="0.25">
      <c r="A21" s="572"/>
      <c r="B21" s="586"/>
      <c r="C21" s="593"/>
      <c r="D21" s="594" t="s">
        <v>559</v>
      </c>
      <c r="E21" s="576"/>
      <c r="F21" s="588">
        <v>-97617.78</v>
      </c>
      <c r="G21" s="576"/>
      <c r="H21" s="589"/>
      <c r="I21" s="595"/>
      <c r="K21" s="685"/>
    </row>
    <row r="22" spans="1:11" s="345" customFormat="1" ht="12.75" customHeight="1" x14ac:dyDescent="0.2">
      <c r="A22" s="572"/>
      <c r="B22" s="586"/>
      <c r="C22" s="593"/>
      <c r="D22" s="594" t="s">
        <v>560</v>
      </c>
      <c r="E22" s="576"/>
      <c r="F22" s="588">
        <v>-14222.22</v>
      </c>
      <c r="G22" s="576"/>
      <c r="H22" s="589"/>
      <c r="K22" s="685"/>
    </row>
    <row r="23" spans="1:11" s="345" customFormat="1" ht="12.75" customHeight="1" x14ac:dyDescent="0.2">
      <c r="A23" s="572"/>
      <c r="B23" s="586"/>
      <c r="C23" s="593"/>
      <c r="D23" s="594" t="s">
        <v>561</v>
      </c>
      <c r="E23" s="576"/>
      <c r="F23" s="588">
        <v>-264.72000000000003</v>
      </c>
      <c r="G23" s="576"/>
      <c r="H23" s="589"/>
      <c r="I23" s="596"/>
      <c r="K23" s="685"/>
    </row>
    <row r="24" spans="1:11" s="345" customFormat="1" ht="12.75" customHeight="1" x14ac:dyDescent="0.2">
      <c r="A24" s="572"/>
      <c r="B24" s="586"/>
      <c r="C24" s="593"/>
      <c r="D24" s="597" t="s">
        <v>562</v>
      </c>
      <c r="E24" s="576"/>
      <c r="F24" s="588">
        <v>-94.48</v>
      </c>
      <c r="G24" s="576"/>
      <c r="H24" s="589"/>
      <c r="I24" s="596"/>
      <c r="K24" s="685"/>
    </row>
    <row r="25" spans="1:11" s="345" customFormat="1" ht="12.75" customHeight="1" x14ac:dyDescent="0.2">
      <c r="A25" s="572"/>
      <c r="B25" s="586"/>
      <c r="C25" s="593"/>
      <c r="D25" s="594" t="s">
        <v>563</v>
      </c>
      <c r="E25" s="576"/>
      <c r="F25" s="588">
        <v>-90</v>
      </c>
      <c r="G25" s="576"/>
      <c r="H25" s="589"/>
      <c r="I25" s="598"/>
      <c r="K25" s="685"/>
    </row>
    <row r="26" spans="1:11" s="345" customFormat="1" ht="12.75" hidden="1" customHeight="1" x14ac:dyDescent="0.2">
      <c r="A26" s="572"/>
      <c r="B26" s="586"/>
      <c r="C26" s="599" t="s">
        <v>564</v>
      </c>
      <c r="D26" s="597" t="s">
        <v>565</v>
      </c>
      <c r="E26" s="576"/>
      <c r="F26" s="588"/>
      <c r="G26" s="576"/>
      <c r="H26" s="589"/>
      <c r="I26" s="598"/>
      <c r="K26" s="685"/>
    </row>
    <row r="27" spans="1:11" s="345" customFormat="1" ht="12.75" hidden="1" customHeight="1" x14ac:dyDescent="0.2">
      <c r="A27" s="572"/>
      <c r="B27" s="586"/>
      <c r="C27" s="593"/>
      <c r="D27" s="597" t="s">
        <v>566</v>
      </c>
      <c r="E27" s="576"/>
      <c r="F27" s="588"/>
      <c r="G27" s="576"/>
      <c r="H27" s="589"/>
      <c r="I27" s="600"/>
      <c r="K27" s="685"/>
    </row>
    <row r="28" spans="1:11" s="345" customFormat="1" ht="12.75" hidden="1" customHeight="1" x14ac:dyDescent="0.2">
      <c r="A28" s="572"/>
      <c r="B28" s="586"/>
      <c r="C28" s="593"/>
      <c r="D28" s="597"/>
      <c r="E28" s="576"/>
      <c r="F28" s="588"/>
      <c r="G28" s="576"/>
      <c r="H28" s="589"/>
      <c r="I28" s="600"/>
      <c r="K28" s="685"/>
    </row>
    <row r="29" spans="1:11" s="345" customFormat="1" ht="12.75" hidden="1" customHeight="1" x14ac:dyDescent="0.2">
      <c r="A29" s="572"/>
      <c r="B29" s="586"/>
      <c r="C29" s="593"/>
      <c r="D29" s="597"/>
      <c r="E29" s="576"/>
      <c r="F29" s="588"/>
      <c r="G29" s="576"/>
      <c r="H29" s="589"/>
      <c r="I29" s="600"/>
      <c r="K29" s="685"/>
    </row>
    <row r="30" spans="1:11" s="345" customFormat="1" ht="12.75" hidden="1" customHeight="1" x14ac:dyDescent="0.2">
      <c r="A30" s="572"/>
      <c r="B30" s="586"/>
      <c r="C30" s="593"/>
      <c r="D30" s="597" t="s">
        <v>567</v>
      </c>
      <c r="E30" s="576"/>
      <c r="F30" s="588"/>
      <c r="G30" s="576"/>
      <c r="H30" s="589"/>
      <c r="I30" s="601"/>
      <c r="K30" s="685"/>
    </row>
    <row r="31" spans="1:11" s="345" customFormat="1" ht="12.75" hidden="1" customHeight="1" x14ac:dyDescent="0.2">
      <c r="A31" s="572"/>
      <c r="B31" s="586"/>
      <c r="C31" s="593"/>
      <c r="D31" s="597" t="s">
        <v>568</v>
      </c>
      <c r="E31" s="576"/>
      <c r="F31" s="588"/>
      <c r="G31" s="576"/>
      <c r="H31" s="589"/>
      <c r="I31" s="596"/>
      <c r="K31" s="685"/>
    </row>
    <row r="32" spans="1:11" s="345" customFormat="1" ht="12.75" hidden="1" customHeight="1" x14ac:dyDescent="0.2">
      <c r="A32" s="572"/>
      <c r="B32" s="586"/>
      <c r="C32" s="593"/>
      <c r="D32" s="597" t="s">
        <v>569</v>
      </c>
      <c r="E32" s="576"/>
      <c r="F32" s="588"/>
      <c r="G32" s="576"/>
      <c r="H32" s="589"/>
      <c r="I32" s="601"/>
      <c r="K32" s="685"/>
    </row>
    <row r="33" spans="1:11" s="345" customFormat="1" ht="12.75" hidden="1" customHeight="1" x14ac:dyDescent="0.2">
      <c r="A33" s="572"/>
      <c r="B33" s="586"/>
      <c r="C33" s="593"/>
      <c r="D33" s="597" t="s">
        <v>570</v>
      </c>
      <c r="E33" s="576"/>
      <c r="F33" s="588"/>
      <c r="G33" s="576"/>
      <c r="H33" s="589"/>
      <c r="I33" s="596"/>
      <c r="K33" s="685"/>
    </row>
    <row r="34" spans="1:11" s="345" customFormat="1" ht="12.75" hidden="1" customHeight="1" x14ac:dyDescent="0.2">
      <c r="A34" s="572"/>
      <c r="B34" s="586"/>
      <c r="C34" s="593"/>
      <c r="D34" s="597"/>
      <c r="E34" s="576"/>
      <c r="F34" s="588"/>
      <c r="G34" s="576"/>
      <c r="H34" s="589"/>
      <c r="K34" s="685"/>
    </row>
    <row r="35" spans="1:11" s="345" customFormat="1" ht="12.75" hidden="1" customHeight="1" x14ac:dyDescent="0.2">
      <c r="A35" s="572"/>
      <c r="B35" s="586"/>
      <c r="C35" s="593"/>
      <c r="D35" s="597"/>
      <c r="E35" s="576"/>
      <c r="F35" s="588"/>
      <c r="G35" s="576"/>
      <c r="H35" s="589"/>
      <c r="I35" s="596"/>
      <c r="K35" s="685"/>
    </row>
    <row r="36" spans="1:11" s="345" customFormat="1" ht="12.75" hidden="1" customHeight="1" x14ac:dyDescent="0.2">
      <c r="A36" s="572"/>
      <c r="B36" s="586"/>
      <c r="C36" s="593"/>
      <c r="D36" s="597" t="s">
        <v>571</v>
      </c>
      <c r="E36" s="576"/>
      <c r="F36" s="588"/>
      <c r="G36" s="576"/>
      <c r="H36" s="589"/>
      <c r="I36" s="596"/>
      <c r="K36" s="685"/>
    </row>
    <row r="37" spans="1:11" s="345" customFormat="1" ht="12.75" hidden="1" customHeight="1" x14ac:dyDescent="0.2">
      <c r="A37" s="572"/>
      <c r="B37" s="586"/>
      <c r="C37" s="593"/>
      <c r="D37" s="597" t="s">
        <v>572</v>
      </c>
      <c r="E37" s="576"/>
      <c r="F37" s="588"/>
      <c r="G37" s="576"/>
      <c r="H37" s="589"/>
      <c r="I37" s="596"/>
      <c r="K37" s="685"/>
    </row>
    <row r="38" spans="1:11" s="345" customFormat="1" ht="12.75" hidden="1" customHeight="1" x14ac:dyDescent="0.2">
      <c r="A38" s="572"/>
      <c r="B38" s="586"/>
      <c r="C38" s="593"/>
      <c r="D38" s="597"/>
      <c r="E38" s="576"/>
      <c r="F38" s="588"/>
      <c r="G38" s="576"/>
      <c r="H38" s="589"/>
      <c r="I38" s="602"/>
      <c r="K38" s="685"/>
    </row>
    <row r="39" spans="1:11" s="345" customFormat="1" ht="12.75" hidden="1" customHeight="1" x14ac:dyDescent="0.2">
      <c r="A39" s="572"/>
      <c r="B39" s="586"/>
      <c r="C39" s="593"/>
      <c r="D39" s="597" t="s">
        <v>620</v>
      </c>
      <c r="E39" s="576"/>
      <c r="F39" s="588"/>
      <c r="G39" s="576"/>
      <c r="H39" s="589"/>
      <c r="I39" s="602"/>
      <c r="K39" s="685"/>
    </row>
    <row r="40" spans="1:11" s="345" customFormat="1" ht="12.75" hidden="1" customHeight="1" x14ac:dyDescent="0.2">
      <c r="A40" s="572"/>
      <c r="B40" s="586"/>
      <c r="C40" s="593"/>
      <c r="D40" s="597" t="s">
        <v>621</v>
      </c>
      <c r="E40" s="576"/>
      <c r="F40" s="588"/>
      <c r="G40" s="576"/>
      <c r="H40" s="589"/>
      <c r="I40" s="602"/>
      <c r="K40" s="685"/>
    </row>
    <row r="41" spans="1:11" s="345" customFormat="1" ht="12.75" hidden="1" customHeight="1" x14ac:dyDescent="0.2">
      <c r="A41" s="572"/>
      <c r="B41" s="586"/>
      <c r="C41" s="593"/>
      <c r="D41" s="597" t="s">
        <v>622</v>
      </c>
      <c r="E41" s="576"/>
      <c r="F41" s="588"/>
      <c r="G41" s="576"/>
      <c r="H41" s="589"/>
      <c r="I41" s="602"/>
      <c r="K41" s="685"/>
    </row>
    <row r="42" spans="1:11" s="345" customFormat="1" ht="12.75" hidden="1" customHeight="1" x14ac:dyDescent="0.2">
      <c r="A42" s="572"/>
      <c r="B42" s="586"/>
      <c r="C42" s="593"/>
      <c r="D42" s="597" t="s">
        <v>623</v>
      </c>
      <c r="E42" s="576"/>
      <c r="F42" s="588"/>
      <c r="G42" s="576"/>
      <c r="H42" s="589"/>
      <c r="I42" s="602"/>
      <c r="K42" s="685"/>
    </row>
    <row r="43" spans="1:11" s="345" customFormat="1" ht="12.75" hidden="1" customHeight="1" x14ac:dyDescent="0.2">
      <c r="A43" s="572"/>
      <c r="B43" s="586"/>
      <c r="C43" s="593"/>
      <c r="D43" s="597" t="s">
        <v>624</v>
      </c>
      <c r="E43" s="576"/>
      <c r="F43" s="588"/>
      <c r="G43" s="576"/>
      <c r="H43" s="589"/>
      <c r="I43" s="602"/>
      <c r="K43" s="685"/>
    </row>
    <row r="44" spans="1:11" s="345" customFormat="1" ht="12.75" hidden="1" customHeight="1" x14ac:dyDescent="0.2">
      <c r="A44" s="572"/>
      <c r="B44" s="586"/>
      <c r="C44" s="593"/>
      <c r="D44" s="597" t="s">
        <v>625</v>
      </c>
      <c r="E44" s="576"/>
      <c r="F44" s="588"/>
      <c r="G44" s="576"/>
      <c r="H44" s="589"/>
      <c r="I44" s="602"/>
      <c r="K44" s="685"/>
    </row>
    <row r="45" spans="1:11" s="345" customFormat="1" ht="12.75" hidden="1" customHeight="1" x14ac:dyDescent="0.2">
      <c r="A45" s="572"/>
      <c r="B45" s="586"/>
      <c r="C45" s="593"/>
      <c r="D45" s="597" t="s">
        <v>626</v>
      </c>
      <c r="E45" s="576"/>
      <c r="F45" s="588"/>
      <c r="G45" s="576"/>
      <c r="H45" s="589"/>
      <c r="I45" s="602"/>
      <c r="K45" s="685"/>
    </row>
    <row r="46" spans="1:11" s="345" customFormat="1" ht="12.75" hidden="1" customHeight="1" x14ac:dyDescent="0.2">
      <c r="A46" s="572"/>
      <c r="B46" s="586"/>
      <c r="C46" s="593"/>
      <c r="D46" s="597" t="s">
        <v>627</v>
      </c>
      <c r="E46" s="576"/>
      <c r="F46" s="588"/>
      <c r="G46" s="576"/>
      <c r="H46" s="589"/>
      <c r="I46" s="602"/>
      <c r="K46" s="685"/>
    </row>
    <row r="47" spans="1:11" s="345" customFormat="1" ht="12.75" hidden="1" customHeight="1" x14ac:dyDescent="0.2">
      <c r="A47" s="572"/>
      <c r="B47" s="586"/>
      <c r="C47" s="593"/>
      <c r="D47" s="597" t="s">
        <v>628</v>
      </c>
      <c r="E47" s="576"/>
      <c r="F47" s="588"/>
      <c r="G47" s="576"/>
      <c r="H47" s="589"/>
      <c r="I47" s="602"/>
      <c r="K47" s="685"/>
    </row>
    <row r="48" spans="1:11" s="345" customFormat="1" ht="12.75" hidden="1" customHeight="1" x14ac:dyDescent="0.2">
      <c r="A48" s="572"/>
      <c r="B48" s="586"/>
      <c r="C48" s="593"/>
      <c r="D48" s="597" t="s">
        <v>629</v>
      </c>
      <c r="E48" s="576"/>
      <c r="F48" s="588"/>
      <c r="G48" s="576"/>
      <c r="H48" s="589"/>
      <c r="I48" s="602"/>
      <c r="K48" s="685"/>
    </row>
    <row r="49" spans="1:12" s="345" customFormat="1" ht="12.75" hidden="1" customHeight="1" x14ac:dyDescent="0.2">
      <c r="A49" s="572"/>
      <c r="B49" s="586"/>
      <c r="C49" s="593"/>
      <c r="D49" s="597" t="s">
        <v>630</v>
      </c>
      <c r="E49" s="576"/>
      <c r="F49" s="588"/>
      <c r="G49" s="576"/>
      <c r="H49" s="589"/>
      <c r="I49" s="602"/>
      <c r="K49" s="685"/>
    </row>
    <row r="50" spans="1:12" s="345" customFormat="1" ht="12.75" hidden="1" customHeight="1" x14ac:dyDescent="0.2">
      <c r="A50" s="572"/>
      <c r="B50" s="586"/>
      <c r="C50" s="593"/>
      <c r="D50" s="597" t="s">
        <v>631</v>
      </c>
      <c r="E50" s="576"/>
      <c r="F50" s="588"/>
      <c r="G50" s="576"/>
      <c r="H50" s="589"/>
      <c r="I50" s="602"/>
      <c r="K50" s="685"/>
    </row>
    <row r="51" spans="1:12" s="345" customFormat="1" ht="12.75" customHeight="1" x14ac:dyDescent="0.2">
      <c r="A51" s="572"/>
      <c r="B51" s="586"/>
      <c r="C51" s="593"/>
      <c r="D51" s="597" t="s">
        <v>674</v>
      </c>
      <c r="E51" s="576"/>
      <c r="F51" s="588">
        <v>-2098.75</v>
      </c>
      <c r="G51" s="576"/>
      <c r="H51" s="589"/>
      <c r="I51" s="602"/>
      <c r="K51" s="685"/>
    </row>
    <row r="52" spans="1:12" s="345" customFormat="1" ht="12.75" customHeight="1" x14ac:dyDescent="0.2">
      <c r="A52" s="572"/>
      <c r="B52" s="586"/>
      <c r="C52" s="593"/>
      <c r="D52" s="597" t="s">
        <v>675</v>
      </c>
      <c r="E52" s="576"/>
      <c r="F52" s="588">
        <v>-37.5</v>
      </c>
      <c r="G52" s="576"/>
      <c r="H52" s="589"/>
      <c r="I52" s="602"/>
      <c r="K52" s="685"/>
    </row>
    <row r="53" spans="1:12" s="345" customFormat="1" ht="12.75" hidden="1" customHeight="1" x14ac:dyDescent="0.2">
      <c r="A53" s="572"/>
      <c r="B53" s="586"/>
      <c r="C53" s="593"/>
      <c r="D53" s="597"/>
      <c r="E53" s="576"/>
      <c r="F53" s="588"/>
      <c r="G53" s="576"/>
      <c r="H53" s="589"/>
      <c r="I53" s="602"/>
      <c r="K53" s="685"/>
    </row>
    <row r="54" spans="1:12" s="345" customFormat="1" ht="12.75" hidden="1" customHeight="1" x14ac:dyDescent="0.2">
      <c r="A54" s="572"/>
      <c r="B54" s="586"/>
      <c r="C54" s="593"/>
      <c r="D54" s="597"/>
      <c r="E54" s="576"/>
      <c r="F54" s="588"/>
      <c r="G54" s="576"/>
      <c r="H54" s="589"/>
      <c r="I54" s="602"/>
      <c r="K54" s="685"/>
    </row>
    <row r="55" spans="1:12" s="345" customFormat="1" ht="12.75" hidden="1" customHeight="1" x14ac:dyDescent="0.2">
      <c r="A55" s="572"/>
      <c r="B55" s="586"/>
      <c r="C55" s="593"/>
      <c r="D55" s="597" t="s">
        <v>655</v>
      </c>
      <c r="E55" s="576"/>
      <c r="F55" s="588"/>
      <c r="G55" s="576"/>
      <c r="H55" s="589"/>
      <c r="I55" s="602"/>
      <c r="K55" s="685"/>
    </row>
    <row r="56" spans="1:12" s="345" customFormat="1" ht="12.75" customHeight="1" x14ac:dyDescent="0.2">
      <c r="A56" s="295">
        <f>1+A14</f>
        <v>5</v>
      </c>
      <c r="B56" s="603" t="s">
        <v>277</v>
      </c>
      <c r="C56" s="604" t="s">
        <v>278</v>
      </c>
      <c r="D56" s="605" t="str">
        <f>$D$14</f>
        <v>FTE  Jul 2026</v>
      </c>
      <c r="E56" s="583">
        <f>'1571'!$J$124</f>
        <v>999703.09</v>
      </c>
      <c r="F56" s="606"/>
      <c r="G56" s="583">
        <f>SUBTOTAL(109,E56:F73)</f>
        <v>985014.31</v>
      </c>
      <c r="H56" s="589"/>
      <c r="I56" s="598"/>
      <c r="K56" s="685"/>
    </row>
    <row r="57" spans="1:12" s="345" customFormat="1" ht="12.75" hidden="1" customHeight="1" x14ac:dyDescent="0.2">
      <c r="A57" s="295"/>
      <c r="B57" s="603"/>
      <c r="C57" s="607"/>
      <c r="D57" s="251" t="s">
        <v>553</v>
      </c>
      <c r="E57" s="583"/>
      <c r="F57" s="606"/>
      <c r="G57" s="583"/>
      <c r="H57" s="589"/>
      <c r="I57" s="598"/>
      <c r="K57" s="685"/>
    </row>
    <row r="58" spans="1:12" s="345" customFormat="1" ht="12.75" hidden="1" customHeight="1" x14ac:dyDescent="0.2">
      <c r="A58" s="295"/>
      <c r="B58" s="603"/>
      <c r="C58" s="604"/>
      <c r="D58" s="608" t="s">
        <v>554</v>
      </c>
      <c r="E58" s="583"/>
      <c r="F58" s="606"/>
      <c r="G58" s="583"/>
      <c r="H58" s="589"/>
      <c r="I58" s="598"/>
      <c r="K58" s="685"/>
    </row>
    <row r="59" spans="1:12" s="345" customFormat="1" ht="12.75" hidden="1" customHeight="1" x14ac:dyDescent="0.2">
      <c r="A59" s="295"/>
      <c r="B59" s="603"/>
      <c r="C59" s="609"/>
      <c r="D59" s="608" t="s">
        <v>573</v>
      </c>
      <c r="E59" s="583"/>
      <c r="F59" s="606"/>
      <c r="G59" s="583"/>
      <c r="H59" s="589"/>
      <c r="I59" s="598"/>
      <c r="K59" s="685"/>
    </row>
    <row r="60" spans="1:12" s="345" customFormat="1" ht="12.75" hidden="1" customHeight="1" x14ac:dyDescent="0.2">
      <c r="A60" s="295"/>
      <c r="B60" s="603"/>
      <c r="C60" s="604"/>
      <c r="D60" s="251" t="s">
        <v>555</v>
      </c>
      <c r="E60" s="583"/>
      <c r="F60" s="606"/>
      <c r="G60" s="583"/>
      <c r="H60" s="589"/>
      <c r="I60" s="598"/>
      <c r="K60" s="685"/>
      <c r="L60" s="610">
        <v>44630</v>
      </c>
    </row>
    <row r="61" spans="1:12" s="345" customFormat="1" ht="12.75" hidden="1" customHeight="1" x14ac:dyDescent="0.2">
      <c r="A61" s="295"/>
      <c r="B61" s="603"/>
      <c r="C61" s="604"/>
      <c r="D61" s="251" t="s">
        <v>556</v>
      </c>
      <c r="E61" s="583"/>
      <c r="F61" s="606"/>
      <c r="G61" s="583"/>
      <c r="H61" s="589"/>
      <c r="I61" s="598"/>
      <c r="K61" s="685"/>
      <c r="L61" s="610">
        <f>L60-60</f>
        <v>44570</v>
      </c>
    </row>
    <row r="62" spans="1:12" s="345" customFormat="1" ht="12.75" hidden="1" customHeight="1" x14ac:dyDescent="0.2">
      <c r="A62" s="295"/>
      <c r="B62" s="603"/>
      <c r="C62" s="604"/>
      <c r="D62" s="251" t="s">
        <v>557</v>
      </c>
      <c r="E62" s="583"/>
      <c r="F62" s="606"/>
      <c r="G62" s="583"/>
      <c r="H62" s="589"/>
      <c r="I62" s="598"/>
      <c r="K62" s="685"/>
    </row>
    <row r="63" spans="1:12" s="345" customFormat="1" ht="12.75" hidden="1" customHeight="1" x14ac:dyDescent="0.2">
      <c r="A63" s="295"/>
      <c r="B63" s="603"/>
      <c r="C63" s="604"/>
      <c r="D63" s="251" t="s">
        <v>558</v>
      </c>
      <c r="E63" s="583"/>
      <c r="F63" s="606"/>
      <c r="G63" s="583"/>
      <c r="H63" s="589"/>
      <c r="I63" s="598"/>
      <c r="K63" s="685"/>
    </row>
    <row r="64" spans="1:12" s="345" customFormat="1" ht="12.75" customHeight="1" x14ac:dyDescent="0.2">
      <c r="A64" s="295"/>
      <c r="B64" s="603"/>
      <c r="C64" s="611"/>
      <c r="D64" s="612" t="s">
        <v>560</v>
      </c>
      <c r="E64" s="583"/>
      <c r="F64" s="606">
        <v>-14222.22</v>
      </c>
      <c r="G64" s="583"/>
      <c r="H64" s="589"/>
      <c r="I64" s="598"/>
      <c r="K64" s="685"/>
    </row>
    <row r="65" spans="1:13" s="345" customFormat="1" ht="12.75" customHeight="1" x14ac:dyDescent="0.2">
      <c r="A65" s="295"/>
      <c r="B65" s="603"/>
      <c r="C65" s="611"/>
      <c r="D65" s="612" t="s">
        <v>561</v>
      </c>
      <c r="E65" s="583"/>
      <c r="F65" s="606">
        <v>-282.08</v>
      </c>
      <c r="G65" s="583"/>
      <c r="H65" s="589"/>
      <c r="I65" s="596"/>
      <c r="K65" s="685"/>
    </row>
    <row r="66" spans="1:13" s="345" customFormat="1" ht="12.75" customHeight="1" x14ac:dyDescent="0.2">
      <c r="A66" s="295"/>
      <c r="B66" s="603"/>
      <c r="C66" s="611"/>
      <c r="D66" s="612" t="s">
        <v>562</v>
      </c>
      <c r="E66" s="583"/>
      <c r="F66" s="606">
        <v>-94.48</v>
      </c>
      <c r="G66" s="583"/>
      <c r="H66" s="589"/>
      <c r="I66" s="596"/>
      <c r="K66" s="685"/>
    </row>
    <row r="67" spans="1:13" s="345" customFormat="1" ht="12.75" customHeight="1" x14ac:dyDescent="0.2">
      <c r="A67" s="295"/>
      <c r="B67" s="603"/>
      <c r="C67" s="611"/>
      <c r="D67" s="612" t="s">
        <v>563</v>
      </c>
      <c r="E67" s="583"/>
      <c r="F67" s="606">
        <v>-90</v>
      </c>
      <c r="G67" s="583"/>
      <c r="H67" s="589"/>
      <c r="I67" s="596"/>
      <c r="K67" s="685"/>
    </row>
    <row r="68" spans="1:13" s="345" customFormat="1" ht="12.75" hidden="1" customHeight="1" x14ac:dyDescent="0.2">
      <c r="A68" s="295"/>
      <c r="B68" s="603"/>
      <c r="C68" s="613"/>
      <c r="D68" s="614" t="s">
        <v>574</v>
      </c>
      <c r="E68" s="583"/>
      <c r="F68" s="606"/>
      <c r="G68" s="583"/>
      <c r="H68" s="615"/>
      <c r="I68" s="596"/>
      <c r="K68" s="685"/>
    </row>
    <row r="69" spans="1:13" s="345" customFormat="1" ht="12.75" hidden="1" customHeight="1" x14ac:dyDescent="0.2">
      <c r="A69" s="295"/>
      <c r="B69" s="603"/>
      <c r="C69" s="611"/>
      <c r="D69" s="709" t="s">
        <v>656</v>
      </c>
      <c r="E69" s="710"/>
      <c r="F69" s="606"/>
      <c r="G69" s="583"/>
      <c r="H69" s="589"/>
      <c r="I69" s="596"/>
      <c r="K69" s="685"/>
    </row>
    <row r="70" spans="1:13" s="345" customFormat="1" hidden="1" x14ac:dyDescent="0.2">
      <c r="A70" s="295"/>
      <c r="B70" s="603"/>
      <c r="C70" s="611"/>
      <c r="D70" s="709" t="s">
        <v>657</v>
      </c>
      <c r="E70" s="710"/>
      <c r="F70" s="606"/>
      <c r="G70" s="583"/>
      <c r="H70" s="589"/>
      <c r="I70" s="596"/>
      <c r="K70" s="685"/>
    </row>
    <row r="71" spans="1:13" s="345" customFormat="1" hidden="1" x14ac:dyDescent="0.2">
      <c r="A71" s="295"/>
      <c r="B71" s="603"/>
      <c r="C71" s="611"/>
      <c r="D71" s="612" t="s">
        <v>575</v>
      </c>
      <c r="E71" s="583"/>
      <c r="F71" s="606"/>
      <c r="G71" s="583"/>
      <c r="H71" s="589"/>
      <c r="I71" s="596"/>
      <c r="K71" s="685"/>
    </row>
    <row r="72" spans="1:13" s="345" customFormat="1" hidden="1" x14ac:dyDescent="0.2">
      <c r="A72" s="295"/>
      <c r="B72" s="603"/>
      <c r="C72" s="611"/>
      <c r="D72" s="612" t="s">
        <v>575</v>
      </c>
      <c r="E72" s="583"/>
      <c r="F72" s="606"/>
      <c r="G72" s="583"/>
      <c r="H72" s="589"/>
      <c r="I72" s="596"/>
      <c r="K72" s="685"/>
    </row>
    <row r="73" spans="1:13" s="345" customFormat="1" hidden="1" x14ac:dyDescent="0.2">
      <c r="A73" s="295"/>
      <c r="B73" s="603"/>
      <c r="C73" s="611"/>
      <c r="D73" s="612" t="s">
        <v>575</v>
      </c>
      <c r="E73" s="583"/>
      <c r="F73" s="606"/>
      <c r="G73" s="583"/>
      <c r="H73" s="589"/>
      <c r="I73" s="596"/>
      <c r="K73" s="685"/>
    </row>
    <row r="74" spans="1:13" s="345" customFormat="1" ht="12.75" customHeight="1" x14ac:dyDescent="0.2">
      <c r="A74" s="572">
        <f>1+A56</f>
        <v>6</v>
      </c>
      <c r="B74" s="586" t="s">
        <v>279</v>
      </c>
      <c r="C74" s="587" t="s">
        <v>280</v>
      </c>
      <c r="D74" s="616" t="str">
        <f>$D$14</f>
        <v>FTE  Jul 2026</v>
      </c>
      <c r="E74" s="576">
        <f>'2521'!$J$124</f>
        <v>111205.53</v>
      </c>
      <c r="F74" s="588"/>
      <c r="G74" s="576">
        <f>SUBTOTAL(109,E74:F80)</f>
        <v>111205.53</v>
      </c>
      <c r="H74" s="589"/>
      <c r="I74" s="596"/>
      <c r="K74" s="685"/>
    </row>
    <row r="75" spans="1:13" s="345" customFormat="1" ht="12.75" hidden="1" customHeight="1" x14ac:dyDescent="0.2">
      <c r="A75" s="572"/>
      <c r="B75" s="586"/>
      <c r="C75" s="587"/>
      <c r="D75" s="590" t="s">
        <v>553</v>
      </c>
      <c r="E75" s="576"/>
      <c r="F75" s="588"/>
      <c r="G75" s="576"/>
      <c r="H75" s="589"/>
      <c r="I75" s="596"/>
      <c r="K75" s="685"/>
    </row>
    <row r="76" spans="1:13" s="345" customFormat="1" ht="12.75" hidden="1" customHeight="1" x14ac:dyDescent="0.2">
      <c r="A76" s="572"/>
      <c r="B76" s="586"/>
      <c r="C76" s="587"/>
      <c r="D76" s="590" t="s">
        <v>555</v>
      </c>
      <c r="E76" s="576"/>
      <c r="F76" s="588"/>
      <c r="G76" s="576"/>
      <c r="H76" s="589"/>
      <c r="I76" s="596"/>
      <c r="K76" s="685"/>
    </row>
    <row r="77" spans="1:13" s="345" customFormat="1" ht="12.75" hidden="1" customHeight="1" x14ac:dyDescent="0.2">
      <c r="A77" s="572"/>
      <c r="B77" s="586"/>
      <c r="C77" s="587"/>
      <c r="D77" s="590" t="s">
        <v>556</v>
      </c>
      <c r="E77" s="576"/>
      <c r="F77" s="588"/>
      <c r="G77" s="576"/>
      <c r="H77" s="589"/>
      <c r="I77" s="596"/>
      <c r="K77" s="685"/>
    </row>
    <row r="78" spans="1:13" s="345" customFormat="1" ht="12.75" hidden="1" customHeight="1" x14ac:dyDescent="0.2">
      <c r="A78" s="572"/>
      <c r="B78" s="586"/>
      <c r="C78" s="587"/>
      <c r="D78" s="590" t="s">
        <v>557</v>
      </c>
      <c r="E78" s="576"/>
      <c r="F78" s="588"/>
      <c r="G78" s="576"/>
      <c r="H78" s="589"/>
      <c r="I78" s="596"/>
      <c r="K78" s="685"/>
      <c r="M78" s="610"/>
    </row>
    <row r="79" spans="1:13" ht="12.75" hidden="1" customHeight="1" x14ac:dyDescent="0.2">
      <c r="A79" s="572"/>
      <c r="B79" s="586"/>
      <c r="C79" s="587"/>
      <c r="D79" s="590" t="s">
        <v>558</v>
      </c>
      <c r="E79" s="576"/>
      <c r="F79" s="588"/>
      <c r="G79" s="576"/>
      <c r="I79" s="596"/>
      <c r="K79" s="685"/>
      <c r="M79" s="280"/>
    </row>
    <row r="80" spans="1:13" ht="12.75" hidden="1" customHeight="1" x14ac:dyDescent="0.2">
      <c r="A80" s="572"/>
      <c r="B80" s="586"/>
      <c r="C80" s="587"/>
      <c r="D80" s="597" t="s">
        <v>575</v>
      </c>
      <c r="E80" s="576"/>
      <c r="F80" s="588"/>
      <c r="G80" s="576"/>
      <c r="I80" s="596"/>
      <c r="K80" s="685"/>
      <c r="L80" s="280"/>
    </row>
    <row r="81" spans="1:11" s="345" customFormat="1" ht="12.75" customHeight="1" x14ac:dyDescent="0.2">
      <c r="A81" s="295">
        <f>1+A74</f>
        <v>7</v>
      </c>
      <c r="B81" s="603">
        <v>2531</v>
      </c>
      <c r="C81" s="604" t="s">
        <v>282</v>
      </c>
      <c r="D81" s="605" t="str">
        <f>$D$14</f>
        <v>FTE  Jul 2026</v>
      </c>
      <c r="E81" s="583">
        <f>'2531'!$J$124</f>
        <v>121397.44</v>
      </c>
      <c r="F81" s="606"/>
      <c r="G81" s="583">
        <f>SUBTOTAL(109,E81:F92)</f>
        <v>121397.44</v>
      </c>
      <c r="H81" s="615"/>
      <c r="I81" s="596"/>
      <c r="K81" s="685"/>
    </row>
    <row r="82" spans="1:11" ht="12.75" hidden="1" customHeight="1" x14ac:dyDescent="0.2">
      <c r="A82" s="295"/>
      <c r="B82" s="603"/>
      <c r="C82" s="604"/>
      <c r="D82" s="251" t="s">
        <v>576</v>
      </c>
      <c r="E82" s="583"/>
      <c r="F82" s="606"/>
      <c r="G82" s="583"/>
      <c r="I82" s="596"/>
      <c r="K82" s="685"/>
    </row>
    <row r="83" spans="1:11" ht="12.75" hidden="1" customHeight="1" x14ac:dyDescent="0.2">
      <c r="A83" s="295"/>
      <c r="B83" s="603"/>
      <c r="C83" s="604"/>
      <c r="D83" s="251" t="s">
        <v>553</v>
      </c>
      <c r="E83" s="583"/>
      <c r="F83" s="606"/>
      <c r="G83" s="583"/>
      <c r="I83" s="596"/>
      <c r="K83" s="685"/>
    </row>
    <row r="84" spans="1:11" s="345" customFormat="1" ht="12.75" hidden="1" customHeight="1" x14ac:dyDescent="0.2">
      <c r="A84" s="295"/>
      <c r="B84" s="603"/>
      <c r="C84" s="604"/>
      <c r="D84" s="251" t="s">
        <v>577</v>
      </c>
      <c r="E84" s="583"/>
      <c r="F84" s="606"/>
      <c r="G84" s="583"/>
      <c r="H84" s="589"/>
      <c r="I84" s="601"/>
      <c r="K84" s="685"/>
    </row>
    <row r="85" spans="1:11" s="345" customFormat="1" ht="12.75" hidden="1" customHeight="1" x14ac:dyDescent="0.2">
      <c r="A85" s="295"/>
      <c r="B85" s="603"/>
      <c r="C85" s="604"/>
      <c r="D85" s="608" t="s">
        <v>573</v>
      </c>
      <c r="E85" s="583"/>
      <c r="F85" s="606"/>
      <c r="G85" s="583"/>
      <c r="H85" s="589"/>
      <c r="I85" s="603"/>
      <c r="K85" s="685"/>
    </row>
    <row r="86" spans="1:11" s="345" customFormat="1" ht="12.75" hidden="1" customHeight="1" x14ac:dyDescent="0.2">
      <c r="A86" s="295"/>
      <c r="B86" s="603"/>
      <c r="C86" s="604"/>
      <c r="D86" s="251" t="s">
        <v>555</v>
      </c>
      <c r="E86" s="583"/>
      <c r="F86" s="606"/>
      <c r="G86" s="583"/>
      <c r="H86" s="589"/>
      <c r="I86" s="603"/>
      <c r="K86" s="685"/>
    </row>
    <row r="87" spans="1:11" s="345" customFormat="1" ht="12.75" hidden="1" customHeight="1" x14ac:dyDescent="0.2">
      <c r="A87" s="295"/>
      <c r="B87" s="603"/>
      <c r="C87" s="604"/>
      <c r="D87" s="251" t="s">
        <v>556</v>
      </c>
      <c r="E87" s="583"/>
      <c r="F87" s="606"/>
      <c r="G87" s="583"/>
      <c r="H87" s="589"/>
      <c r="I87" s="603"/>
      <c r="K87" s="685"/>
    </row>
    <row r="88" spans="1:11" s="345" customFormat="1" ht="12.75" hidden="1" customHeight="1" x14ac:dyDescent="0.2">
      <c r="A88" s="295"/>
      <c r="B88" s="603"/>
      <c r="C88" s="604"/>
      <c r="D88" s="251" t="s">
        <v>557</v>
      </c>
      <c r="E88" s="583"/>
      <c r="F88" s="606"/>
      <c r="G88" s="583"/>
      <c r="H88" s="615"/>
      <c r="I88" s="601"/>
      <c r="K88" s="685"/>
    </row>
    <row r="89" spans="1:11" s="345" customFormat="1" ht="12.75" hidden="1" customHeight="1" x14ac:dyDescent="0.2">
      <c r="A89" s="295"/>
      <c r="B89" s="603"/>
      <c r="C89" s="604"/>
      <c r="D89" s="251" t="s">
        <v>558</v>
      </c>
      <c r="E89" s="583"/>
      <c r="F89" s="606"/>
      <c r="G89" s="583"/>
      <c r="H89" s="589"/>
      <c r="I89" s="601"/>
      <c r="K89" s="685"/>
    </row>
    <row r="90" spans="1:11" s="345" customFormat="1" ht="12.75" hidden="1" customHeight="1" x14ac:dyDescent="0.2">
      <c r="A90" s="295"/>
      <c r="B90" s="603"/>
      <c r="C90" s="604"/>
      <c r="D90" s="251" t="s">
        <v>578</v>
      </c>
      <c r="E90" s="583"/>
      <c r="F90" s="606"/>
      <c r="G90" s="583"/>
      <c r="H90" s="589"/>
      <c r="I90" s="601"/>
      <c r="K90" s="685"/>
    </row>
    <row r="91" spans="1:11" s="345" customFormat="1" ht="12.75" hidden="1" customHeight="1" x14ac:dyDescent="0.2">
      <c r="A91" s="295"/>
      <c r="B91" s="603"/>
      <c r="C91" s="611"/>
      <c r="D91" s="614" t="s">
        <v>566</v>
      </c>
      <c r="E91" s="583"/>
      <c r="F91" s="606"/>
      <c r="G91" s="583"/>
      <c r="H91" s="589"/>
      <c r="I91" s="596"/>
      <c r="K91" s="685"/>
    </row>
    <row r="92" spans="1:11" s="345" customFormat="1" ht="12.75" hidden="1" customHeight="1" x14ac:dyDescent="0.2">
      <c r="A92" s="295"/>
      <c r="B92" s="603"/>
      <c r="C92" s="604"/>
      <c r="D92" s="612" t="s">
        <v>575</v>
      </c>
      <c r="E92" s="583"/>
      <c r="F92" s="606"/>
      <c r="G92" s="583"/>
      <c r="H92" s="589"/>
      <c r="I92" s="611"/>
      <c r="K92" s="685"/>
    </row>
    <row r="93" spans="1:11" s="345" customFormat="1" ht="12.75" customHeight="1" x14ac:dyDescent="0.2">
      <c r="A93" s="572">
        <f>1+A81</f>
        <v>8</v>
      </c>
      <c r="B93" s="586" t="s">
        <v>283</v>
      </c>
      <c r="C93" s="617" t="s">
        <v>365</v>
      </c>
      <c r="D93" s="616" t="str">
        <f>$D$14</f>
        <v>FTE  Jul 2026</v>
      </c>
      <c r="E93" s="576">
        <f>'2791'!$J$124</f>
        <v>491302.44</v>
      </c>
      <c r="F93" s="588"/>
      <c r="G93" s="576">
        <f>SUBTOTAL(109,E93:F100)</f>
        <v>491302.44</v>
      </c>
      <c r="H93" s="615"/>
      <c r="I93" s="598"/>
      <c r="K93" s="685"/>
    </row>
    <row r="94" spans="1:11" s="345" customFormat="1" ht="12.75" hidden="1" customHeight="1" x14ac:dyDescent="0.2">
      <c r="A94" s="572"/>
      <c r="B94" s="586"/>
      <c r="C94" s="587"/>
      <c r="D94" s="590" t="s">
        <v>553</v>
      </c>
      <c r="E94" s="576"/>
      <c r="F94" s="588"/>
      <c r="G94" s="576"/>
      <c r="H94" s="589"/>
      <c r="I94" s="611"/>
      <c r="K94" s="685"/>
    </row>
    <row r="95" spans="1:11" s="345" customFormat="1" ht="12.75" hidden="1" customHeight="1" x14ac:dyDescent="0.2">
      <c r="A95" s="572"/>
      <c r="B95" s="586"/>
      <c r="C95" s="587"/>
      <c r="D95" s="591" t="s">
        <v>554</v>
      </c>
      <c r="E95" s="576"/>
      <c r="F95" s="588"/>
      <c r="G95" s="576"/>
      <c r="H95" s="589"/>
      <c r="I95" s="611"/>
      <c r="K95" s="685"/>
    </row>
    <row r="96" spans="1:11" s="345" customFormat="1" ht="12.75" hidden="1" customHeight="1" x14ac:dyDescent="0.2">
      <c r="A96" s="572"/>
      <c r="B96" s="586"/>
      <c r="C96" s="587"/>
      <c r="D96" s="590" t="s">
        <v>555</v>
      </c>
      <c r="E96" s="576"/>
      <c r="F96" s="588"/>
      <c r="G96" s="576"/>
      <c r="H96" s="589"/>
      <c r="I96" s="611"/>
      <c r="K96" s="685"/>
    </row>
    <row r="97" spans="1:11" s="345" customFormat="1" ht="12.75" hidden="1" customHeight="1" x14ac:dyDescent="0.2">
      <c r="A97" s="572"/>
      <c r="B97" s="586"/>
      <c r="C97" s="587"/>
      <c r="D97" s="590" t="s">
        <v>556</v>
      </c>
      <c r="E97" s="576"/>
      <c r="F97" s="588"/>
      <c r="G97" s="576"/>
      <c r="H97" s="589"/>
      <c r="I97" s="611"/>
      <c r="K97" s="685"/>
    </row>
    <row r="98" spans="1:11" s="345" customFormat="1" ht="12.75" hidden="1" customHeight="1" x14ac:dyDescent="0.2">
      <c r="A98" s="572"/>
      <c r="B98" s="586"/>
      <c r="C98" s="587"/>
      <c r="D98" s="590"/>
      <c r="E98" s="576"/>
      <c r="F98" s="588"/>
      <c r="G98" s="576"/>
      <c r="H98" s="589"/>
      <c r="I98" s="596"/>
      <c r="K98" s="685"/>
    </row>
    <row r="99" spans="1:11" s="345" customFormat="1" ht="12.75" hidden="1" customHeight="1" x14ac:dyDescent="0.2">
      <c r="A99" s="572"/>
      <c r="B99" s="586"/>
      <c r="C99" s="587"/>
      <c r="D99" s="590" t="s">
        <v>558</v>
      </c>
      <c r="E99" s="576"/>
      <c r="F99" s="588"/>
      <c r="G99" s="576"/>
      <c r="H99" s="589"/>
      <c r="I99" s="596"/>
      <c r="K99" s="685"/>
    </row>
    <row r="100" spans="1:11" s="345" customFormat="1" ht="12.75" hidden="1" customHeight="1" x14ac:dyDescent="0.2">
      <c r="A100" s="572"/>
      <c r="B100" s="586"/>
      <c r="C100" s="587"/>
      <c r="D100" s="597" t="s">
        <v>575</v>
      </c>
      <c r="E100" s="576"/>
      <c r="F100" s="588"/>
      <c r="G100" s="576"/>
      <c r="H100" s="589"/>
      <c r="I100" s="596"/>
      <c r="K100" s="685"/>
    </row>
    <row r="101" spans="1:11" s="345" customFormat="1" ht="12.75" customHeight="1" x14ac:dyDescent="0.2">
      <c r="A101" s="295">
        <f>A93+1</f>
        <v>9</v>
      </c>
      <c r="B101" s="603" t="s">
        <v>285</v>
      </c>
      <c r="C101" s="618" t="s">
        <v>286</v>
      </c>
      <c r="D101" s="605" t="str">
        <f>$D$14</f>
        <v>FTE  Jul 2026</v>
      </c>
      <c r="E101" s="583">
        <f>'2801'!$J$124</f>
        <v>425374.59</v>
      </c>
      <c r="F101" s="606"/>
      <c r="G101" s="583">
        <f>SUBTOTAL(109,E101:F110)</f>
        <v>425374.59</v>
      </c>
      <c r="H101" s="615"/>
      <c r="I101" s="598"/>
      <c r="K101" s="685"/>
    </row>
    <row r="102" spans="1:11" s="345" customFormat="1" ht="12.75" hidden="1" customHeight="1" x14ac:dyDescent="0.2">
      <c r="A102" s="295"/>
      <c r="B102" s="603"/>
      <c r="C102" s="604"/>
      <c r="D102" s="251" t="s">
        <v>576</v>
      </c>
      <c r="E102" s="583"/>
      <c r="F102" s="606"/>
      <c r="G102" s="583"/>
      <c r="H102" s="589"/>
      <c r="I102" s="596"/>
      <c r="K102" s="685"/>
    </row>
    <row r="103" spans="1:11" s="345" customFormat="1" ht="12.75" hidden="1" customHeight="1" x14ac:dyDescent="0.2">
      <c r="A103" s="295"/>
      <c r="B103" s="603"/>
      <c r="C103" s="604"/>
      <c r="D103" s="608" t="s">
        <v>554</v>
      </c>
      <c r="E103" s="583"/>
      <c r="F103" s="606"/>
      <c r="G103" s="583"/>
      <c r="H103" s="615"/>
      <c r="I103" s="601"/>
      <c r="K103" s="685"/>
    </row>
    <row r="104" spans="1:11" s="345" customFormat="1" ht="12.75" hidden="1" customHeight="1" x14ac:dyDescent="0.2">
      <c r="A104" s="295"/>
      <c r="B104" s="603"/>
      <c r="C104" s="604"/>
      <c r="D104" s="251" t="s">
        <v>555</v>
      </c>
      <c r="E104" s="583"/>
      <c r="F104" s="606"/>
      <c r="G104" s="583"/>
      <c r="H104" s="615"/>
      <c r="I104" s="603"/>
      <c r="K104" s="685"/>
    </row>
    <row r="105" spans="1:11" s="345" customFormat="1" ht="12.75" hidden="1" customHeight="1" x14ac:dyDescent="0.2">
      <c r="A105" s="295"/>
      <c r="B105" s="603"/>
      <c r="C105" s="604"/>
      <c r="D105" s="251" t="s">
        <v>579</v>
      </c>
      <c r="E105" s="583"/>
      <c r="F105" s="606"/>
      <c r="G105" s="583"/>
      <c r="H105" s="589"/>
      <c r="I105" s="611"/>
      <c r="K105" s="685"/>
    </row>
    <row r="106" spans="1:11" s="345" customFormat="1" ht="12.75" hidden="1" customHeight="1" x14ac:dyDescent="0.2">
      <c r="A106" s="295"/>
      <c r="B106" s="603"/>
      <c r="C106" s="604"/>
      <c r="D106" s="251" t="s">
        <v>557</v>
      </c>
      <c r="E106" s="583"/>
      <c r="F106" s="606"/>
      <c r="G106" s="583"/>
      <c r="H106" s="615"/>
      <c r="I106" s="603"/>
      <c r="K106" s="685"/>
    </row>
    <row r="107" spans="1:11" s="345" customFormat="1" ht="12.75" hidden="1" customHeight="1" x14ac:dyDescent="0.2">
      <c r="A107" s="295"/>
      <c r="B107" s="603"/>
      <c r="C107" s="604"/>
      <c r="D107" s="251" t="s">
        <v>558</v>
      </c>
      <c r="E107" s="583"/>
      <c r="F107" s="606"/>
      <c r="G107" s="583"/>
      <c r="H107" s="615"/>
      <c r="I107" s="603"/>
      <c r="K107" s="685"/>
    </row>
    <row r="108" spans="1:11" s="345" customFormat="1" ht="12.75" hidden="1" customHeight="1" x14ac:dyDescent="0.2">
      <c r="A108" s="295"/>
      <c r="B108" s="603"/>
      <c r="C108" s="604"/>
      <c r="D108" s="251" t="s">
        <v>580</v>
      </c>
      <c r="E108" s="583"/>
      <c r="F108" s="606"/>
      <c r="G108" s="583"/>
      <c r="H108" s="615"/>
      <c r="I108" s="601"/>
      <c r="K108" s="685"/>
    </row>
    <row r="109" spans="1:11" s="345" customFormat="1" ht="12.75" hidden="1" customHeight="1" x14ac:dyDescent="0.2">
      <c r="A109" s="295"/>
      <c r="B109" s="603"/>
      <c r="C109" s="604"/>
      <c r="D109" s="251" t="s">
        <v>578</v>
      </c>
      <c r="E109" s="583"/>
      <c r="F109" s="606"/>
      <c r="G109" s="583"/>
      <c r="H109" s="589"/>
      <c r="I109" s="601"/>
      <c r="K109" s="685"/>
    </row>
    <row r="110" spans="1:11" s="345" customFormat="1" ht="12.75" hidden="1" customHeight="1" x14ac:dyDescent="0.2">
      <c r="A110" s="295"/>
      <c r="B110" s="603"/>
      <c r="C110" s="604"/>
      <c r="D110" s="612" t="s">
        <v>581</v>
      </c>
      <c r="E110" s="583"/>
      <c r="F110" s="606"/>
      <c r="G110" s="583"/>
      <c r="H110" s="589"/>
      <c r="I110" s="601"/>
      <c r="K110" s="685"/>
    </row>
    <row r="111" spans="1:11" s="345" customFormat="1" ht="12.75" customHeight="1" x14ac:dyDescent="0.2">
      <c r="A111" s="572">
        <f>A101+1</f>
        <v>10</v>
      </c>
      <c r="B111" s="586" t="s">
        <v>287</v>
      </c>
      <c r="C111" s="587" t="s">
        <v>288</v>
      </c>
      <c r="D111" s="616" t="str">
        <f>$D$14</f>
        <v>FTE  Jul 2026</v>
      </c>
      <c r="E111" s="576">
        <f>'2911'!$J$124</f>
        <v>585021.03</v>
      </c>
      <c r="F111" s="588"/>
      <c r="G111" s="576">
        <f>SUBTOTAL(109,E111:F121)</f>
        <v>585021.03</v>
      </c>
      <c r="H111" s="615"/>
      <c r="I111" s="603"/>
      <c r="K111" s="685"/>
    </row>
    <row r="112" spans="1:11" s="345" customFormat="1" ht="12.75" hidden="1" customHeight="1" x14ac:dyDescent="0.2">
      <c r="A112" s="572"/>
      <c r="B112" s="586"/>
      <c r="C112" s="587"/>
      <c r="D112" s="590" t="s">
        <v>553</v>
      </c>
      <c r="E112" s="576"/>
      <c r="F112" s="588"/>
      <c r="G112" s="576"/>
      <c r="H112" s="615"/>
      <c r="I112" s="603"/>
      <c r="K112" s="685"/>
    </row>
    <row r="113" spans="1:11" s="345" customFormat="1" ht="12.75" hidden="1" customHeight="1" x14ac:dyDescent="0.2">
      <c r="A113" s="572"/>
      <c r="B113" s="586"/>
      <c r="C113" s="587"/>
      <c r="D113" s="591" t="s">
        <v>573</v>
      </c>
      <c r="E113" s="576"/>
      <c r="F113" s="588"/>
      <c r="G113" s="576"/>
      <c r="H113" s="589"/>
      <c r="I113" s="611"/>
      <c r="K113" s="685"/>
    </row>
    <row r="114" spans="1:11" s="345" customFormat="1" ht="12.75" hidden="1" customHeight="1" x14ac:dyDescent="0.2">
      <c r="A114" s="572"/>
      <c r="B114" s="586"/>
      <c r="C114" s="587"/>
      <c r="D114" s="590" t="s">
        <v>555</v>
      </c>
      <c r="E114" s="576"/>
      <c r="F114" s="588"/>
      <c r="G114" s="576"/>
      <c r="H114" s="615"/>
      <c r="I114" s="603"/>
      <c r="K114" s="685"/>
    </row>
    <row r="115" spans="1:11" s="345" customFormat="1" ht="12.75" hidden="1" customHeight="1" x14ac:dyDescent="0.2">
      <c r="A115" s="572"/>
      <c r="B115" s="586"/>
      <c r="C115" s="587"/>
      <c r="D115" s="590" t="s">
        <v>556</v>
      </c>
      <c r="E115" s="576"/>
      <c r="F115" s="588"/>
      <c r="G115" s="576"/>
      <c r="H115" s="615"/>
      <c r="I115" s="603"/>
      <c r="K115" s="685"/>
    </row>
    <row r="116" spans="1:11" s="345" customFormat="1" ht="12.75" hidden="1" customHeight="1" x14ac:dyDescent="0.2">
      <c r="A116" s="572"/>
      <c r="B116" s="586"/>
      <c r="C116" s="587"/>
      <c r="D116" s="590" t="s">
        <v>557</v>
      </c>
      <c r="E116" s="576"/>
      <c r="F116" s="588"/>
      <c r="G116" s="576"/>
      <c r="H116" s="615"/>
      <c r="I116" s="603"/>
      <c r="K116" s="685"/>
    </row>
    <row r="117" spans="1:11" s="345" customFormat="1" ht="12.75" hidden="1" customHeight="1" x14ac:dyDescent="0.2">
      <c r="A117" s="572"/>
      <c r="B117" s="586"/>
      <c r="C117" s="587"/>
      <c r="D117" s="590" t="s">
        <v>558</v>
      </c>
      <c r="E117" s="576"/>
      <c r="F117" s="588"/>
      <c r="G117" s="576"/>
      <c r="H117" s="589"/>
      <c r="I117" s="600"/>
      <c r="K117" s="685"/>
    </row>
    <row r="118" spans="1:11" s="345" customFormat="1" ht="12.75" hidden="1" customHeight="1" x14ac:dyDescent="0.2">
      <c r="A118" s="572"/>
      <c r="B118" s="586"/>
      <c r="C118" s="587"/>
      <c r="D118" s="590" t="s">
        <v>580</v>
      </c>
      <c r="E118" s="576"/>
      <c r="F118" s="588"/>
      <c r="G118" s="576"/>
      <c r="H118" s="615"/>
      <c r="K118" s="685"/>
    </row>
    <row r="119" spans="1:11" s="345" customFormat="1" ht="12.75" hidden="1" customHeight="1" x14ac:dyDescent="0.2">
      <c r="A119" s="572"/>
      <c r="B119" s="586"/>
      <c r="C119" s="593"/>
      <c r="D119" s="597" t="s">
        <v>582</v>
      </c>
      <c r="E119" s="576"/>
      <c r="F119" s="588"/>
      <c r="G119" s="576"/>
      <c r="H119" s="615"/>
      <c r="I119" s="603"/>
      <c r="K119" s="685"/>
    </row>
    <row r="120" spans="1:11" s="345" customFormat="1" ht="12.75" hidden="1" customHeight="1" x14ac:dyDescent="0.2">
      <c r="A120" s="572"/>
      <c r="B120" s="586"/>
      <c r="C120" s="593"/>
      <c r="D120" s="597" t="s">
        <v>575</v>
      </c>
      <c r="E120" s="576"/>
      <c r="F120" s="588"/>
      <c r="G120" s="576"/>
      <c r="H120" s="615"/>
      <c r="I120" s="601"/>
      <c r="K120" s="685"/>
    </row>
    <row r="121" spans="1:11" s="345" customFormat="1" ht="12.75" hidden="1" customHeight="1" x14ac:dyDescent="0.2">
      <c r="A121" s="572"/>
      <c r="B121" s="586"/>
      <c r="C121" s="593"/>
      <c r="D121" s="619"/>
      <c r="E121" s="576"/>
      <c r="F121" s="588"/>
      <c r="G121" s="576"/>
      <c r="H121" s="615"/>
      <c r="I121" s="601"/>
      <c r="K121" s="685"/>
    </row>
    <row r="122" spans="1:11" s="345" customFormat="1" ht="12.75" customHeight="1" x14ac:dyDescent="0.2">
      <c r="A122" s="295">
        <f>A111+1</f>
        <v>11</v>
      </c>
      <c r="B122" s="603" t="s">
        <v>289</v>
      </c>
      <c r="C122" s="604" t="s">
        <v>290</v>
      </c>
      <c r="D122" s="605" t="str">
        <f>$D$14</f>
        <v>FTE  Jul 2026</v>
      </c>
      <c r="E122" s="583">
        <f>'2941'!$J$124</f>
        <v>930045.01</v>
      </c>
      <c r="F122" s="606"/>
      <c r="G122" s="583">
        <f>SUBTOTAL(109,E122:F130)</f>
        <v>930045.01</v>
      </c>
      <c r="H122" s="615"/>
      <c r="I122" s="603"/>
      <c r="K122" s="685"/>
    </row>
    <row r="123" spans="1:11" s="345" customFormat="1" ht="12.75" hidden="1" customHeight="1" x14ac:dyDescent="0.2">
      <c r="A123" s="295"/>
      <c r="B123" s="603"/>
      <c r="C123" s="604"/>
      <c r="D123" s="251" t="s">
        <v>576</v>
      </c>
      <c r="E123" s="583"/>
      <c r="F123" s="606"/>
      <c r="G123" s="583"/>
      <c r="H123" s="615"/>
      <c r="I123" s="603"/>
      <c r="K123" s="685"/>
    </row>
    <row r="124" spans="1:11" s="345" customFormat="1" ht="12.75" hidden="1" customHeight="1" x14ac:dyDescent="0.2">
      <c r="A124" s="295"/>
      <c r="B124" s="603"/>
      <c r="C124" s="604"/>
      <c r="D124" s="608" t="s">
        <v>554</v>
      </c>
      <c r="E124" s="583"/>
      <c r="F124" s="606"/>
      <c r="G124" s="583"/>
      <c r="H124" s="589"/>
      <c r="I124" s="611"/>
      <c r="K124" s="685"/>
    </row>
    <row r="125" spans="1:11" s="345" customFormat="1" ht="12.75" hidden="1" customHeight="1" x14ac:dyDescent="0.2">
      <c r="A125" s="295"/>
      <c r="B125" s="603"/>
      <c r="C125" s="604"/>
      <c r="D125" s="251" t="s">
        <v>555</v>
      </c>
      <c r="E125" s="583"/>
      <c r="F125" s="606"/>
      <c r="G125" s="583"/>
      <c r="H125" s="615"/>
      <c r="I125" s="603"/>
      <c r="K125" s="685"/>
    </row>
    <row r="126" spans="1:11" s="345" customFormat="1" ht="12.75" hidden="1" customHeight="1" x14ac:dyDescent="0.2">
      <c r="A126" s="295"/>
      <c r="B126" s="603"/>
      <c r="C126" s="604"/>
      <c r="D126" s="251" t="s">
        <v>556</v>
      </c>
      <c r="E126" s="583"/>
      <c r="F126" s="606"/>
      <c r="G126" s="583"/>
      <c r="H126" s="615"/>
      <c r="I126" s="603"/>
      <c r="K126" s="685"/>
    </row>
    <row r="127" spans="1:11" s="345" customFormat="1" ht="12.75" hidden="1" customHeight="1" x14ac:dyDescent="0.2">
      <c r="A127" s="295"/>
      <c r="B127" s="603"/>
      <c r="C127" s="604"/>
      <c r="D127" s="251" t="s">
        <v>557</v>
      </c>
      <c r="E127" s="583"/>
      <c r="F127" s="606"/>
      <c r="G127" s="583"/>
      <c r="H127" s="615"/>
      <c r="I127" s="603"/>
      <c r="K127" s="685"/>
    </row>
    <row r="128" spans="1:11" s="345" customFormat="1" ht="12.75" hidden="1" customHeight="1" x14ac:dyDescent="0.2">
      <c r="A128" s="295"/>
      <c r="B128" s="603"/>
      <c r="C128" s="604"/>
      <c r="D128" s="608" t="s">
        <v>583</v>
      </c>
      <c r="E128" s="583"/>
      <c r="F128" s="606"/>
      <c r="G128" s="583"/>
      <c r="H128" s="589"/>
      <c r="I128" s="600"/>
      <c r="K128" s="685"/>
    </row>
    <row r="129" spans="1:12" s="345" customFormat="1" ht="12.75" hidden="1" customHeight="1" x14ac:dyDescent="0.2">
      <c r="A129" s="295"/>
      <c r="B129" s="603"/>
      <c r="C129" s="604"/>
      <c r="D129" s="251" t="s">
        <v>578</v>
      </c>
      <c r="E129" s="583"/>
      <c r="F129" s="606"/>
      <c r="G129" s="583"/>
      <c r="H129" s="615"/>
      <c r="I129" s="601"/>
      <c r="K129" s="685"/>
    </row>
    <row r="130" spans="1:12" s="345" customFormat="1" ht="12.75" hidden="1" customHeight="1" x14ac:dyDescent="0.2">
      <c r="A130" s="295"/>
      <c r="B130" s="603"/>
      <c r="C130" s="604"/>
      <c r="D130" s="612"/>
      <c r="E130" s="583"/>
      <c r="F130" s="606"/>
      <c r="G130" s="583"/>
      <c r="H130" s="589"/>
      <c r="I130" s="601"/>
      <c r="J130" s="614"/>
      <c r="K130" s="685"/>
      <c r="L130" s="609"/>
    </row>
    <row r="131" spans="1:12" s="345" customFormat="1" ht="12.75" customHeight="1" x14ac:dyDescent="0.2">
      <c r="A131" s="572">
        <f>A122+1</f>
        <v>12</v>
      </c>
      <c r="B131" s="586" t="s">
        <v>291</v>
      </c>
      <c r="C131" s="617" t="s">
        <v>370</v>
      </c>
      <c r="D131" s="616" t="str">
        <f>$D$14</f>
        <v>FTE  Jul 2026</v>
      </c>
      <c r="E131" s="576">
        <f>'3083'!$J$124</f>
        <v>556872.88</v>
      </c>
      <c r="F131" s="588"/>
      <c r="G131" s="576">
        <f>SUBTOTAL(109,E131:F138)</f>
        <v>556872.88</v>
      </c>
      <c r="H131" s="589"/>
      <c r="I131" s="601"/>
      <c r="J131" s="614"/>
      <c r="K131" s="685"/>
      <c r="L131" s="609"/>
    </row>
    <row r="132" spans="1:12" s="345" customFormat="1" ht="12.75" hidden="1" customHeight="1" x14ac:dyDescent="0.2">
      <c r="A132" s="572"/>
      <c r="B132" s="586"/>
      <c r="C132" s="587"/>
      <c r="D132" s="590" t="s">
        <v>583</v>
      </c>
      <c r="E132" s="576"/>
      <c r="F132" s="588"/>
      <c r="G132" s="576"/>
      <c r="H132" s="615"/>
      <c r="I132" s="603"/>
      <c r="K132" s="685"/>
    </row>
    <row r="133" spans="1:12" s="345" customFormat="1" ht="12.75" hidden="1" customHeight="1" x14ac:dyDescent="0.2">
      <c r="A133" s="572"/>
      <c r="B133" s="586"/>
      <c r="C133" s="587"/>
      <c r="D133" s="591" t="s">
        <v>554</v>
      </c>
      <c r="E133" s="576"/>
      <c r="F133" s="588"/>
      <c r="G133" s="576"/>
      <c r="H133" s="615"/>
      <c r="I133" s="603"/>
      <c r="K133" s="685"/>
    </row>
    <row r="134" spans="1:12" s="345" customFormat="1" ht="12.75" hidden="1" customHeight="1" x14ac:dyDescent="0.2">
      <c r="A134" s="572"/>
      <c r="B134" s="586"/>
      <c r="C134" s="587"/>
      <c r="D134" s="590" t="s">
        <v>555</v>
      </c>
      <c r="E134" s="576"/>
      <c r="F134" s="588"/>
      <c r="G134" s="576"/>
      <c r="H134" s="589"/>
      <c r="I134" s="611"/>
      <c r="K134" s="685"/>
    </row>
    <row r="135" spans="1:12" s="345" customFormat="1" ht="12.75" hidden="1" customHeight="1" x14ac:dyDescent="0.2">
      <c r="A135" s="572"/>
      <c r="B135" s="586"/>
      <c r="C135" s="587"/>
      <c r="D135" s="590" t="s">
        <v>556</v>
      </c>
      <c r="E135" s="576"/>
      <c r="F135" s="588"/>
      <c r="G135" s="576"/>
      <c r="H135" s="615"/>
      <c r="I135" s="603"/>
      <c r="K135" s="685"/>
    </row>
    <row r="136" spans="1:12" s="345" customFormat="1" ht="12.75" hidden="1" customHeight="1" x14ac:dyDescent="0.2">
      <c r="A136" s="572"/>
      <c r="B136" s="586"/>
      <c r="C136" s="587"/>
      <c r="D136" s="619" t="s">
        <v>557</v>
      </c>
      <c r="E136" s="576"/>
      <c r="F136" s="588"/>
      <c r="G136" s="576"/>
      <c r="H136" s="615"/>
      <c r="I136" s="603"/>
      <c r="K136" s="685"/>
    </row>
    <row r="137" spans="1:12" s="345" customFormat="1" ht="12.75" hidden="1" customHeight="1" x14ac:dyDescent="0.2">
      <c r="A137" s="572"/>
      <c r="B137" s="586"/>
      <c r="C137" s="587"/>
      <c r="D137" s="590" t="s">
        <v>558</v>
      </c>
      <c r="E137" s="576"/>
      <c r="F137" s="588"/>
      <c r="G137" s="576"/>
      <c r="H137" s="615"/>
      <c r="I137" s="603"/>
      <c r="K137" s="685"/>
    </row>
    <row r="138" spans="1:12" s="345" customFormat="1" ht="12.75" hidden="1" customHeight="1" x14ac:dyDescent="0.2">
      <c r="A138" s="572"/>
      <c r="B138" s="586"/>
      <c r="C138" s="587"/>
      <c r="D138" s="590" t="s">
        <v>553</v>
      </c>
      <c r="E138" s="576"/>
      <c r="F138" s="588"/>
      <c r="G138" s="576"/>
      <c r="H138" s="589"/>
      <c r="I138" s="600"/>
      <c r="K138" s="685"/>
    </row>
    <row r="139" spans="1:12" s="345" customFormat="1" ht="12.75" customHeight="1" x14ac:dyDescent="0.2">
      <c r="A139" s="295">
        <f>A131+1</f>
        <v>13</v>
      </c>
      <c r="B139" s="603" t="s">
        <v>293</v>
      </c>
      <c r="C139" s="618" t="s">
        <v>294</v>
      </c>
      <c r="D139" s="605" t="str">
        <f>$D$14</f>
        <v>FTE  Jul 2026</v>
      </c>
      <c r="E139" s="583">
        <f>'3345'!$J$124</f>
        <v>103368.96000000001</v>
      </c>
      <c r="F139" s="606"/>
      <c r="G139" s="583">
        <f>SUBTOTAL(109,E139:F145)</f>
        <v>103368.96000000001</v>
      </c>
      <c r="H139" s="589"/>
      <c r="I139" s="600"/>
      <c r="K139" s="685"/>
    </row>
    <row r="140" spans="1:12" s="345" customFormat="1" ht="12.75" hidden="1" customHeight="1" x14ac:dyDescent="0.2">
      <c r="A140" s="295"/>
      <c r="B140" s="603"/>
      <c r="C140" s="618"/>
      <c r="D140" s="251" t="s">
        <v>576</v>
      </c>
      <c r="E140" s="583"/>
      <c r="F140" s="606"/>
      <c r="G140" s="583"/>
      <c r="H140" s="589"/>
      <c r="I140" s="600"/>
      <c r="K140" s="685"/>
    </row>
    <row r="141" spans="1:12" s="345" customFormat="1" ht="12.75" hidden="1" customHeight="1" x14ac:dyDescent="0.2">
      <c r="A141" s="295"/>
      <c r="B141" s="603"/>
      <c r="C141" s="618"/>
      <c r="D141" s="251" t="s">
        <v>554</v>
      </c>
      <c r="E141" s="583"/>
      <c r="F141" s="606"/>
      <c r="G141" s="583"/>
      <c r="H141" s="615"/>
      <c r="I141" s="603"/>
      <c r="K141" s="685"/>
    </row>
    <row r="142" spans="1:12" s="345" customFormat="1" ht="12.75" hidden="1" customHeight="1" x14ac:dyDescent="0.2">
      <c r="A142" s="295"/>
      <c r="B142" s="603"/>
      <c r="C142" s="604"/>
      <c r="D142" s="251" t="s">
        <v>556</v>
      </c>
      <c r="E142" s="583"/>
      <c r="F142" s="606"/>
      <c r="G142" s="583"/>
      <c r="H142" s="615"/>
      <c r="I142" s="603"/>
      <c r="K142" s="685"/>
    </row>
    <row r="143" spans="1:12" s="345" customFormat="1" ht="12.75" hidden="1" customHeight="1" x14ac:dyDescent="0.2">
      <c r="A143" s="295"/>
      <c r="B143" s="603"/>
      <c r="C143" s="604"/>
      <c r="D143" s="251" t="s">
        <v>557</v>
      </c>
      <c r="E143" s="583"/>
      <c r="F143" s="606"/>
      <c r="G143" s="583"/>
      <c r="H143" s="589"/>
      <c r="I143" s="611"/>
      <c r="K143" s="685"/>
    </row>
    <row r="144" spans="1:12" s="345" customFormat="1" ht="12.75" hidden="1" customHeight="1" x14ac:dyDescent="0.2">
      <c r="A144" s="295"/>
      <c r="B144" s="603"/>
      <c r="C144" s="604"/>
      <c r="D144" s="251" t="s">
        <v>558</v>
      </c>
      <c r="E144" s="583"/>
      <c r="F144" s="606"/>
      <c r="G144" s="583"/>
      <c r="H144" s="615"/>
      <c r="I144" s="603"/>
      <c r="K144" s="685"/>
    </row>
    <row r="145" spans="1:11" s="345" customFormat="1" ht="12.75" hidden="1" customHeight="1" x14ac:dyDescent="0.2">
      <c r="A145" s="295"/>
      <c r="B145" s="603"/>
      <c r="C145" s="604"/>
      <c r="D145" s="612" t="s">
        <v>575</v>
      </c>
      <c r="E145" s="583"/>
      <c r="F145" s="606"/>
      <c r="G145" s="583"/>
      <c r="H145" s="615"/>
      <c r="I145" s="603"/>
      <c r="K145" s="685"/>
    </row>
    <row r="146" spans="1:11" s="345" customFormat="1" ht="12.75" customHeight="1" x14ac:dyDescent="0.2">
      <c r="A146" s="572">
        <v>14</v>
      </c>
      <c r="B146" s="586">
        <v>3362</v>
      </c>
      <c r="C146" s="587" t="s">
        <v>373</v>
      </c>
      <c r="D146" s="616" t="str">
        <f>$D$14</f>
        <v>FTE  Jul 2026</v>
      </c>
      <c r="E146" s="576">
        <f>'3362'!$J$124</f>
        <v>116281.74</v>
      </c>
      <c r="F146" s="588"/>
      <c r="G146" s="576">
        <f>SUBTOTAL(109,E146:F146)</f>
        <v>116281.74</v>
      </c>
      <c r="H146" s="589"/>
      <c r="I146" s="600"/>
      <c r="K146" s="685"/>
    </row>
    <row r="147" spans="1:11" s="345" customFormat="1" ht="12.75" customHeight="1" x14ac:dyDescent="0.2">
      <c r="A147" s="572">
        <v>15</v>
      </c>
      <c r="B147" s="586" t="s">
        <v>295</v>
      </c>
      <c r="C147" s="587" t="s">
        <v>296</v>
      </c>
      <c r="D147" s="616" t="str">
        <f>$D$14</f>
        <v>FTE  Jul 2026</v>
      </c>
      <c r="E147" s="576">
        <f>'3381'!$J$124</f>
        <v>790317.65</v>
      </c>
      <c r="F147" s="588"/>
      <c r="G147" s="576">
        <f>SUBTOTAL(109,E147:F155)</f>
        <v>790317.65</v>
      </c>
      <c r="H147" s="615"/>
      <c r="I147" s="603"/>
      <c r="K147" s="685"/>
    </row>
    <row r="148" spans="1:11" s="345" customFormat="1" ht="12.75" hidden="1" customHeight="1" x14ac:dyDescent="0.2">
      <c r="A148" s="572"/>
      <c r="B148" s="586"/>
      <c r="C148" s="587"/>
      <c r="D148" s="590" t="s">
        <v>553</v>
      </c>
      <c r="E148" s="576"/>
      <c r="F148" s="588"/>
      <c r="G148" s="576"/>
      <c r="H148" s="589"/>
      <c r="I148" s="600"/>
      <c r="K148" s="685"/>
    </row>
    <row r="149" spans="1:11" ht="12.75" hidden="1" customHeight="1" x14ac:dyDescent="0.2">
      <c r="A149" s="572"/>
      <c r="B149" s="586"/>
      <c r="C149" s="587"/>
      <c r="D149" s="591" t="s">
        <v>554</v>
      </c>
      <c r="E149" s="576"/>
      <c r="F149" s="588"/>
      <c r="G149" s="576"/>
      <c r="H149" s="620"/>
      <c r="I149" s="603"/>
      <c r="K149" s="685"/>
    </row>
    <row r="150" spans="1:11" s="345" customFormat="1" ht="12.75" hidden="1" customHeight="1" x14ac:dyDescent="0.2">
      <c r="A150" s="572"/>
      <c r="B150" s="586"/>
      <c r="C150" s="587"/>
      <c r="D150" s="590" t="s">
        <v>555</v>
      </c>
      <c r="E150" s="576"/>
      <c r="F150" s="588"/>
      <c r="G150" s="576"/>
      <c r="H150" s="615"/>
      <c r="I150" s="603"/>
      <c r="K150" s="685"/>
    </row>
    <row r="151" spans="1:11" s="345" customFormat="1" ht="12.75" hidden="1" customHeight="1" x14ac:dyDescent="0.2">
      <c r="A151" s="572"/>
      <c r="B151" s="586"/>
      <c r="C151" s="587"/>
      <c r="D151" s="590" t="s">
        <v>556</v>
      </c>
      <c r="E151" s="576"/>
      <c r="F151" s="588"/>
      <c r="G151" s="576"/>
      <c r="H151" s="615"/>
      <c r="I151" s="603"/>
      <c r="K151" s="685"/>
    </row>
    <row r="152" spans="1:11" s="345" customFormat="1" ht="12.75" hidden="1" customHeight="1" x14ac:dyDescent="0.2">
      <c r="A152" s="572"/>
      <c r="B152" s="586"/>
      <c r="C152" s="587"/>
      <c r="D152" s="590" t="s">
        <v>557</v>
      </c>
      <c r="E152" s="576"/>
      <c r="F152" s="588"/>
      <c r="G152" s="576"/>
      <c r="H152" s="615"/>
      <c r="I152" s="603"/>
      <c r="K152" s="685"/>
    </row>
    <row r="153" spans="1:11" s="345" customFormat="1" ht="12.75" hidden="1" customHeight="1" x14ac:dyDescent="0.2">
      <c r="A153" s="572"/>
      <c r="B153" s="586"/>
      <c r="C153" s="587"/>
      <c r="D153" s="590" t="s">
        <v>558</v>
      </c>
      <c r="E153" s="576"/>
      <c r="F153" s="588"/>
      <c r="G153" s="576"/>
      <c r="H153" s="615"/>
      <c r="I153" s="603"/>
      <c r="K153" s="685"/>
    </row>
    <row r="154" spans="1:11" s="345" customFormat="1" ht="12.75" hidden="1" customHeight="1" x14ac:dyDescent="0.2">
      <c r="A154" s="572"/>
      <c r="B154" s="586"/>
      <c r="C154" s="587"/>
      <c r="D154" s="590" t="s">
        <v>584</v>
      </c>
      <c r="E154" s="576"/>
      <c r="F154" s="588"/>
      <c r="G154" s="576"/>
      <c r="H154" s="615"/>
      <c r="I154" s="603"/>
      <c r="K154" s="685"/>
    </row>
    <row r="155" spans="1:11" s="345" customFormat="1" ht="12.75" hidden="1" customHeight="1" x14ac:dyDescent="0.2">
      <c r="A155" s="572"/>
      <c r="B155" s="586"/>
      <c r="C155" s="587"/>
      <c r="D155" s="619" t="s">
        <v>575</v>
      </c>
      <c r="E155" s="576"/>
      <c r="F155" s="588"/>
      <c r="G155" s="576"/>
      <c r="H155" s="589"/>
      <c r="I155" s="600"/>
      <c r="K155" s="685"/>
    </row>
    <row r="156" spans="1:11" s="345" customFormat="1" ht="12.75" customHeight="1" x14ac:dyDescent="0.2">
      <c r="A156" s="295">
        <v>16</v>
      </c>
      <c r="B156" s="603" t="s">
        <v>297</v>
      </c>
      <c r="C156" s="604" t="s">
        <v>298</v>
      </c>
      <c r="D156" s="605" t="str">
        <f>$D$14</f>
        <v>FTE  Jul 2026</v>
      </c>
      <c r="E156" s="583">
        <f>'3382'!$J$124</f>
        <v>198745.57</v>
      </c>
      <c r="F156" s="606"/>
      <c r="G156" s="583">
        <f>SUBTOTAL(109,E156:F164)</f>
        <v>198745.57</v>
      </c>
      <c r="H156" s="589"/>
      <c r="I156" s="600"/>
      <c r="K156" s="685"/>
    </row>
    <row r="157" spans="1:11" s="345" customFormat="1" ht="12.75" hidden="1" customHeight="1" x14ac:dyDescent="0.2">
      <c r="A157" s="295"/>
      <c r="B157" s="603"/>
      <c r="C157" s="604"/>
      <c r="D157" s="251" t="s">
        <v>576</v>
      </c>
      <c r="E157" s="583"/>
      <c r="F157" s="606"/>
      <c r="G157" s="583"/>
      <c r="H157" s="615"/>
      <c r="I157" s="603"/>
      <c r="K157" s="685"/>
    </row>
    <row r="158" spans="1:11" s="345" customFormat="1" ht="12.75" hidden="1" customHeight="1" x14ac:dyDescent="0.2">
      <c r="A158" s="295"/>
      <c r="B158" s="603"/>
      <c r="C158" s="604"/>
      <c r="D158" s="608" t="s">
        <v>554</v>
      </c>
      <c r="E158" s="583"/>
      <c r="F158" s="606"/>
      <c r="G158" s="583"/>
      <c r="H158" s="615"/>
      <c r="I158" s="603"/>
      <c r="K158" s="685"/>
    </row>
    <row r="159" spans="1:11" s="345" customFormat="1" ht="12.75" hidden="1" customHeight="1" x14ac:dyDescent="0.2">
      <c r="A159" s="295"/>
      <c r="B159" s="603"/>
      <c r="C159" s="604"/>
      <c r="D159" s="251" t="s">
        <v>555</v>
      </c>
      <c r="E159" s="583"/>
      <c r="F159" s="606"/>
      <c r="G159" s="583"/>
      <c r="H159" s="589"/>
      <c r="I159" s="611"/>
      <c r="K159" s="685"/>
    </row>
    <row r="160" spans="1:11" s="345" customFormat="1" ht="12.75" hidden="1" customHeight="1" x14ac:dyDescent="0.2">
      <c r="A160" s="295"/>
      <c r="B160" s="603"/>
      <c r="C160" s="604"/>
      <c r="D160" s="251" t="s">
        <v>556</v>
      </c>
      <c r="E160" s="583"/>
      <c r="F160" s="606"/>
      <c r="G160" s="583"/>
      <c r="H160" s="615"/>
      <c r="I160" s="603"/>
      <c r="K160" s="685"/>
    </row>
    <row r="161" spans="1:16" s="345" customFormat="1" ht="12.75" hidden="1" customHeight="1" x14ac:dyDescent="0.2">
      <c r="A161" s="295"/>
      <c r="B161" s="603"/>
      <c r="C161" s="604"/>
      <c r="D161" s="251" t="s">
        <v>557</v>
      </c>
      <c r="E161" s="583"/>
      <c r="F161" s="606"/>
      <c r="G161" s="583"/>
      <c r="H161" s="615"/>
      <c r="I161" s="603"/>
      <c r="K161" s="685"/>
    </row>
    <row r="162" spans="1:16" s="345" customFormat="1" ht="12.75" hidden="1" customHeight="1" x14ac:dyDescent="0.2">
      <c r="A162" s="295"/>
      <c r="B162" s="603"/>
      <c r="C162" s="604"/>
      <c r="D162" s="251" t="s">
        <v>558</v>
      </c>
      <c r="E162" s="583"/>
      <c r="F162" s="606"/>
      <c r="G162" s="583"/>
      <c r="H162" s="615"/>
      <c r="I162" s="603"/>
      <c r="K162" s="685"/>
    </row>
    <row r="163" spans="1:16" s="345" customFormat="1" ht="12.75" hidden="1" customHeight="1" x14ac:dyDescent="0.2">
      <c r="A163" s="295"/>
      <c r="B163" s="603"/>
      <c r="C163" s="604"/>
      <c r="D163" s="251" t="s">
        <v>578</v>
      </c>
      <c r="E163" s="583"/>
      <c r="F163" s="606"/>
      <c r="G163" s="583"/>
      <c r="H163" s="589"/>
      <c r="I163" s="600"/>
      <c r="K163" s="685"/>
    </row>
    <row r="164" spans="1:16" s="345" customFormat="1" ht="12.75" hidden="1" customHeight="1" x14ac:dyDescent="0.2">
      <c r="A164" s="295"/>
      <c r="B164" s="603"/>
      <c r="C164" s="611"/>
      <c r="D164" s="612" t="s">
        <v>575</v>
      </c>
      <c r="E164" s="583"/>
      <c r="F164" s="606"/>
      <c r="G164" s="583"/>
      <c r="H164" s="589"/>
      <c r="I164" s="596"/>
      <c r="K164" s="685"/>
    </row>
    <row r="165" spans="1:16" ht="12.75" customHeight="1" x14ac:dyDescent="0.2">
      <c r="A165" s="572">
        <v>17</v>
      </c>
      <c r="B165" s="586" t="s">
        <v>299</v>
      </c>
      <c r="C165" s="587" t="s">
        <v>300</v>
      </c>
      <c r="D165" s="616" t="str">
        <f>$D$14</f>
        <v>FTE  Jul 2026</v>
      </c>
      <c r="E165" s="576">
        <f>'3391'!$J$124</f>
        <v>0</v>
      </c>
      <c r="F165" s="588"/>
      <c r="G165" s="576">
        <f>SUBTOTAL(109,E165:F173)</f>
        <v>0</v>
      </c>
      <c r="H165" s="620"/>
      <c r="I165" s="603"/>
      <c r="K165" s="685"/>
    </row>
    <row r="166" spans="1:16" s="345" customFormat="1" ht="12" hidden="1" customHeight="1" x14ac:dyDescent="0.2">
      <c r="A166" s="572"/>
      <c r="B166" s="586"/>
      <c r="C166" s="587"/>
      <c r="D166" s="590" t="s">
        <v>553</v>
      </c>
      <c r="E166" s="576"/>
      <c r="F166" s="588"/>
      <c r="G166" s="576"/>
      <c r="H166" s="615"/>
      <c r="I166" s="603"/>
      <c r="K166" s="685"/>
      <c r="P166" s="610"/>
    </row>
    <row r="167" spans="1:16" s="345" customFormat="1" ht="12.75" hidden="1" customHeight="1" x14ac:dyDescent="0.2">
      <c r="A167" s="572"/>
      <c r="B167" s="586"/>
      <c r="C167" s="587"/>
      <c r="D167" s="590" t="s">
        <v>554</v>
      </c>
      <c r="E167" s="576"/>
      <c r="F167" s="588"/>
      <c r="G167" s="576"/>
      <c r="H167" s="615"/>
      <c r="I167" s="603"/>
      <c r="K167" s="685"/>
    </row>
    <row r="168" spans="1:16" s="345" customFormat="1" ht="12.75" hidden="1" customHeight="1" x14ac:dyDescent="0.2">
      <c r="A168" s="572"/>
      <c r="B168" s="586"/>
      <c r="C168" s="587"/>
      <c r="D168" s="591" t="s">
        <v>573</v>
      </c>
      <c r="E168" s="576"/>
      <c r="F168" s="588"/>
      <c r="G168" s="576"/>
      <c r="H168" s="589"/>
      <c r="I168" s="611"/>
      <c r="K168" s="685"/>
    </row>
    <row r="169" spans="1:16" s="345" customFormat="1" ht="12.75" hidden="1" customHeight="1" x14ac:dyDescent="0.2">
      <c r="A169" s="572"/>
      <c r="B169" s="586"/>
      <c r="C169" s="587"/>
      <c r="D169" s="590" t="s">
        <v>555</v>
      </c>
      <c r="E169" s="576"/>
      <c r="F169" s="588"/>
      <c r="G169" s="576"/>
      <c r="H169" s="615"/>
      <c r="I169" s="603"/>
      <c r="K169" s="685"/>
    </row>
    <row r="170" spans="1:16" s="345" customFormat="1" ht="12.75" hidden="1" customHeight="1" x14ac:dyDescent="0.2">
      <c r="A170" s="572"/>
      <c r="B170" s="586"/>
      <c r="C170" s="587"/>
      <c r="D170" s="590" t="s">
        <v>556</v>
      </c>
      <c r="E170" s="576"/>
      <c r="F170" s="588"/>
      <c r="G170" s="576"/>
      <c r="H170" s="615"/>
      <c r="I170" s="603"/>
      <c r="K170" s="685"/>
    </row>
    <row r="171" spans="1:16" s="345" customFormat="1" ht="12.75" hidden="1" customHeight="1" x14ac:dyDescent="0.2">
      <c r="A171" s="572"/>
      <c r="B171" s="586"/>
      <c r="C171" s="587"/>
      <c r="D171" s="590" t="s">
        <v>557</v>
      </c>
      <c r="E171" s="576"/>
      <c r="F171" s="588"/>
      <c r="G171" s="576"/>
      <c r="H171" s="615"/>
      <c r="I171" s="603"/>
      <c r="K171" s="685"/>
    </row>
    <row r="172" spans="1:16" s="345" customFormat="1" ht="12.75" hidden="1" customHeight="1" x14ac:dyDescent="0.2">
      <c r="A172" s="572"/>
      <c r="B172" s="586"/>
      <c r="C172" s="587"/>
      <c r="D172" s="590" t="s">
        <v>558</v>
      </c>
      <c r="E172" s="576"/>
      <c r="F172" s="588"/>
      <c r="G172" s="576"/>
      <c r="H172" s="589"/>
      <c r="I172" s="600"/>
      <c r="K172" s="685"/>
    </row>
    <row r="173" spans="1:16" s="345" customFormat="1" ht="12.75" hidden="1" customHeight="1" x14ac:dyDescent="0.2">
      <c r="A173" s="572"/>
      <c r="B173" s="586"/>
      <c r="C173" s="587"/>
      <c r="D173" s="619"/>
      <c r="E173" s="576"/>
      <c r="F173" s="588"/>
      <c r="G173" s="576"/>
      <c r="H173" s="615"/>
      <c r="I173" s="600"/>
      <c r="K173" s="685"/>
    </row>
    <row r="174" spans="1:16" ht="12.75" customHeight="1" x14ac:dyDescent="0.2">
      <c r="A174" s="295">
        <v>18</v>
      </c>
      <c r="B174" s="603" t="s">
        <v>301</v>
      </c>
      <c r="C174" s="604" t="s">
        <v>302</v>
      </c>
      <c r="D174" s="605" t="str">
        <f>$D$14</f>
        <v>FTE  Jul 2026</v>
      </c>
      <c r="E174" s="583">
        <f>'3394'!$J$124</f>
        <v>140988.79999999999</v>
      </c>
      <c r="F174" s="606" t="s">
        <v>52</v>
      </c>
      <c r="G174" s="583">
        <f>SUBTOTAL(109,E174:F183)</f>
        <v>140988.79999999999</v>
      </c>
      <c r="H174" s="620"/>
      <c r="I174" s="603"/>
      <c r="K174" s="685"/>
    </row>
    <row r="175" spans="1:16" s="345" customFormat="1" ht="12.75" hidden="1" customHeight="1" x14ac:dyDescent="0.2">
      <c r="A175" s="295"/>
      <c r="B175" s="603"/>
      <c r="C175" s="604"/>
      <c r="D175" s="251" t="s">
        <v>576</v>
      </c>
      <c r="E175" s="583"/>
      <c r="F175" s="606"/>
      <c r="G175" s="583"/>
      <c r="H175" s="615"/>
      <c r="I175" s="621"/>
      <c r="K175" s="685"/>
    </row>
    <row r="176" spans="1:16" s="345" customFormat="1" ht="12.75" hidden="1" customHeight="1" x14ac:dyDescent="0.2">
      <c r="A176" s="295"/>
      <c r="B176" s="603"/>
      <c r="C176" s="604"/>
      <c r="D176" s="608" t="s">
        <v>554</v>
      </c>
      <c r="E176" s="583"/>
      <c r="F176" s="606"/>
      <c r="G176" s="583"/>
      <c r="H176" s="615"/>
      <c r="I176" s="621"/>
      <c r="K176" s="685"/>
    </row>
    <row r="177" spans="1:11" s="345" customFormat="1" ht="12.75" hidden="1" customHeight="1" x14ac:dyDescent="0.2">
      <c r="A177" s="295"/>
      <c r="B177" s="603"/>
      <c r="C177" s="604"/>
      <c r="D177" s="251" t="s">
        <v>555</v>
      </c>
      <c r="E177" s="583"/>
      <c r="F177" s="606"/>
      <c r="G177" s="583"/>
      <c r="H177" s="589"/>
      <c r="I177" s="611"/>
      <c r="K177" s="685"/>
    </row>
    <row r="178" spans="1:11" s="345" customFormat="1" ht="12.75" hidden="1" customHeight="1" x14ac:dyDescent="0.2">
      <c r="A178" s="295"/>
      <c r="B178" s="603"/>
      <c r="C178" s="604"/>
      <c r="D178" s="251" t="s">
        <v>556</v>
      </c>
      <c r="E178" s="583"/>
      <c r="F178" s="606"/>
      <c r="G178" s="583"/>
      <c r="H178" s="589"/>
      <c r="I178" s="611"/>
      <c r="K178" s="685"/>
    </row>
    <row r="179" spans="1:11" s="345" customFormat="1" ht="12.75" hidden="1" customHeight="1" x14ac:dyDescent="0.2">
      <c r="A179" s="295"/>
      <c r="B179" s="603"/>
      <c r="C179" s="604"/>
      <c r="D179" s="251" t="s">
        <v>557</v>
      </c>
      <c r="E179" s="583"/>
      <c r="F179" s="606"/>
      <c r="G179" s="583"/>
      <c r="H179" s="615"/>
      <c r="I179" s="621"/>
      <c r="K179" s="685"/>
    </row>
    <row r="180" spans="1:11" s="345" customFormat="1" ht="12.75" hidden="1" customHeight="1" x14ac:dyDescent="0.2">
      <c r="A180" s="295"/>
      <c r="B180" s="603"/>
      <c r="C180" s="604"/>
      <c r="D180" s="251" t="s">
        <v>558</v>
      </c>
      <c r="E180" s="583"/>
      <c r="F180" s="606"/>
      <c r="G180" s="583"/>
      <c r="H180" s="615"/>
      <c r="I180" s="621"/>
      <c r="K180" s="685"/>
    </row>
    <row r="181" spans="1:11" s="345" customFormat="1" ht="12.75" hidden="1" customHeight="1" x14ac:dyDescent="0.2">
      <c r="A181" s="295"/>
      <c r="B181" s="603"/>
      <c r="C181" s="604"/>
      <c r="D181" s="251" t="s">
        <v>584</v>
      </c>
      <c r="E181" s="583"/>
      <c r="F181" s="606"/>
      <c r="G181" s="583"/>
      <c r="H181" s="615"/>
      <c r="I181" s="621"/>
      <c r="K181" s="685"/>
    </row>
    <row r="182" spans="1:11" s="345" customFormat="1" ht="12.75" hidden="1" customHeight="1" x14ac:dyDescent="0.2">
      <c r="A182" s="295"/>
      <c r="B182" s="603"/>
      <c r="C182" s="604"/>
      <c r="D182" s="612" t="s">
        <v>585</v>
      </c>
      <c r="E182" s="583"/>
      <c r="F182" s="606"/>
      <c r="G182" s="583"/>
      <c r="H182" s="589"/>
      <c r="I182" s="600"/>
      <c r="K182" s="685"/>
    </row>
    <row r="183" spans="1:11" s="345" customFormat="1" ht="12.75" hidden="1" customHeight="1" x14ac:dyDescent="0.2">
      <c r="A183" s="295"/>
      <c r="B183" s="603"/>
      <c r="C183" s="604"/>
      <c r="D183" s="612" t="s">
        <v>586</v>
      </c>
      <c r="E183" s="583"/>
      <c r="F183" s="606"/>
      <c r="G183" s="583"/>
      <c r="H183" s="589"/>
      <c r="I183" s="600"/>
      <c r="K183" s="685"/>
    </row>
    <row r="184" spans="1:11" s="345" customFormat="1" ht="12" customHeight="1" x14ac:dyDescent="0.2">
      <c r="A184" s="572">
        <v>19</v>
      </c>
      <c r="B184" s="586" t="s">
        <v>303</v>
      </c>
      <c r="C184" s="617" t="s">
        <v>375</v>
      </c>
      <c r="D184" s="616" t="str">
        <f>$D$14</f>
        <v>FTE  Jul 2026</v>
      </c>
      <c r="E184" s="576">
        <f>'3395'!$J$124</f>
        <v>392880.9</v>
      </c>
      <c r="F184" s="588"/>
      <c r="G184" s="576">
        <f>SUBTOTAL(109,E184:F191)</f>
        <v>392880.9</v>
      </c>
      <c r="H184" s="615"/>
      <c r="I184" s="621"/>
      <c r="K184" s="685"/>
    </row>
    <row r="185" spans="1:11" s="345" customFormat="1" ht="12.75" hidden="1" customHeight="1" x14ac:dyDescent="0.2">
      <c r="A185" s="572"/>
      <c r="B185" s="586"/>
      <c r="C185" s="587"/>
      <c r="D185" s="590" t="s">
        <v>553</v>
      </c>
      <c r="E185" s="576"/>
      <c r="F185" s="588"/>
      <c r="G185" s="576"/>
      <c r="H185" s="615"/>
      <c r="I185" s="621"/>
      <c r="K185" s="685"/>
    </row>
    <row r="186" spans="1:11" s="345" customFormat="1" ht="12.75" hidden="1" customHeight="1" x14ac:dyDescent="0.2">
      <c r="A186" s="572"/>
      <c r="B186" s="586"/>
      <c r="C186" s="587"/>
      <c r="D186" s="591" t="s">
        <v>554</v>
      </c>
      <c r="E186" s="576"/>
      <c r="F186" s="588"/>
      <c r="G186" s="576"/>
      <c r="H186" s="589"/>
      <c r="I186" s="611"/>
      <c r="K186" s="685"/>
    </row>
    <row r="187" spans="1:11" s="345" customFormat="1" ht="12.75" hidden="1" customHeight="1" x14ac:dyDescent="0.2">
      <c r="A187" s="572"/>
      <c r="B187" s="586"/>
      <c r="C187" s="587"/>
      <c r="D187" s="590" t="s">
        <v>555</v>
      </c>
      <c r="E187" s="576"/>
      <c r="F187" s="588"/>
      <c r="G187" s="576"/>
      <c r="H187" s="615"/>
      <c r="I187" s="621"/>
      <c r="K187" s="685"/>
    </row>
    <row r="188" spans="1:11" s="345" customFormat="1" ht="12.75" hidden="1" customHeight="1" x14ac:dyDescent="0.2">
      <c r="A188" s="572"/>
      <c r="B188" s="586"/>
      <c r="C188" s="587"/>
      <c r="D188" s="590" t="s">
        <v>556</v>
      </c>
      <c r="E188" s="576"/>
      <c r="F188" s="588"/>
      <c r="G188" s="576"/>
      <c r="H188" s="615"/>
      <c r="I188" s="621"/>
      <c r="K188" s="685"/>
    </row>
    <row r="189" spans="1:11" s="345" customFormat="1" ht="12.75" hidden="1" customHeight="1" x14ac:dyDescent="0.2">
      <c r="A189" s="572"/>
      <c r="B189" s="586"/>
      <c r="C189" s="587"/>
      <c r="D189" s="590" t="s">
        <v>557</v>
      </c>
      <c r="E189" s="576"/>
      <c r="F189" s="588"/>
      <c r="G189" s="576"/>
      <c r="H189" s="615"/>
      <c r="I189" s="621"/>
      <c r="K189" s="685"/>
    </row>
    <row r="190" spans="1:11" s="345" customFormat="1" ht="12.75" hidden="1" customHeight="1" x14ac:dyDescent="0.2">
      <c r="A190" s="572"/>
      <c r="B190" s="586"/>
      <c r="C190" s="587"/>
      <c r="D190" s="597" t="s">
        <v>650</v>
      </c>
      <c r="E190" s="576"/>
      <c r="F190" s="588"/>
      <c r="G190" s="576"/>
      <c r="H190" s="615"/>
      <c r="I190" s="746" t="s">
        <v>651</v>
      </c>
      <c r="K190" s="685"/>
    </row>
    <row r="191" spans="1:11" s="345" customFormat="1" ht="12.75" hidden="1" customHeight="1" x14ac:dyDescent="0.2">
      <c r="A191" s="572"/>
      <c r="B191" s="586"/>
      <c r="C191" s="587"/>
      <c r="D191" s="597"/>
      <c r="E191" s="622"/>
      <c r="F191" s="588"/>
      <c r="G191" s="576"/>
      <c r="H191" s="615"/>
      <c r="I191" s="596"/>
      <c r="K191" s="685"/>
    </row>
    <row r="192" spans="1:11" s="345" customFormat="1" ht="12.75" customHeight="1" x14ac:dyDescent="0.2">
      <c r="A192" s="295">
        <v>20</v>
      </c>
      <c r="B192" s="603" t="s">
        <v>305</v>
      </c>
      <c r="C192" s="618" t="s">
        <v>306</v>
      </c>
      <c r="D192" s="605" t="str">
        <f>$D$14</f>
        <v>FTE  Jul 2026</v>
      </c>
      <c r="E192" s="583">
        <f>'3396'!$J$124</f>
        <v>551140.87</v>
      </c>
      <c r="F192" s="606"/>
      <c r="G192" s="583">
        <f>SUBTOTAL(109,E192:F199)</f>
        <v>551140.87</v>
      </c>
      <c r="H192" s="615"/>
      <c r="I192" s="621"/>
      <c r="K192" s="685"/>
    </row>
    <row r="193" spans="1:11" s="345" customFormat="1" ht="12.75" hidden="1" customHeight="1" x14ac:dyDescent="0.2">
      <c r="A193" s="295"/>
      <c r="B193" s="603"/>
      <c r="C193" s="618"/>
      <c r="D193" s="251" t="s">
        <v>576</v>
      </c>
      <c r="E193" s="583"/>
      <c r="F193" s="606"/>
      <c r="G193" s="583"/>
      <c r="H193" s="615"/>
      <c r="I193" s="621"/>
      <c r="K193" s="685"/>
    </row>
    <row r="194" spans="1:11" s="345" customFormat="1" ht="12.75" hidden="1" customHeight="1" x14ac:dyDescent="0.2">
      <c r="A194" s="295"/>
      <c r="B194" s="603"/>
      <c r="C194" s="618"/>
      <c r="D194" s="251" t="s">
        <v>554</v>
      </c>
      <c r="E194" s="583"/>
      <c r="F194" s="606"/>
      <c r="G194" s="583"/>
      <c r="H194" s="615"/>
      <c r="I194" s="621"/>
      <c r="K194" s="685"/>
    </row>
    <row r="195" spans="1:11" s="345" customFormat="1" ht="12.75" hidden="1" customHeight="1" x14ac:dyDescent="0.2">
      <c r="A195" s="295"/>
      <c r="B195" s="603"/>
      <c r="C195" s="618"/>
      <c r="D195" s="251" t="s">
        <v>556</v>
      </c>
      <c r="E195" s="583"/>
      <c r="F195" s="606"/>
      <c r="G195" s="583"/>
      <c r="H195" s="589"/>
      <c r="I195" s="611"/>
      <c r="K195" s="685"/>
    </row>
    <row r="196" spans="1:11" s="345" customFormat="1" ht="12.75" hidden="1" customHeight="1" x14ac:dyDescent="0.2">
      <c r="A196" s="295"/>
      <c r="B196" s="603"/>
      <c r="C196" s="618"/>
      <c r="D196" s="251" t="s">
        <v>557</v>
      </c>
      <c r="E196" s="583"/>
      <c r="F196" s="606"/>
      <c r="G196" s="583"/>
      <c r="H196" s="615"/>
      <c r="I196" s="621"/>
      <c r="K196" s="685"/>
    </row>
    <row r="197" spans="1:11" s="345" customFormat="1" ht="12.75" hidden="1" customHeight="1" x14ac:dyDescent="0.2">
      <c r="A197" s="295"/>
      <c r="B197" s="603"/>
      <c r="C197" s="604"/>
      <c r="D197" s="251" t="s">
        <v>558</v>
      </c>
      <c r="E197" s="583"/>
      <c r="F197" s="606"/>
      <c r="G197" s="583"/>
      <c r="H197" s="615"/>
      <c r="I197" s="621"/>
      <c r="K197" s="685"/>
    </row>
    <row r="198" spans="1:11" s="345" customFormat="1" ht="12.75" hidden="1" customHeight="1" x14ac:dyDescent="0.2">
      <c r="A198" s="295"/>
      <c r="B198" s="603"/>
      <c r="C198" s="604"/>
      <c r="D198" s="251" t="s">
        <v>584</v>
      </c>
      <c r="E198" s="583"/>
      <c r="F198" s="606"/>
      <c r="G198" s="583"/>
      <c r="H198" s="615"/>
      <c r="I198" s="621"/>
      <c r="K198" s="685"/>
    </row>
    <row r="199" spans="1:11" s="345" customFormat="1" ht="12.75" hidden="1" customHeight="1" x14ac:dyDescent="0.2">
      <c r="A199" s="295"/>
      <c r="B199" s="603"/>
      <c r="C199" s="604"/>
      <c r="D199" s="612" t="s">
        <v>575</v>
      </c>
      <c r="E199" s="583"/>
      <c r="F199" s="606"/>
      <c r="G199" s="583"/>
      <c r="H199" s="589"/>
      <c r="I199" s="600"/>
      <c r="K199" s="685"/>
    </row>
    <row r="200" spans="1:11" s="345" customFormat="1" ht="12.75" customHeight="1" x14ac:dyDescent="0.2">
      <c r="A200" s="572">
        <f>A192+1</f>
        <v>21</v>
      </c>
      <c r="B200" s="586" t="s">
        <v>307</v>
      </c>
      <c r="C200" s="587" t="s">
        <v>308</v>
      </c>
      <c r="D200" s="616" t="str">
        <f>$D$14</f>
        <v>FTE  Jul 2026</v>
      </c>
      <c r="E200" s="576">
        <f>'3398'!$J$124</f>
        <v>82371.990000000005</v>
      </c>
      <c r="F200" s="588"/>
      <c r="G200" s="576">
        <f>SUBTOTAL(109,E200:F206)</f>
        <v>82371.990000000005</v>
      </c>
      <c r="H200" s="615"/>
      <c r="I200" s="596"/>
      <c r="K200" s="685"/>
    </row>
    <row r="201" spans="1:11" ht="12.75" hidden="1" customHeight="1" x14ac:dyDescent="0.2">
      <c r="A201" s="572"/>
      <c r="B201" s="586"/>
      <c r="C201" s="587"/>
      <c r="D201" s="590" t="s">
        <v>553</v>
      </c>
      <c r="E201" s="576"/>
      <c r="F201" s="588"/>
      <c r="G201" s="576"/>
      <c r="H201" s="620"/>
      <c r="I201" s="623"/>
      <c r="K201" s="685"/>
    </row>
    <row r="202" spans="1:11" s="345" customFormat="1" ht="12.75" hidden="1" customHeight="1" x14ac:dyDescent="0.2">
      <c r="A202" s="572"/>
      <c r="B202" s="586"/>
      <c r="C202" s="587"/>
      <c r="D202" s="590" t="s">
        <v>554</v>
      </c>
      <c r="E202" s="576"/>
      <c r="F202" s="588"/>
      <c r="G202" s="576"/>
      <c r="H202" s="615"/>
      <c r="I202" s="621"/>
      <c r="K202" s="685"/>
    </row>
    <row r="203" spans="1:11" s="345" customFormat="1" ht="12.75" hidden="1" customHeight="1" x14ac:dyDescent="0.2">
      <c r="A203" s="572"/>
      <c r="B203" s="586"/>
      <c r="C203" s="587"/>
      <c r="D203" s="590" t="s">
        <v>556</v>
      </c>
      <c r="E203" s="576"/>
      <c r="F203" s="588"/>
      <c r="G203" s="576"/>
      <c r="H203" s="615"/>
      <c r="I203" s="621"/>
      <c r="K203" s="685"/>
    </row>
    <row r="204" spans="1:11" s="345" customFormat="1" ht="12.75" hidden="1" customHeight="1" x14ac:dyDescent="0.2">
      <c r="A204" s="572"/>
      <c r="B204" s="586"/>
      <c r="C204" s="593"/>
      <c r="D204" s="590" t="s">
        <v>557</v>
      </c>
      <c r="E204" s="576"/>
      <c r="F204" s="588"/>
      <c r="G204" s="576"/>
      <c r="H204" s="615"/>
      <c r="K204" s="685"/>
    </row>
    <row r="205" spans="1:11" s="345" customFormat="1" ht="12.75" hidden="1" customHeight="1" x14ac:dyDescent="0.2">
      <c r="A205" s="572"/>
      <c r="B205" s="586"/>
      <c r="C205" s="587"/>
      <c r="D205" s="590" t="s">
        <v>558</v>
      </c>
      <c r="E205" s="576"/>
      <c r="F205" s="588"/>
      <c r="G205" s="576"/>
      <c r="H205" s="615"/>
      <c r="K205" s="685"/>
    </row>
    <row r="206" spans="1:11" s="345" customFormat="1" ht="12.75" hidden="1" customHeight="1" x14ac:dyDescent="0.2">
      <c r="A206" s="572"/>
      <c r="B206" s="586"/>
      <c r="C206" s="593"/>
      <c r="D206" s="619" t="s">
        <v>575</v>
      </c>
      <c r="E206" s="576"/>
      <c r="F206" s="588"/>
      <c r="G206" s="576"/>
      <c r="H206" s="615"/>
      <c r="K206" s="685"/>
    </row>
    <row r="207" spans="1:11" s="345" customFormat="1" ht="12.75" customHeight="1" x14ac:dyDescent="0.2">
      <c r="A207" s="295">
        <f>A200+1</f>
        <v>22</v>
      </c>
      <c r="B207" s="603" t="s">
        <v>309</v>
      </c>
      <c r="C207" s="604" t="s">
        <v>310</v>
      </c>
      <c r="D207" s="605" t="str">
        <f>$D$14</f>
        <v>FTE  Jul 2026</v>
      </c>
      <c r="E207" s="583">
        <f>'3400'!$J$124</f>
        <v>108668.62</v>
      </c>
      <c r="F207" s="606"/>
      <c r="G207" s="583">
        <f>SUBTOTAL(109,E207:F214)</f>
        <v>108668.62</v>
      </c>
      <c r="H207" s="589"/>
      <c r="I207" s="600"/>
      <c r="K207" s="685"/>
    </row>
    <row r="208" spans="1:11" s="345" customFormat="1" ht="12.75" hidden="1" customHeight="1" x14ac:dyDescent="0.2">
      <c r="A208" s="295"/>
      <c r="B208" s="603"/>
      <c r="C208" s="604"/>
      <c r="D208" s="251" t="s">
        <v>576</v>
      </c>
      <c r="E208" s="583"/>
      <c r="F208" s="606"/>
      <c r="G208" s="583"/>
      <c r="H208" s="615"/>
      <c r="I208" s="596"/>
      <c r="K208" s="685"/>
    </row>
    <row r="209" spans="1:11" s="345" customFormat="1" ht="12.75" hidden="1" customHeight="1" x14ac:dyDescent="0.2">
      <c r="A209" s="295"/>
      <c r="B209" s="603"/>
      <c r="C209" s="604"/>
      <c r="D209" s="608" t="s">
        <v>583</v>
      </c>
      <c r="E209" s="583"/>
      <c r="F209" s="606"/>
      <c r="G209" s="583"/>
      <c r="H209" s="615"/>
      <c r="I209" s="621"/>
      <c r="K209" s="685"/>
    </row>
    <row r="210" spans="1:11" s="345" customFormat="1" ht="12.75" hidden="1" customHeight="1" x14ac:dyDescent="0.2">
      <c r="A210" s="295"/>
      <c r="B210" s="603"/>
      <c r="C210" s="604"/>
      <c r="D210" s="251" t="s">
        <v>555</v>
      </c>
      <c r="E210" s="583"/>
      <c r="F210" s="606"/>
      <c r="G210" s="583"/>
      <c r="H210" s="615"/>
      <c r="I210" s="621"/>
      <c r="K210" s="685"/>
    </row>
    <row r="211" spans="1:11" s="345" customFormat="1" ht="12.75" hidden="1" customHeight="1" x14ac:dyDescent="0.2">
      <c r="A211" s="295"/>
      <c r="B211" s="603"/>
      <c r="C211" s="604"/>
      <c r="D211" s="251" t="s">
        <v>556</v>
      </c>
      <c r="E211" s="583"/>
      <c r="F211" s="606"/>
      <c r="G211" s="583"/>
      <c r="H211" s="615"/>
      <c r="I211" s="621"/>
      <c r="K211" s="685"/>
    </row>
    <row r="212" spans="1:11" s="345" customFormat="1" ht="12.75" hidden="1" customHeight="1" x14ac:dyDescent="0.2">
      <c r="A212" s="295"/>
      <c r="B212" s="603"/>
      <c r="C212" s="604"/>
      <c r="D212" s="251" t="s">
        <v>557</v>
      </c>
      <c r="E212" s="583"/>
      <c r="F212" s="606"/>
      <c r="G212" s="583"/>
      <c r="H212" s="615"/>
      <c r="K212" s="685"/>
    </row>
    <row r="213" spans="1:11" s="345" customFormat="1" ht="12.75" hidden="1" customHeight="1" x14ac:dyDescent="0.2">
      <c r="A213" s="295"/>
      <c r="B213" s="603"/>
      <c r="C213" s="604"/>
      <c r="D213" s="251" t="s">
        <v>558</v>
      </c>
      <c r="E213" s="583"/>
      <c r="F213" s="606"/>
      <c r="G213" s="583"/>
      <c r="H213" s="615"/>
      <c r="I213" s="246"/>
      <c r="K213" s="685"/>
    </row>
    <row r="214" spans="1:11" ht="12.75" hidden="1" customHeight="1" x14ac:dyDescent="0.2">
      <c r="A214" s="295"/>
      <c r="B214" s="603"/>
      <c r="C214" s="604"/>
      <c r="D214" s="612" t="s">
        <v>575</v>
      </c>
      <c r="E214" s="583"/>
      <c r="F214" s="606"/>
      <c r="G214" s="583"/>
      <c r="H214" s="620"/>
      <c r="K214" s="685"/>
    </row>
    <row r="215" spans="1:11" s="345" customFormat="1" ht="12.75" customHeight="1" x14ac:dyDescent="0.2">
      <c r="A215" s="572">
        <f>A207+1</f>
        <v>23</v>
      </c>
      <c r="B215" s="586" t="s">
        <v>311</v>
      </c>
      <c r="C215" s="587" t="s">
        <v>312</v>
      </c>
      <c r="D215" s="616" t="str">
        <f>$D$14</f>
        <v>FTE  Jul 2026</v>
      </c>
      <c r="E215" s="576">
        <f>'3401'!$J$124</f>
        <v>307859.90000000002</v>
      </c>
      <c r="F215" s="588"/>
      <c r="G215" s="576">
        <f>SUBTOTAL(109,E215:F225)</f>
        <v>307859.90000000002</v>
      </c>
      <c r="H215" s="589"/>
      <c r="I215" s="600"/>
      <c r="K215" s="685"/>
    </row>
    <row r="216" spans="1:11" ht="12.75" hidden="1" customHeight="1" x14ac:dyDescent="0.2">
      <c r="A216" s="572"/>
      <c r="B216" s="586"/>
      <c r="C216" s="587"/>
      <c r="D216" s="590" t="s">
        <v>553</v>
      </c>
      <c r="E216" s="576"/>
      <c r="F216" s="588"/>
      <c r="G216" s="576"/>
      <c r="H216" s="620"/>
      <c r="I216" s="621"/>
      <c r="K216" s="685"/>
    </row>
    <row r="217" spans="1:11" s="345" customFormat="1" ht="12.75" hidden="1" customHeight="1" x14ac:dyDescent="0.2">
      <c r="A217" s="572"/>
      <c r="B217" s="586"/>
      <c r="C217" s="587"/>
      <c r="D217" s="591" t="s">
        <v>554</v>
      </c>
      <c r="E217" s="576"/>
      <c r="F217" s="588"/>
      <c r="G217" s="576"/>
      <c r="H217" s="615"/>
      <c r="I217" s="621"/>
      <c r="K217" s="685"/>
    </row>
    <row r="218" spans="1:11" s="345" customFormat="1" ht="12.75" hidden="1" customHeight="1" x14ac:dyDescent="0.2">
      <c r="A218" s="572"/>
      <c r="B218" s="586"/>
      <c r="C218" s="587"/>
      <c r="D218" s="590" t="s">
        <v>577</v>
      </c>
      <c r="E218" s="576"/>
      <c r="F218" s="588"/>
      <c r="G218" s="576"/>
      <c r="H218" s="615"/>
      <c r="I218" s="621"/>
      <c r="K218" s="685"/>
    </row>
    <row r="219" spans="1:11" s="345" customFormat="1" ht="12.75" hidden="1" customHeight="1" x14ac:dyDescent="0.2">
      <c r="A219" s="572"/>
      <c r="B219" s="586"/>
      <c r="C219" s="587"/>
      <c r="D219" s="590" t="s">
        <v>587</v>
      </c>
      <c r="E219" s="576"/>
      <c r="F219" s="588"/>
      <c r="G219" s="576"/>
      <c r="H219" s="589"/>
      <c r="I219" s="611"/>
      <c r="K219" s="685"/>
    </row>
    <row r="220" spans="1:11" s="345" customFormat="1" ht="12.75" hidden="1" customHeight="1" x14ac:dyDescent="0.2">
      <c r="A220" s="572"/>
      <c r="B220" s="586"/>
      <c r="C220" s="587"/>
      <c r="D220" s="590" t="s">
        <v>555</v>
      </c>
      <c r="E220" s="576"/>
      <c r="F220" s="588"/>
      <c r="G220" s="576"/>
      <c r="H220" s="615"/>
      <c r="K220" s="685"/>
    </row>
    <row r="221" spans="1:11" s="345" customFormat="1" ht="12.75" hidden="1" customHeight="1" x14ac:dyDescent="0.2">
      <c r="A221" s="572"/>
      <c r="B221" s="586"/>
      <c r="C221" s="587"/>
      <c r="D221" s="590" t="s">
        <v>556</v>
      </c>
      <c r="E221" s="576"/>
      <c r="F221" s="588"/>
      <c r="G221" s="576"/>
      <c r="H221" s="615"/>
      <c r="K221" s="685"/>
    </row>
    <row r="222" spans="1:11" s="345" customFormat="1" ht="12.75" hidden="1" customHeight="1" x14ac:dyDescent="0.2">
      <c r="A222" s="572"/>
      <c r="B222" s="586"/>
      <c r="C222" s="587"/>
      <c r="D222" s="590" t="s">
        <v>557</v>
      </c>
      <c r="E222" s="576"/>
      <c r="F222" s="588"/>
      <c r="G222" s="576"/>
      <c r="H222" s="615"/>
      <c r="I222" s="603"/>
      <c r="K222" s="685"/>
    </row>
    <row r="223" spans="1:11" s="345" customFormat="1" ht="12.75" hidden="1" customHeight="1" x14ac:dyDescent="0.2">
      <c r="A223" s="572"/>
      <c r="B223" s="586"/>
      <c r="C223" s="587"/>
      <c r="D223" s="590" t="s">
        <v>558</v>
      </c>
      <c r="E223" s="576"/>
      <c r="F223" s="588"/>
      <c r="G223" s="576"/>
      <c r="H223" s="589"/>
      <c r="I223" s="600"/>
      <c r="K223" s="685"/>
    </row>
    <row r="224" spans="1:11" s="345" customFormat="1" ht="12.75" hidden="1" customHeight="1" x14ac:dyDescent="0.2">
      <c r="A224" s="572"/>
      <c r="B224" s="586"/>
      <c r="C224" s="593"/>
      <c r="D224" s="597" t="s">
        <v>566</v>
      </c>
      <c r="E224" s="576"/>
      <c r="F224" s="588"/>
      <c r="G224" s="576"/>
      <c r="H224" s="589"/>
      <c r="I224" s="600"/>
      <c r="K224" s="685"/>
    </row>
    <row r="225" spans="1:11" s="345" customFormat="1" ht="12.75" hidden="1" customHeight="1" x14ac:dyDescent="0.2">
      <c r="A225" s="572"/>
      <c r="B225" s="586"/>
      <c r="C225" s="587"/>
      <c r="D225" s="619" t="s">
        <v>575</v>
      </c>
      <c r="E225" s="576"/>
      <c r="F225" s="588"/>
      <c r="G225" s="576"/>
      <c r="H225" s="615"/>
      <c r="I225" s="603"/>
      <c r="K225" s="685"/>
    </row>
    <row r="226" spans="1:11" s="345" customFormat="1" ht="12.75" customHeight="1" x14ac:dyDescent="0.2">
      <c r="A226" s="295">
        <f>A215+1</f>
        <v>24</v>
      </c>
      <c r="B226" s="603" t="s">
        <v>313</v>
      </c>
      <c r="C226" s="604" t="s">
        <v>314</v>
      </c>
      <c r="D226" s="605" t="str">
        <f>$D$14</f>
        <v>FTE  Jul 2026</v>
      </c>
      <c r="E226" s="583">
        <f>'3413'!$J$124</f>
        <v>296789.01</v>
      </c>
      <c r="F226" s="606"/>
      <c r="G226" s="583">
        <f>SUBTOTAL(109,E226:F233)</f>
        <v>296789.01</v>
      </c>
      <c r="H226" s="615"/>
      <c r="I226" s="603"/>
      <c r="K226" s="685"/>
    </row>
    <row r="227" spans="1:11" s="345" customFormat="1" ht="12.75" hidden="1" customHeight="1" x14ac:dyDescent="0.2">
      <c r="A227" s="295"/>
      <c r="B227" s="603"/>
      <c r="C227" s="604"/>
      <c r="D227" s="251" t="s">
        <v>576</v>
      </c>
      <c r="E227" s="583"/>
      <c r="F227" s="606"/>
      <c r="G227" s="583"/>
      <c r="H227" s="615"/>
      <c r="I227" s="603"/>
      <c r="K227" s="685"/>
    </row>
    <row r="228" spans="1:11" s="345" customFormat="1" ht="12.75" hidden="1" customHeight="1" x14ac:dyDescent="0.2">
      <c r="A228" s="295"/>
      <c r="B228" s="603"/>
      <c r="C228" s="604"/>
      <c r="D228" s="608" t="s">
        <v>554</v>
      </c>
      <c r="E228" s="583"/>
      <c r="F228" s="606"/>
      <c r="G228" s="583"/>
      <c r="H228" s="615"/>
      <c r="I228" s="603"/>
      <c r="K228" s="685"/>
    </row>
    <row r="229" spans="1:11" s="345" customFormat="1" ht="12.75" hidden="1" customHeight="1" x14ac:dyDescent="0.2">
      <c r="A229" s="295"/>
      <c r="B229" s="603"/>
      <c r="C229" s="604"/>
      <c r="D229" s="251" t="s">
        <v>555</v>
      </c>
      <c r="E229" s="583"/>
      <c r="F229" s="606"/>
      <c r="G229" s="583"/>
      <c r="H229" s="615"/>
      <c r="I229" s="603"/>
      <c r="K229" s="685"/>
    </row>
    <row r="230" spans="1:11" s="345" customFormat="1" ht="12.75" hidden="1" customHeight="1" x14ac:dyDescent="0.2">
      <c r="A230" s="295"/>
      <c r="B230" s="603"/>
      <c r="C230" s="604"/>
      <c r="D230" s="251" t="s">
        <v>556</v>
      </c>
      <c r="E230" s="583"/>
      <c r="F230" s="606"/>
      <c r="G230" s="583"/>
      <c r="H230" s="615"/>
      <c r="I230" s="603"/>
      <c r="K230" s="685"/>
    </row>
    <row r="231" spans="1:11" s="345" customFormat="1" ht="12.75" hidden="1" customHeight="1" x14ac:dyDescent="0.2">
      <c r="A231" s="295"/>
      <c r="B231" s="603"/>
      <c r="C231" s="604"/>
      <c r="D231" s="251" t="s">
        <v>557</v>
      </c>
      <c r="E231" s="583"/>
      <c r="F231" s="606"/>
      <c r="G231" s="583"/>
      <c r="H231" s="615"/>
      <c r="I231" s="603"/>
      <c r="K231" s="685"/>
    </row>
    <row r="232" spans="1:11" s="345" customFormat="1" ht="12.75" hidden="1" customHeight="1" x14ac:dyDescent="0.2">
      <c r="A232" s="295"/>
      <c r="B232" s="603"/>
      <c r="C232" s="604"/>
      <c r="D232" s="251" t="s">
        <v>558</v>
      </c>
      <c r="E232" s="583"/>
      <c r="F232" s="606"/>
      <c r="G232" s="583"/>
      <c r="H232" s="615"/>
      <c r="I232" s="603"/>
      <c r="K232" s="685"/>
    </row>
    <row r="233" spans="1:11" s="345" customFormat="1" ht="12.75" hidden="1" customHeight="1" x14ac:dyDescent="0.2">
      <c r="A233" s="295"/>
      <c r="B233" s="603"/>
      <c r="C233" s="604"/>
      <c r="D233" s="612" t="s">
        <v>575</v>
      </c>
      <c r="E233" s="583"/>
      <c r="F233" s="606"/>
      <c r="G233" s="583"/>
      <c r="H233" s="589"/>
      <c r="I233" s="600"/>
      <c r="K233" s="685"/>
    </row>
    <row r="234" spans="1:11" s="345" customFormat="1" ht="12.75" customHeight="1" x14ac:dyDescent="0.2">
      <c r="A234" s="572">
        <f>A226+1</f>
        <v>25</v>
      </c>
      <c r="B234" s="586" t="s">
        <v>315</v>
      </c>
      <c r="C234" s="587" t="s">
        <v>316</v>
      </c>
      <c r="D234" s="616" t="str">
        <f>$D$14</f>
        <v>FTE  Jul 2026</v>
      </c>
      <c r="E234" s="576">
        <f>'3421'!$J$124</f>
        <v>454328.31</v>
      </c>
      <c r="F234" s="588"/>
      <c r="G234" s="576">
        <f>SUBTOTAL(109,E234:F244)</f>
        <v>454328.31</v>
      </c>
      <c r="H234" s="615"/>
      <c r="I234" s="598"/>
      <c r="K234" s="685"/>
    </row>
    <row r="235" spans="1:11" s="345" customFormat="1" ht="12.75" hidden="1" customHeight="1" x14ac:dyDescent="0.2">
      <c r="A235" s="572"/>
      <c r="B235" s="586"/>
      <c r="C235" s="587"/>
      <c r="D235" s="590" t="s">
        <v>553</v>
      </c>
      <c r="E235" s="576"/>
      <c r="F235" s="588"/>
      <c r="G235" s="576"/>
      <c r="H235" s="589"/>
      <c r="I235" s="600"/>
      <c r="K235" s="685"/>
    </row>
    <row r="236" spans="1:11" s="345" customFormat="1" ht="12.75" hidden="1" customHeight="1" x14ac:dyDescent="0.2">
      <c r="A236" s="572"/>
      <c r="B236" s="586"/>
      <c r="C236" s="587"/>
      <c r="D236" s="591" t="s">
        <v>588</v>
      </c>
      <c r="E236" s="576"/>
      <c r="F236" s="588"/>
      <c r="G236" s="576"/>
      <c r="H236" s="615"/>
      <c r="I236" s="603"/>
      <c r="K236" s="685"/>
    </row>
    <row r="237" spans="1:11" s="345" customFormat="1" ht="12.75" hidden="1" customHeight="1" x14ac:dyDescent="0.2">
      <c r="A237" s="572"/>
      <c r="B237" s="586"/>
      <c r="C237" s="587"/>
      <c r="D237" s="590" t="s">
        <v>577</v>
      </c>
      <c r="E237" s="576"/>
      <c r="F237" s="588"/>
      <c r="G237" s="576"/>
      <c r="H237" s="615"/>
      <c r="I237" s="603"/>
      <c r="K237" s="685"/>
    </row>
    <row r="238" spans="1:11" s="345" customFormat="1" ht="12.75" hidden="1" customHeight="1" x14ac:dyDescent="0.2">
      <c r="A238" s="572"/>
      <c r="B238" s="586"/>
      <c r="C238" s="587"/>
      <c r="D238" s="590" t="s">
        <v>587</v>
      </c>
      <c r="E238" s="576"/>
      <c r="F238" s="588"/>
      <c r="G238" s="576"/>
      <c r="H238" s="589"/>
      <c r="I238" s="611"/>
      <c r="K238" s="685"/>
    </row>
    <row r="239" spans="1:11" s="345" customFormat="1" ht="12.75" hidden="1" customHeight="1" x14ac:dyDescent="0.2">
      <c r="A239" s="572"/>
      <c r="B239" s="586"/>
      <c r="C239" s="587"/>
      <c r="D239" s="590" t="s">
        <v>555</v>
      </c>
      <c r="E239" s="576"/>
      <c r="F239" s="588"/>
      <c r="G239" s="576"/>
      <c r="H239" s="615"/>
      <c r="K239" s="685"/>
    </row>
    <row r="240" spans="1:11" s="345" customFormat="1" ht="12.75" hidden="1" customHeight="1" x14ac:dyDescent="0.2">
      <c r="A240" s="572"/>
      <c r="B240" s="586"/>
      <c r="C240" s="587"/>
      <c r="D240" s="590" t="s">
        <v>556</v>
      </c>
      <c r="E240" s="576"/>
      <c r="F240" s="588"/>
      <c r="G240" s="576"/>
      <c r="H240" s="615"/>
      <c r="K240" s="685"/>
    </row>
    <row r="241" spans="1:11" s="345" customFormat="1" ht="12.75" hidden="1" customHeight="1" x14ac:dyDescent="0.2">
      <c r="A241" s="572"/>
      <c r="B241" s="586"/>
      <c r="C241" s="587"/>
      <c r="D241" s="590" t="s">
        <v>557</v>
      </c>
      <c r="E241" s="576"/>
      <c r="F241" s="588"/>
      <c r="G241" s="576"/>
      <c r="H241" s="615"/>
      <c r="K241" s="685"/>
    </row>
    <row r="242" spans="1:11" s="345" customFormat="1" ht="12.75" hidden="1" customHeight="1" x14ac:dyDescent="0.2">
      <c r="A242" s="572"/>
      <c r="B242" s="586"/>
      <c r="C242" s="587"/>
      <c r="D242" s="590" t="s">
        <v>558</v>
      </c>
      <c r="E242" s="576"/>
      <c r="F242" s="588"/>
      <c r="G242" s="576"/>
      <c r="H242" s="589"/>
      <c r="I242" s="600"/>
      <c r="K242" s="685"/>
    </row>
    <row r="243" spans="1:11" s="345" customFormat="1" ht="12.75" hidden="1" customHeight="1" x14ac:dyDescent="0.2">
      <c r="A243" s="572"/>
      <c r="B243" s="586"/>
      <c r="C243" s="593"/>
      <c r="D243" s="597" t="s">
        <v>566</v>
      </c>
      <c r="E243" s="576"/>
      <c r="F243" s="588"/>
      <c r="G243" s="576"/>
      <c r="H243" s="589"/>
      <c r="I243" s="600"/>
      <c r="K243" s="685"/>
    </row>
    <row r="244" spans="1:11" s="345" customFormat="1" ht="12.75" hidden="1" customHeight="1" x14ac:dyDescent="0.2">
      <c r="A244" s="572"/>
      <c r="B244" s="586"/>
      <c r="C244" s="587"/>
      <c r="D244" s="619" t="s">
        <v>575</v>
      </c>
      <c r="E244" s="576"/>
      <c r="F244" s="588"/>
      <c r="G244" s="576"/>
      <c r="H244" s="615"/>
      <c r="K244" s="685"/>
    </row>
    <row r="245" spans="1:11" s="345" customFormat="1" ht="12.75" customHeight="1" x14ac:dyDescent="0.2">
      <c r="A245" s="295">
        <f>A234+1</f>
        <v>26</v>
      </c>
      <c r="B245" s="603" t="s">
        <v>317</v>
      </c>
      <c r="C245" s="604" t="s">
        <v>318</v>
      </c>
      <c r="D245" s="605" t="str">
        <f>$D$14</f>
        <v>FTE  Jul 2026</v>
      </c>
      <c r="E245" s="583">
        <f>'3431'!$J$124</f>
        <v>742534.27</v>
      </c>
      <c r="F245" s="606"/>
      <c r="G245" s="583">
        <f>SUBTOTAL(109,E245:F254)</f>
        <v>742534.27</v>
      </c>
      <c r="H245" s="615"/>
      <c r="K245" s="685"/>
    </row>
    <row r="246" spans="1:11" s="345" customFormat="1" ht="12.75" hidden="1" customHeight="1" x14ac:dyDescent="0.2">
      <c r="A246" s="295"/>
      <c r="B246" s="603"/>
      <c r="C246" s="604"/>
      <c r="D246" s="251" t="s">
        <v>576</v>
      </c>
      <c r="E246" s="583"/>
      <c r="F246" s="606"/>
      <c r="G246" s="583"/>
      <c r="H246" s="615"/>
      <c r="I246" s="603"/>
      <c r="K246" s="685"/>
    </row>
    <row r="247" spans="1:11" s="345" customFormat="1" ht="12.75" hidden="1" customHeight="1" x14ac:dyDescent="0.2">
      <c r="A247" s="295"/>
      <c r="B247" s="603"/>
      <c r="C247" s="604"/>
      <c r="D247" s="608" t="s">
        <v>554</v>
      </c>
      <c r="E247" s="583"/>
      <c r="F247" s="606"/>
      <c r="G247" s="583"/>
      <c r="H247" s="615"/>
      <c r="I247" s="603"/>
      <c r="K247" s="685"/>
    </row>
    <row r="248" spans="1:11" s="345" customFormat="1" ht="12.75" hidden="1" customHeight="1" x14ac:dyDescent="0.2">
      <c r="A248" s="295"/>
      <c r="B248" s="603"/>
      <c r="C248" s="604"/>
      <c r="D248" s="251" t="s">
        <v>555</v>
      </c>
      <c r="E248" s="583"/>
      <c r="F248" s="606"/>
      <c r="G248" s="583"/>
      <c r="H248" s="615"/>
      <c r="I248" s="603"/>
      <c r="K248" s="685"/>
    </row>
    <row r="249" spans="1:11" s="345" customFormat="1" ht="12.75" hidden="1" customHeight="1" x14ac:dyDescent="0.2">
      <c r="A249" s="295"/>
      <c r="B249" s="603"/>
      <c r="C249" s="604"/>
      <c r="D249" s="251" t="s">
        <v>579</v>
      </c>
      <c r="E249" s="583"/>
      <c r="F249" s="606"/>
      <c r="G249" s="583"/>
      <c r="H249" s="615"/>
      <c r="K249" s="685"/>
    </row>
    <row r="250" spans="1:11" s="345" customFormat="1" ht="12.75" hidden="1" customHeight="1" x14ac:dyDescent="0.2">
      <c r="A250" s="295"/>
      <c r="B250" s="603"/>
      <c r="C250" s="604"/>
      <c r="D250" s="251" t="s">
        <v>557</v>
      </c>
      <c r="E250" s="583"/>
      <c r="F250" s="606"/>
      <c r="G250" s="583"/>
      <c r="H250" s="615"/>
      <c r="I250" s="603"/>
      <c r="K250" s="685"/>
    </row>
    <row r="251" spans="1:11" s="345" customFormat="1" ht="12.75" hidden="1" customHeight="1" x14ac:dyDescent="0.2">
      <c r="A251" s="295"/>
      <c r="B251" s="603"/>
      <c r="C251" s="604"/>
      <c r="D251" s="251" t="s">
        <v>558</v>
      </c>
      <c r="E251" s="583"/>
      <c r="F251" s="606"/>
      <c r="G251" s="583"/>
      <c r="H251" s="615"/>
      <c r="K251" s="685"/>
    </row>
    <row r="252" spans="1:11" s="345" customFormat="1" ht="12.75" hidden="1" customHeight="1" x14ac:dyDescent="0.2">
      <c r="A252" s="295"/>
      <c r="B252" s="603"/>
      <c r="C252" s="604"/>
      <c r="D252" s="251" t="s">
        <v>580</v>
      </c>
      <c r="E252" s="583"/>
      <c r="F252" s="606"/>
      <c r="G252" s="583"/>
      <c r="H252" s="589"/>
      <c r="I252" s="600"/>
      <c r="K252" s="685"/>
    </row>
    <row r="253" spans="1:11" s="345" customFormat="1" ht="12.75" hidden="1" customHeight="1" x14ac:dyDescent="0.2">
      <c r="A253" s="295"/>
      <c r="B253" s="603"/>
      <c r="C253" s="611"/>
      <c r="D253" s="614" t="s">
        <v>566</v>
      </c>
      <c r="E253" s="583"/>
      <c r="F253" s="606"/>
      <c r="G253" s="583"/>
      <c r="H253" s="615"/>
      <c r="I253" s="598"/>
      <c r="K253" s="685"/>
    </row>
    <row r="254" spans="1:11" s="345" customFormat="1" ht="12.75" hidden="1" customHeight="1" x14ac:dyDescent="0.2">
      <c r="A254" s="295"/>
      <c r="B254" s="603"/>
      <c r="C254" s="604"/>
      <c r="D254" s="612" t="s">
        <v>589</v>
      </c>
      <c r="E254" s="583"/>
      <c r="F254" s="606"/>
      <c r="G254" s="583"/>
      <c r="H254" s="589"/>
      <c r="I254" s="600"/>
      <c r="K254" s="685"/>
    </row>
    <row r="255" spans="1:11" s="345" customFormat="1" ht="12.75" customHeight="1" x14ac:dyDescent="0.2">
      <c r="A255" s="572">
        <f>A245+1</f>
        <v>27</v>
      </c>
      <c r="B255" s="586">
        <v>3441</v>
      </c>
      <c r="C255" s="617" t="s">
        <v>319</v>
      </c>
      <c r="D255" s="616" t="str">
        <f>$D$14</f>
        <v>FTE  Jul 2026</v>
      </c>
      <c r="E255" s="576">
        <f>'3441'!$J$124</f>
        <v>395194</v>
      </c>
      <c r="F255" s="588"/>
      <c r="G255" s="576">
        <f>SUBTOTAL(109,E255:F263)</f>
        <v>395194</v>
      </c>
      <c r="H255" s="615"/>
      <c r="K255" s="685"/>
    </row>
    <row r="256" spans="1:11" s="345" customFormat="1" ht="12.75" hidden="1" customHeight="1" x14ac:dyDescent="0.2">
      <c r="A256" s="572"/>
      <c r="B256" s="586"/>
      <c r="C256" s="617"/>
      <c r="D256" s="590" t="s">
        <v>553</v>
      </c>
      <c r="E256" s="576"/>
      <c r="F256" s="588"/>
      <c r="G256" s="576"/>
      <c r="H256" s="615"/>
      <c r="K256" s="685"/>
    </row>
    <row r="257" spans="1:11" s="345" customFormat="1" ht="12.75" hidden="1" customHeight="1" x14ac:dyDescent="0.2">
      <c r="A257" s="572"/>
      <c r="B257" s="586"/>
      <c r="C257" s="587"/>
      <c r="D257" s="591" t="s">
        <v>554</v>
      </c>
      <c r="E257" s="576"/>
      <c r="F257" s="588"/>
      <c r="G257" s="576"/>
      <c r="H257" s="615"/>
      <c r="I257" s="603"/>
      <c r="K257" s="685"/>
    </row>
    <row r="258" spans="1:11" s="345" customFormat="1" ht="12.75" hidden="1" customHeight="1" x14ac:dyDescent="0.2">
      <c r="A258" s="572"/>
      <c r="B258" s="586"/>
      <c r="C258" s="617"/>
      <c r="D258" s="590" t="s">
        <v>555</v>
      </c>
      <c r="E258" s="576"/>
      <c r="F258" s="588"/>
      <c r="G258" s="576"/>
      <c r="H258" s="615"/>
      <c r="K258" s="685"/>
    </row>
    <row r="259" spans="1:11" s="345" customFormat="1" ht="12.75" hidden="1" customHeight="1" x14ac:dyDescent="0.2">
      <c r="A259" s="572"/>
      <c r="B259" s="586"/>
      <c r="C259" s="587"/>
      <c r="D259" s="590" t="s">
        <v>556</v>
      </c>
      <c r="E259" s="576"/>
      <c r="F259" s="588"/>
      <c r="G259" s="576"/>
      <c r="H259" s="615"/>
      <c r="I259" s="603"/>
      <c r="K259" s="685"/>
    </row>
    <row r="260" spans="1:11" s="345" customFormat="1" ht="12.75" hidden="1" customHeight="1" x14ac:dyDescent="0.2">
      <c r="A260" s="572"/>
      <c r="B260" s="586"/>
      <c r="C260" s="587"/>
      <c r="D260" s="590" t="s">
        <v>557</v>
      </c>
      <c r="E260" s="576"/>
      <c r="F260" s="588"/>
      <c r="G260" s="576"/>
      <c r="H260" s="615"/>
      <c r="I260" s="603"/>
      <c r="K260" s="685"/>
    </row>
    <row r="261" spans="1:11" s="345" customFormat="1" ht="12.75" hidden="1" customHeight="1" x14ac:dyDescent="0.2">
      <c r="A261" s="572"/>
      <c r="B261" s="586"/>
      <c r="C261" s="587"/>
      <c r="D261" s="590" t="s">
        <v>558</v>
      </c>
      <c r="E261" s="576"/>
      <c r="F261" s="588"/>
      <c r="G261" s="576"/>
      <c r="H261" s="615"/>
      <c r="I261" s="600"/>
      <c r="K261" s="685"/>
    </row>
    <row r="262" spans="1:11" s="345" customFormat="1" ht="12.75" hidden="1" customHeight="1" x14ac:dyDescent="0.2">
      <c r="A262" s="572"/>
      <c r="B262" s="586"/>
      <c r="C262" s="587"/>
      <c r="D262" s="590" t="s">
        <v>580</v>
      </c>
      <c r="E262" s="576"/>
      <c r="F262" s="588"/>
      <c r="G262" s="576"/>
      <c r="H262" s="615"/>
      <c r="I262" s="621"/>
      <c r="K262" s="685"/>
    </row>
    <row r="263" spans="1:11" s="345" customFormat="1" ht="12.75" hidden="1" customHeight="1" x14ac:dyDescent="0.2">
      <c r="A263" s="572"/>
      <c r="B263" s="586"/>
      <c r="C263" s="587"/>
      <c r="D263" s="619" t="s">
        <v>575</v>
      </c>
      <c r="E263" s="576"/>
      <c r="F263" s="588"/>
      <c r="G263" s="576"/>
      <c r="H263" s="615"/>
      <c r="I263" s="598"/>
      <c r="K263" s="685"/>
    </row>
    <row r="264" spans="1:11" s="345" customFormat="1" ht="12.75" customHeight="1" x14ac:dyDescent="0.2">
      <c r="A264" s="295">
        <f>A255+1</f>
        <v>28</v>
      </c>
      <c r="B264" s="603">
        <v>3924</v>
      </c>
      <c r="C264" s="618" t="s">
        <v>320</v>
      </c>
      <c r="D264" s="605" t="str">
        <f>$D$14</f>
        <v>FTE  Jul 2026</v>
      </c>
      <c r="E264" s="583">
        <f>'3924'!$J$124</f>
        <v>306843.31</v>
      </c>
      <c r="F264" s="606"/>
      <c r="G264" s="583">
        <f>SUBTOTAL(109,E264:F273)</f>
        <v>306843.31</v>
      </c>
      <c r="H264" s="615"/>
      <c r="K264" s="685"/>
    </row>
    <row r="265" spans="1:11" s="345" customFormat="1" ht="12.75" hidden="1" customHeight="1" x14ac:dyDescent="0.2">
      <c r="A265" s="295"/>
      <c r="B265" s="603"/>
      <c r="C265" s="604"/>
      <c r="D265" s="251" t="s">
        <v>576</v>
      </c>
      <c r="E265" s="583"/>
      <c r="F265" s="606"/>
      <c r="G265" s="583"/>
      <c r="H265" s="615"/>
      <c r="K265" s="685"/>
    </row>
    <row r="266" spans="1:11" s="345" customFormat="1" ht="12.75" hidden="1" customHeight="1" x14ac:dyDescent="0.2">
      <c r="A266" s="295"/>
      <c r="B266" s="603"/>
      <c r="C266" s="604"/>
      <c r="D266" s="608" t="s">
        <v>554</v>
      </c>
      <c r="E266" s="583"/>
      <c r="F266" s="606"/>
      <c r="G266" s="583"/>
      <c r="H266" s="615"/>
      <c r="K266" s="685"/>
    </row>
    <row r="267" spans="1:11" s="345" customFormat="1" ht="12.75" hidden="1" customHeight="1" x14ac:dyDescent="0.2">
      <c r="A267" s="295"/>
      <c r="B267" s="603"/>
      <c r="C267" s="604"/>
      <c r="D267" s="608" t="s">
        <v>573</v>
      </c>
      <c r="E267" s="583"/>
      <c r="F267" s="606"/>
      <c r="G267" s="583"/>
      <c r="H267" s="589"/>
      <c r="I267" s="611"/>
      <c r="K267" s="685"/>
    </row>
    <row r="268" spans="1:11" s="345" customFormat="1" ht="12.75" hidden="1" customHeight="1" x14ac:dyDescent="0.2">
      <c r="A268" s="295"/>
      <c r="B268" s="603"/>
      <c r="C268" s="604"/>
      <c r="D268" s="251" t="s">
        <v>555</v>
      </c>
      <c r="E268" s="583"/>
      <c r="F268" s="606"/>
      <c r="G268" s="583"/>
      <c r="H268" s="615"/>
      <c r="K268" s="685"/>
    </row>
    <row r="269" spans="1:11" s="345" customFormat="1" ht="12.75" hidden="1" customHeight="1" x14ac:dyDescent="0.2">
      <c r="A269" s="295"/>
      <c r="B269" s="603"/>
      <c r="C269" s="604"/>
      <c r="D269" s="251" t="s">
        <v>556</v>
      </c>
      <c r="E269" s="583"/>
      <c r="F269" s="606"/>
      <c r="G269" s="583"/>
      <c r="H269" s="615"/>
      <c r="K269" s="685"/>
    </row>
    <row r="270" spans="1:11" s="345" customFormat="1" ht="12.75" hidden="1" customHeight="1" x14ac:dyDescent="0.2">
      <c r="A270" s="295"/>
      <c r="B270" s="603"/>
      <c r="C270" s="604"/>
      <c r="D270" s="251" t="s">
        <v>557</v>
      </c>
      <c r="E270" s="583"/>
      <c r="F270" s="606"/>
      <c r="G270" s="583"/>
      <c r="H270" s="615"/>
      <c r="I270" s="603"/>
      <c r="K270" s="685"/>
    </row>
    <row r="271" spans="1:11" s="345" customFormat="1" ht="12.75" hidden="1" customHeight="1" x14ac:dyDescent="0.2">
      <c r="A271" s="295"/>
      <c r="B271" s="603"/>
      <c r="C271" s="604"/>
      <c r="D271" s="251" t="s">
        <v>558</v>
      </c>
      <c r="E271" s="583"/>
      <c r="F271" s="606"/>
      <c r="G271" s="583"/>
      <c r="H271" s="589"/>
      <c r="I271" s="600"/>
      <c r="K271" s="685"/>
    </row>
    <row r="272" spans="1:11" s="345" customFormat="1" ht="12.75" hidden="1" customHeight="1" x14ac:dyDescent="0.2">
      <c r="A272" s="295"/>
      <c r="B272" s="603"/>
      <c r="C272" s="611"/>
      <c r="D272" s="614" t="s">
        <v>566</v>
      </c>
      <c r="E272" s="583"/>
      <c r="F272" s="606"/>
      <c r="G272" s="583"/>
      <c r="H272" s="615"/>
      <c r="K272" s="685"/>
    </row>
    <row r="273" spans="1:11" s="345" customFormat="1" ht="12.75" hidden="1" customHeight="1" x14ac:dyDescent="0.2">
      <c r="A273" s="295"/>
      <c r="B273" s="603"/>
      <c r="C273" s="604"/>
      <c r="D273" s="612" t="s">
        <v>590</v>
      </c>
      <c r="E273" s="583"/>
      <c r="F273" s="606"/>
      <c r="G273" s="583"/>
      <c r="H273" s="615"/>
      <c r="K273" s="685"/>
    </row>
    <row r="274" spans="1:11" s="345" customFormat="1" ht="12.75" customHeight="1" x14ac:dyDescent="0.2">
      <c r="A274" s="572">
        <f>A264+1</f>
        <v>29</v>
      </c>
      <c r="B274" s="586" t="s">
        <v>321</v>
      </c>
      <c r="C274" s="587" t="s">
        <v>322</v>
      </c>
      <c r="D274" s="616" t="str">
        <f>$D$14</f>
        <v>FTE  Jul 2026</v>
      </c>
      <c r="E274" s="576">
        <f>'3941'!$J$124</f>
        <v>165942.38</v>
      </c>
      <c r="F274" s="588"/>
      <c r="G274" s="576">
        <f>SUBTOTAL(109,E274:F283)</f>
        <v>165942.38</v>
      </c>
      <c r="H274" s="615"/>
      <c r="K274" s="685"/>
    </row>
    <row r="275" spans="1:11" s="345" customFormat="1" ht="12.75" hidden="1" customHeight="1" x14ac:dyDescent="0.2">
      <c r="A275" s="572"/>
      <c r="B275" s="586"/>
      <c r="C275" s="587"/>
      <c r="D275" s="590" t="s">
        <v>553</v>
      </c>
      <c r="E275" s="576"/>
      <c r="F275" s="588"/>
      <c r="G275" s="576"/>
      <c r="H275" s="615"/>
      <c r="K275" s="685"/>
    </row>
    <row r="276" spans="1:11" s="345" customFormat="1" ht="12.75" hidden="1" customHeight="1" x14ac:dyDescent="0.2">
      <c r="A276" s="572"/>
      <c r="B276" s="586"/>
      <c r="C276" s="587"/>
      <c r="D276" s="591" t="s">
        <v>554</v>
      </c>
      <c r="E276" s="576"/>
      <c r="F276" s="588"/>
      <c r="G276" s="576"/>
      <c r="H276" s="615"/>
      <c r="I276" s="603"/>
      <c r="K276" s="685"/>
    </row>
    <row r="277" spans="1:11" s="345" customFormat="1" ht="12.75" hidden="1" customHeight="1" x14ac:dyDescent="0.2">
      <c r="A277" s="572"/>
      <c r="B277" s="586"/>
      <c r="C277" s="587"/>
      <c r="D277" s="590" t="s">
        <v>555</v>
      </c>
      <c r="E277" s="576"/>
      <c r="F277" s="588"/>
      <c r="G277" s="576"/>
      <c r="H277" s="615"/>
      <c r="I277" s="603"/>
      <c r="K277" s="685"/>
    </row>
    <row r="278" spans="1:11" s="345" customFormat="1" ht="12.75" hidden="1" customHeight="1" x14ac:dyDescent="0.2">
      <c r="A278" s="572"/>
      <c r="B278" s="586"/>
      <c r="C278" s="587"/>
      <c r="D278" s="590" t="s">
        <v>556</v>
      </c>
      <c r="E278" s="576"/>
      <c r="F278" s="588"/>
      <c r="G278" s="576"/>
      <c r="H278" s="615"/>
      <c r="K278" s="685"/>
    </row>
    <row r="279" spans="1:11" s="345" customFormat="1" ht="12.75" hidden="1" customHeight="1" x14ac:dyDescent="0.2">
      <c r="A279" s="572"/>
      <c r="B279" s="586"/>
      <c r="C279" s="587"/>
      <c r="D279" s="590" t="s">
        <v>557</v>
      </c>
      <c r="E279" s="576"/>
      <c r="F279" s="588"/>
      <c r="G279" s="576"/>
      <c r="H279" s="615"/>
      <c r="K279" s="685"/>
    </row>
    <row r="280" spans="1:11" s="345" customFormat="1" ht="12.75" hidden="1" customHeight="1" x14ac:dyDescent="0.2">
      <c r="A280" s="572"/>
      <c r="B280" s="586"/>
      <c r="C280" s="587"/>
      <c r="D280" s="590" t="s">
        <v>558</v>
      </c>
      <c r="E280" s="576"/>
      <c r="F280" s="588"/>
      <c r="G280" s="576"/>
      <c r="H280" s="615"/>
      <c r="K280" s="685"/>
    </row>
    <row r="281" spans="1:11" s="345" customFormat="1" ht="12.75" hidden="1" customHeight="1" x14ac:dyDescent="0.2">
      <c r="A281" s="572"/>
      <c r="B281" s="586"/>
      <c r="C281" s="587"/>
      <c r="D281" s="590" t="s">
        <v>591</v>
      </c>
      <c r="E281" s="576"/>
      <c r="F281" s="588"/>
      <c r="G281" s="576"/>
      <c r="H281" s="615"/>
      <c r="I281" s="600"/>
      <c r="K281" s="685"/>
    </row>
    <row r="282" spans="1:11" s="345" customFormat="1" ht="12.75" hidden="1" customHeight="1" x14ac:dyDescent="0.2">
      <c r="A282" s="572"/>
      <c r="B282" s="586"/>
      <c r="C282" s="587"/>
      <c r="D282" s="590" t="s">
        <v>566</v>
      </c>
      <c r="E282" s="576"/>
      <c r="F282" s="588"/>
      <c r="G282" s="576"/>
      <c r="H282" s="615"/>
      <c r="I282" s="598"/>
      <c r="K282" s="685"/>
    </row>
    <row r="283" spans="1:11" s="345" customFormat="1" ht="12.75" hidden="1" customHeight="1" x14ac:dyDescent="0.2">
      <c r="A283" s="572"/>
      <c r="B283" s="586"/>
      <c r="C283" s="587"/>
      <c r="D283" s="590"/>
      <c r="E283" s="576"/>
      <c r="F283" s="588"/>
      <c r="G283" s="576"/>
      <c r="H283" s="615"/>
      <c r="I283" s="600"/>
      <c r="K283" s="685"/>
    </row>
    <row r="284" spans="1:11" s="345" customFormat="1" ht="12.75" customHeight="1" x14ac:dyDescent="0.2">
      <c r="A284" s="295">
        <f>A274+1</f>
        <v>30</v>
      </c>
      <c r="B284" s="603" t="s">
        <v>323</v>
      </c>
      <c r="C284" s="604" t="s">
        <v>324</v>
      </c>
      <c r="D284" s="605" t="str">
        <f>$D$14</f>
        <v>FTE  Jul 2026</v>
      </c>
      <c r="E284" s="583">
        <f>'3961'!$J$124</f>
        <v>0</v>
      </c>
      <c r="F284" s="606"/>
      <c r="G284" s="583">
        <f>SUBTOTAL(109,E284:F291)</f>
        <v>0</v>
      </c>
      <c r="H284" s="615"/>
      <c r="K284" s="685"/>
    </row>
    <row r="285" spans="1:11" s="345" customFormat="1" ht="12.75" hidden="1" customHeight="1" x14ac:dyDescent="0.2">
      <c r="A285" s="295"/>
      <c r="B285" s="603"/>
      <c r="C285" s="604"/>
      <c r="D285" s="251" t="s">
        <v>576</v>
      </c>
      <c r="E285" s="583"/>
      <c r="F285" s="606"/>
      <c r="G285" s="583"/>
      <c r="H285" s="615"/>
      <c r="K285" s="685"/>
    </row>
    <row r="286" spans="1:11" s="345" customFormat="1" ht="12.75" hidden="1" customHeight="1" x14ac:dyDescent="0.2">
      <c r="A286" s="295"/>
      <c r="B286" s="603"/>
      <c r="C286" s="604"/>
      <c r="D286" s="608" t="s">
        <v>554</v>
      </c>
      <c r="E286" s="583"/>
      <c r="F286" s="606"/>
      <c r="G286" s="583"/>
      <c r="H286" s="615"/>
      <c r="I286" s="603"/>
      <c r="K286" s="685"/>
    </row>
    <row r="287" spans="1:11" s="345" customFormat="1" ht="12.75" hidden="1" customHeight="1" x14ac:dyDescent="0.2">
      <c r="A287" s="295"/>
      <c r="B287" s="603"/>
      <c r="C287" s="604"/>
      <c r="D287" s="251" t="s">
        <v>555</v>
      </c>
      <c r="E287" s="583"/>
      <c r="F287" s="606"/>
      <c r="G287" s="583"/>
      <c r="H287" s="615"/>
      <c r="K287" s="685"/>
    </row>
    <row r="288" spans="1:11" s="345" customFormat="1" ht="12.75" hidden="1" customHeight="1" x14ac:dyDescent="0.2">
      <c r="A288" s="295"/>
      <c r="B288" s="603"/>
      <c r="C288" s="604"/>
      <c r="D288" s="251" t="s">
        <v>556</v>
      </c>
      <c r="E288" s="583"/>
      <c r="F288" s="606"/>
      <c r="G288" s="583"/>
      <c r="H288" s="615"/>
      <c r="K288" s="685"/>
    </row>
    <row r="289" spans="1:11" s="345" customFormat="1" ht="12.75" hidden="1" customHeight="1" x14ac:dyDescent="0.2">
      <c r="A289" s="295"/>
      <c r="B289" s="603"/>
      <c r="C289" s="604"/>
      <c r="D289" s="251" t="s">
        <v>557</v>
      </c>
      <c r="E289" s="583"/>
      <c r="F289" s="606"/>
      <c r="G289" s="583"/>
      <c r="H289" s="615"/>
      <c r="K289" s="685"/>
    </row>
    <row r="290" spans="1:11" s="345" customFormat="1" ht="12.75" hidden="1" customHeight="1" x14ac:dyDescent="0.2">
      <c r="A290" s="295"/>
      <c r="B290" s="603"/>
      <c r="C290" s="604"/>
      <c r="D290" s="251" t="s">
        <v>558</v>
      </c>
      <c r="E290" s="583"/>
      <c r="F290" s="606"/>
      <c r="G290" s="583"/>
      <c r="H290" s="589"/>
      <c r="I290" s="600"/>
      <c r="K290" s="685"/>
    </row>
    <row r="291" spans="1:11" s="345" customFormat="1" ht="12.75" hidden="1" customHeight="1" x14ac:dyDescent="0.2">
      <c r="A291" s="295"/>
      <c r="B291" s="603"/>
      <c r="C291" s="611"/>
      <c r="D291" s="612" t="s">
        <v>592</v>
      </c>
      <c r="E291" s="583"/>
      <c r="F291" s="606"/>
      <c r="G291" s="583"/>
      <c r="H291" s="589"/>
      <c r="I291" s="600"/>
      <c r="K291" s="685"/>
    </row>
    <row r="292" spans="1:11" s="345" customFormat="1" ht="12.75" customHeight="1" x14ac:dyDescent="0.2">
      <c r="A292" s="572">
        <f>A284+1</f>
        <v>31</v>
      </c>
      <c r="B292" s="586" t="s">
        <v>325</v>
      </c>
      <c r="C292" s="587" t="s">
        <v>326</v>
      </c>
      <c r="D292" s="616" t="str">
        <f>$D$14</f>
        <v>FTE  Jul 2026</v>
      </c>
      <c r="E292" s="576">
        <f>'3971'!$J$124</f>
        <v>488883.35</v>
      </c>
      <c r="F292" s="588"/>
      <c r="G292" s="576">
        <f>SUBTOTAL(109,E292:F299)</f>
        <v>488883.35</v>
      </c>
      <c r="H292" s="589"/>
      <c r="I292" s="600"/>
      <c r="K292" s="685"/>
    </row>
    <row r="293" spans="1:11" s="345" customFormat="1" ht="12.75" hidden="1" customHeight="1" x14ac:dyDescent="0.2">
      <c r="A293" s="572"/>
      <c r="B293" s="586"/>
      <c r="C293" s="587"/>
      <c r="D293" s="590" t="s">
        <v>553</v>
      </c>
      <c r="E293" s="576"/>
      <c r="F293" s="588"/>
      <c r="G293" s="576"/>
      <c r="H293" s="615"/>
      <c r="K293" s="685"/>
    </row>
    <row r="294" spans="1:11" s="345" customFormat="1" ht="12.75" hidden="1" customHeight="1" x14ac:dyDescent="0.2">
      <c r="A294" s="572"/>
      <c r="B294" s="586"/>
      <c r="C294" s="587"/>
      <c r="D294" s="591" t="s">
        <v>554</v>
      </c>
      <c r="E294" s="576"/>
      <c r="F294" s="588"/>
      <c r="G294" s="576"/>
      <c r="H294" s="615"/>
      <c r="K294" s="685"/>
    </row>
    <row r="295" spans="1:11" s="345" customFormat="1" ht="12.75" hidden="1" customHeight="1" x14ac:dyDescent="0.2">
      <c r="A295" s="572"/>
      <c r="B295" s="586"/>
      <c r="C295" s="587"/>
      <c r="D295" s="590" t="s">
        <v>555</v>
      </c>
      <c r="E295" s="576"/>
      <c r="F295" s="588"/>
      <c r="G295" s="576"/>
      <c r="H295" s="615"/>
      <c r="K295" s="685"/>
    </row>
    <row r="296" spans="1:11" s="345" customFormat="1" ht="12.75" hidden="1" customHeight="1" x14ac:dyDescent="0.2">
      <c r="A296" s="572"/>
      <c r="B296" s="586"/>
      <c r="C296" s="587"/>
      <c r="D296" s="590" t="s">
        <v>556</v>
      </c>
      <c r="E296" s="576"/>
      <c r="F296" s="588"/>
      <c r="G296" s="576"/>
      <c r="H296" s="615"/>
      <c r="I296" s="603"/>
      <c r="K296" s="685"/>
    </row>
    <row r="297" spans="1:11" s="345" customFormat="1" ht="12.75" hidden="1" customHeight="1" x14ac:dyDescent="0.2">
      <c r="A297" s="572"/>
      <c r="B297" s="586"/>
      <c r="C297" s="587"/>
      <c r="D297" s="590" t="s">
        <v>557</v>
      </c>
      <c r="E297" s="576"/>
      <c r="F297" s="588"/>
      <c r="G297" s="576"/>
      <c r="H297" s="615"/>
      <c r="K297" s="685"/>
    </row>
    <row r="298" spans="1:11" s="345" customFormat="1" ht="12.75" hidden="1" customHeight="1" x14ac:dyDescent="0.2">
      <c r="A298" s="572"/>
      <c r="B298" s="586"/>
      <c r="C298" s="587"/>
      <c r="D298" s="590" t="s">
        <v>558</v>
      </c>
      <c r="E298" s="576"/>
      <c r="F298" s="588"/>
      <c r="G298" s="576"/>
      <c r="H298" s="615"/>
      <c r="K298" s="685"/>
    </row>
    <row r="299" spans="1:11" s="345" customFormat="1" ht="12.75" hidden="1" customHeight="1" x14ac:dyDescent="0.2">
      <c r="A299" s="572"/>
      <c r="B299" s="586"/>
      <c r="C299" s="587"/>
      <c r="D299" s="619" t="s">
        <v>593</v>
      </c>
      <c r="E299" s="576"/>
      <c r="F299" s="588"/>
      <c r="G299" s="576"/>
      <c r="H299" s="615"/>
      <c r="I299" s="246"/>
      <c r="K299" s="685"/>
    </row>
    <row r="300" spans="1:11" s="345" customFormat="1" ht="12.75" customHeight="1" x14ac:dyDescent="0.2">
      <c r="A300" s="295">
        <f>A292+1</f>
        <v>32</v>
      </c>
      <c r="B300" s="603" t="s">
        <v>327</v>
      </c>
      <c r="C300" s="604" t="s">
        <v>328</v>
      </c>
      <c r="D300" s="605" t="str">
        <f>$D$14</f>
        <v>FTE  Jul 2026</v>
      </c>
      <c r="E300" s="624">
        <f>'4001'!$J$124</f>
        <v>468475.14</v>
      </c>
      <c r="F300" s="606"/>
      <c r="G300" s="583">
        <f>SUBTOTAL(109,E300:F308)</f>
        <v>468475.14</v>
      </c>
      <c r="H300" s="615"/>
      <c r="I300" s="600"/>
      <c r="K300" s="685"/>
    </row>
    <row r="301" spans="1:11" ht="12.75" hidden="1" customHeight="1" x14ac:dyDescent="0.2">
      <c r="A301" s="295"/>
      <c r="B301" s="603"/>
      <c r="C301" s="604"/>
      <c r="D301" s="251" t="s">
        <v>576</v>
      </c>
      <c r="E301" s="583"/>
      <c r="F301" s="625"/>
      <c r="G301" s="583"/>
      <c r="H301" s="620"/>
      <c r="I301" s="345"/>
      <c r="K301" s="685"/>
    </row>
    <row r="302" spans="1:11" s="345" customFormat="1" ht="12.75" hidden="1" customHeight="1" x14ac:dyDescent="0.2">
      <c r="A302" s="295"/>
      <c r="B302" s="603"/>
      <c r="C302" s="604"/>
      <c r="D302" s="608" t="s">
        <v>554</v>
      </c>
      <c r="E302" s="583"/>
      <c r="F302" s="606"/>
      <c r="G302" s="583"/>
      <c r="H302" s="615"/>
      <c r="K302" s="685"/>
    </row>
    <row r="303" spans="1:11" s="345" customFormat="1" ht="12.75" hidden="1" customHeight="1" x14ac:dyDescent="0.2">
      <c r="A303" s="295"/>
      <c r="B303" s="603"/>
      <c r="C303" s="604"/>
      <c r="D303" s="251" t="s">
        <v>555</v>
      </c>
      <c r="E303" s="583"/>
      <c r="F303" s="606"/>
      <c r="G303" s="583"/>
      <c r="H303" s="615"/>
      <c r="K303" s="685"/>
    </row>
    <row r="304" spans="1:11" s="345" customFormat="1" ht="12.75" hidden="1" customHeight="1" x14ac:dyDescent="0.2">
      <c r="A304" s="295"/>
      <c r="B304" s="603"/>
      <c r="C304" s="604"/>
      <c r="D304" s="251" t="s">
        <v>556</v>
      </c>
      <c r="E304" s="583"/>
      <c r="F304" s="606"/>
      <c r="G304" s="583"/>
      <c r="H304" s="615"/>
      <c r="I304" s="603"/>
      <c r="K304" s="685"/>
    </row>
    <row r="305" spans="1:11" s="345" customFormat="1" ht="12.75" hidden="1" customHeight="1" x14ac:dyDescent="0.2">
      <c r="A305" s="295"/>
      <c r="B305" s="603"/>
      <c r="C305" s="604"/>
      <c r="D305" s="251" t="s">
        <v>557</v>
      </c>
      <c r="E305" s="583"/>
      <c r="F305" s="606"/>
      <c r="G305" s="583"/>
      <c r="H305" s="615"/>
      <c r="K305" s="685"/>
    </row>
    <row r="306" spans="1:11" s="345" customFormat="1" ht="12.75" hidden="1" customHeight="1" x14ac:dyDescent="0.2">
      <c r="A306" s="295"/>
      <c r="B306" s="603"/>
      <c r="C306" s="604"/>
      <c r="D306" s="251" t="s">
        <v>558</v>
      </c>
      <c r="E306" s="583"/>
      <c r="F306" s="606"/>
      <c r="G306" s="583"/>
      <c r="H306" s="615"/>
      <c r="K306" s="685"/>
    </row>
    <row r="307" spans="1:11" s="345" customFormat="1" ht="12.75" hidden="1" customHeight="1" x14ac:dyDescent="0.2">
      <c r="A307" s="295"/>
      <c r="B307" s="603"/>
      <c r="C307" s="604"/>
      <c r="D307" s="251" t="s">
        <v>566</v>
      </c>
      <c r="E307" s="583"/>
      <c r="F307" s="606"/>
      <c r="G307" s="583"/>
      <c r="H307" s="615"/>
      <c r="K307" s="685"/>
    </row>
    <row r="308" spans="1:11" s="345" customFormat="1" ht="12.75" hidden="1" customHeight="1" x14ac:dyDescent="0.2">
      <c r="A308" s="295"/>
      <c r="B308" s="603"/>
      <c r="C308" s="604"/>
      <c r="D308" s="612" t="s">
        <v>575</v>
      </c>
      <c r="E308" s="583"/>
      <c r="F308" s="606"/>
      <c r="G308" s="583"/>
      <c r="H308" s="589"/>
      <c r="I308" s="600"/>
      <c r="K308" s="685"/>
    </row>
    <row r="309" spans="1:11" s="345" customFormat="1" ht="12.75" customHeight="1" x14ac:dyDescent="0.2">
      <c r="A309" s="572">
        <f>A300+1</f>
        <v>33</v>
      </c>
      <c r="B309" s="586">
        <v>4002</v>
      </c>
      <c r="C309" s="587" t="s">
        <v>329</v>
      </c>
      <c r="D309" s="616" t="str">
        <f>$D$14</f>
        <v>FTE  Jul 2026</v>
      </c>
      <c r="E309" s="576">
        <f>'4002'!$J$124</f>
        <v>643508.92000000004</v>
      </c>
      <c r="F309" s="588"/>
      <c r="G309" s="576">
        <f>SUBTOTAL(109,E309:F318)</f>
        <v>643508.92000000004</v>
      </c>
      <c r="H309" s="615"/>
      <c r="K309" s="685"/>
    </row>
    <row r="310" spans="1:11" s="345" customFormat="1" ht="12.75" hidden="1" customHeight="1" x14ac:dyDescent="0.2">
      <c r="A310" s="572"/>
      <c r="B310" s="586"/>
      <c r="C310" s="587"/>
      <c r="D310" s="590" t="s">
        <v>553</v>
      </c>
      <c r="E310" s="576"/>
      <c r="F310" s="588"/>
      <c r="G310" s="576"/>
      <c r="H310" s="615"/>
      <c r="K310" s="685"/>
    </row>
    <row r="311" spans="1:11" s="345" customFormat="1" ht="12.75" hidden="1" customHeight="1" x14ac:dyDescent="0.2">
      <c r="A311" s="572"/>
      <c r="B311" s="586"/>
      <c r="C311" s="587"/>
      <c r="D311" s="591" t="s">
        <v>554</v>
      </c>
      <c r="E311" s="576"/>
      <c r="F311" s="588"/>
      <c r="G311" s="576"/>
      <c r="H311" s="615"/>
      <c r="K311" s="685"/>
    </row>
    <row r="312" spans="1:11" s="345" customFormat="1" ht="12.75" hidden="1" customHeight="1" x14ac:dyDescent="0.2">
      <c r="A312" s="572"/>
      <c r="B312" s="586"/>
      <c r="C312" s="587"/>
      <c r="D312" s="590" t="s">
        <v>555</v>
      </c>
      <c r="E312" s="576"/>
      <c r="F312" s="588"/>
      <c r="G312" s="576"/>
      <c r="H312" s="615"/>
      <c r="I312" s="603"/>
      <c r="K312" s="685"/>
    </row>
    <row r="313" spans="1:11" s="345" customFormat="1" ht="12.75" hidden="1" customHeight="1" x14ac:dyDescent="0.2">
      <c r="A313" s="572"/>
      <c r="B313" s="586"/>
      <c r="C313" s="587"/>
      <c r="D313" s="590" t="s">
        <v>556</v>
      </c>
      <c r="E313" s="576"/>
      <c r="F313" s="588"/>
      <c r="G313" s="576"/>
      <c r="H313" s="615"/>
      <c r="K313" s="685"/>
    </row>
    <row r="314" spans="1:11" s="345" customFormat="1" ht="12.75" hidden="1" customHeight="1" x14ac:dyDescent="0.2">
      <c r="A314" s="572"/>
      <c r="B314" s="586"/>
      <c r="C314" s="587"/>
      <c r="D314" s="590" t="s">
        <v>557</v>
      </c>
      <c r="E314" s="576"/>
      <c r="F314" s="588"/>
      <c r="G314" s="576"/>
      <c r="H314" s="615"/>
      <c r="K314" s="685"/>
    </row>
    <row r="315" spans="1:11" s="345" customFormat="1" ht="12.75" hidden="1" customHeight="1" x14ac:dyDescent="0.2">
      <c r="A315" s="572"/>
      <c r="B315" s="586"/>
      <c r="C315" s="587"/>
      <c r="D315" s="590" t="s">
        <v>558</v>
      </c>
      <c r="E315" s="576"/>
      <c r="F315" s="588"/>
      <c r="G315" s="576"/>
      <c r="H315" s="615"/>
      <c r="K315" s="685"/>
    </row>
    <row r="316" spans="1:11" s="345" customFormat="1" ht="12.75" hidden="1" customHeight="1" x14ac:dyDescent="0.2">
      <c r="A316" s="572"/>
      <c r="B316" s="586"/>
      <c r="C316" s="587"/>
      <c r="D316" s="590" t="s">
        <v>584</v>
      </c>
      <c r="E316" s="576"/>
      <c r="F316" s="588"/>
      <c r="G316" s="576"/>
      <c r="H316" s="589"/>
      <c r="I316" s="600"/>
      <c r="K316" s="685"/>
    </row>
    <row r="317" spans="1:11" s="345" customFormat="1" ht="12.75" hidden="1" customHeight="1" x14ac:dyDescent="0.2">
      <c r="A317" s="572"/>
      <c r="B317" s="586"/>
      <c r="C317" s="587"/>
      <c r="D317" s="590" t="s">
        <v>566</v>
      </c>
      <c r="E317" s="576"/>
      <c r="F317" s="588"/>
      <c r="G317" s="576"/>
      <c r="H317" s="615"/>
      <c r="I317" s="600"/>
      <c r="K317" s="685"/>
    </row>
    <row r="318" spans="1:11" s="345" customFormat="1" ht="12.75" hidden="1" customHeight="1" x14ac:dyDescent="0.2">
      <c r="A318" s="572"/>
      <c r="B318" s="586"/>
      <c r="C318" s="587"/>
      <c r="D318" s="590" t="s">
        <v>594</v>
      </c>
      <c r="E318" s="576"/>
      <c r="F318" s="588"/>
      <c r="G318" s="576"/>
      <c r="H318" s="615"/>
      <c r="K318" s="685"/>
    </row>
    <row r="319" spans="1:11" s="345" customFormat="1" ht="12.75" customHeight="1" x14ac:dyDescent="0.2">
      <c r="A319" s="295">
        <f>A309+1</f>
        <v>34</v>
      </c>
      <c r="B319" s="603">
        <v>4012</v>
      </c>
      <c r="C319" s="604" t="s">
        <v>330</v>
      </c>
      <c r="D319" s="605" t="str">
        <f>$D$14</f>
        <v>FTE  Jul 2026</v>
      </c>
      <c r="E319" s="583">
        <f>'4012'!$J$124</f>
        <v>0</v>
      </c>
      <c r="F319" s="606"/>
      <c r="G319" s="583">
        <f>SUBTOTAL(109,E319:F326)</f>
        <v>0</v>
      </c>
      <c r="H319" s="615"/>
      <c r="I319" s="747" t="s">
        <v>676</v>
      </c>
      <c r="K319" s="685"/>
    </row>
    <row r="320" spans="1:11" s="345" customFormat="1" ht="12.75" hidden="1" customHeight="1" x14ac:dyDescent="0.2">
      <c r="A320" s="295"/>
      <c r="B320" s="603"/>
      <c r="C320" s="604"/>
      <c r="D320" s="251" t="s">
        <v>576</v>
      </c>
      <c r="E320" s="583"/>
      <c r="F320" s="606"/>
      <c r="G320" s="583"/>
      <c r="H320" s="615"/>
      <c r="K320" s="685"/>
    </row>
    <row r="321" spans="1:11" s="345" customFormat="1" ht="12.75" hidden="1" customHeight="1" x14ac:dyDescent="0.2">
      <c r="A321" s="295"/>
      <c r="B321" s="603"/>
      <c r="C321" s="604"/>
      <c r="D321" s="251" t="s">
        <v>554</v>
      </c>
      <c r="E321" s="583"/>
      <c r="F321" s="606"/>
      <c r="G321" s="583"/>
      <c r="H321" s="615"/>
      <c r="I321" s="603"/>
      <c r="K321" s="685"/>
    </row>
    <row r="322" spans="1:11" s="345" customFormat="1" ht="12.75" hidden="1" customHeight="1" x14ac:dyDescent="0.2">
      <c r="A322" s="295"/>
      <c r="B322" s="603"/>
      <c r="C322" s="604"/>
      <c r="D322" s="251" t="s">
        <v>579</v>
      </c>
      <c r="E322" s="583"/>
      <c r="F322" s="606"/>
      <c r="G322" s="583"/>
      <c r="H322" s="615"/>
      <c r="K322" s="685"/>
    </row>
    <row r="323" spans="1:11" s="345" customFormat="1" ht="12.75" hidden="1" customHeight="1" x14ac:dyDescent="0.2">
      <c r="A323" s="295"/>
      <c r="B323" s="603"/>
      <c r="C323" s="604"/>
      <c r="D323" s="251" t="s">
        <v>557</v>
      </c>
      <c r="E323" s="583"/>
      <c r="F323" s="606"/>
      <c r="G323" s="583"/>
      <c r="H323" s="615"/>
      <c r="K323" s="685"/>
    </row>
    <row r="324" spans="1:11" s="345" customFormat="1" ht="12.75" hidden="1" customHeight="1" x14ac:dyDescent="0.2">
      <c r="A324" s="295"/>
      <c r="B324" s="603"/>
      <c r="C324" s="604"/>
      <c r="D324" s="251" t="s">
        <v>558</v>
      </c>
      <c r="E324" s="583"/>
      <c r="F324" s="606"/>
      <c r="G324" s="583"/>
      <c r="H324" s="615"/>
      <c r="K324" s="685"/>
    </row>
    <row r="325" spans="1:11" s="345" customFormat="1" ht="12.75" hidden="1" customHeight="1" x14ac:dyDescent="0.2">
      <c r="A325" s="295"/>
      <c r="B325" s="603"/>
      <c r="C325" s="604"/>
      <c r="D325" s="251" t="s">
        <v>580</v>
      </c>
      <c r="E325" s="583"/>
      <c r="F325" s="606"/>
      <c r="G325" s="583"/>
      <c r="H325" s="615"/>
      <c r="K325" s="685"/>
    </row>
    <row r="326" spans="1:11" s="345" customFormat="1" ht="12.75" hidden="1" customHeight="1" x14ac:dyDescent="0.2">
      <c r="A326" s="295"/>
      <c r="B326" s="603"/>
      <c r="C326" s="604"/>
      <c r="D326" s="612" t="s">
        <v>575</v>
      </c>
      <c r="E326" s="583"/>
      <c r="F326" s="606"/>
      <c r="G326" s="583"/>
      <c r="H326" s="615"/>
      <c r="I326" s="596"/>
      <c r="K326" s="685"/>
    </row>
    <row r="327" spans="1:11" s="345" customFormat="1" ht="12.75" customHeight="1" x14ac:dyDescent="0.2">
      <c r="A327" s="572">
        <f>A319+1</f>
        <v>35</v>
      </c>
      <c r="B327" s="586">
        <v>4013</v>
      </c>
      <c r="C327" s="587" t="s">
        <v>331</v>
      </c>
      <c r="D327" s="616" t="str">
        <f>$D$14</f>
        <v>FTE  Jul 2026</v>
      </c>
      <c r="E327" s="576">
        <f>'4013'!$J$124</f>
        <v>1176953.08</v>
      </c>
      <c r="F327" s="588"/>
      <c r="G327" s="576">
        <f>SUBTOTAL(109,E327:F335)</f>
        <v>1176953.08</v>
      </c>
      <c r="H327" s="615"/>
      <c r="I327" s="596"/>
      <c r="K327" s="685"/>
    </row>
    <row r="328" spans="1:11" s="345" customFormat="1" ht="12.75" hidden="1" customHeight="1" x14ac:dyDescent="0.2">
      <c r="A328" s="572"/>
      <c r="B328" s="586"/>
      <c r="C328" s="587"/>
      <c r="D328" s="590" t="s">
        <v>553</v>
      </c>
      <c r="E328" s="576"/>
      <c r="F328" s="588"/>
      <c r="G328" s="576"/>
      <c r="H328" s="615"/>
      <c r="K328" s="685"/>
    </row>
    <row r="329" spans="1:11" s="345" customFormat="1" ht="12.75" hidden="1" customHeight="1" x14ac:dyDescent="0.2">
      <c r="A329" s="572"/>
      <c r="B329" s="586"/>
      <c r="C329" s="587"/>
      <c r="D329" s="591" t="s">
        <v>554</v>
      </c>
      <c r="E329" s="576"/>
      <c r="F329" s="588"/>
      <c r="G329" s="576"/>
      <c r="H329" s="615"/>
      <c r="K329" s="685"/>
    </row>
    <row r="330" spans="1:11" s="345" customFormat="1" ht="12.75" hidden="1" customHeight="1" x14ac:dyDescent="0.2">
      <c r="A330" s="572"/>
      <c r="B330" s="586"/>
      <c r="C330" s="587"/>
      <c r="D330" s="590" t="s">
        <v>555</v>
      </c>
      <c r="E330" s="576"/>
      <c r="F330" s="588"/>
      <c r="G330" s="576"/>
      <c r="H330" s="615"/>
      <c r="K330" s="685"/>
    </row>
    <row r="331" spans="1:11" s="345" customFormat="1" ht="12.75" hidden="1" customHeight="1" x14ac:dyDescent="0.2">
      <c r="A331" s="572"/>
      <c r="B331" s="586"/>
      <c r="C331" s="587"/>
      <c r="D331" s="590" t="s">
        <v>579</v>
      </c>
      <c r="E331" s="576"/>
      <c r="F331" s="588"/>
      <c r="G331" s="576"/>
      <c r="H331" s="615"/>
      <c r="K331" s="685"/>
    </row>
    <row r="332" spans="1:11" s="345" customFormat="1" ht="12.75" hidden="1" customHeight="1" x14ac:dyDescent="0.2">
      <c r="A332" s="572"/>
      <c r="B332" s="586"/>
      <c r="C332" s="587"/>
      <c r="D332" s="590" t="s">
        <v>557</v>
      </c>
      <c r="E332" s="576"/>
      <c r="F332" s="588"/>
      <c r="G332" s="576"/>
      <c r="H332" s="615"/>
      <c r="K332" s="685"/>
    </row>
    <row r="333" spans="1:11" s="345" customFormat="1" ht="12.75" hidden="1" customHeight="1" x14ac:dyDescent="0.2">
      <c r="A333" s="572"/>
      <c r="B333" s="586"/>
      <c r="C333" s="587"/>
      <c r="D333" s="590" t="s">
        <v>558</v>
      </c>
      <c r="E333" s="576"/>
      <c r="F333" s="588"/>
      <c r="G333" s="576"/>
      <c r="H333" s="615"/>
      <c r="K333" s="685"/>
    </row>
    <row r="334" spans="1:11" s="345" customFormat="1" ht="12.75" hidden="1" customHeight="1" x14ac:dyDescent="0.2">
      <c r="A334" s="572"/>
      <c r="B334" s="586"/>
      <c r="C334" s="587"/>
      <c r="D334" s="590" t="s">
        <v>566</v>
      </c>
      <c r="E334" s="576"/>
      <c r="F334" s="588"/>
      <c r="G334" s="576"/>
      <c r="H334" s="589"/>
      <c r="I334" s="600"/>
      <c r="K334" s="685"/>
    </row>
    <row r="335" spans="1:11" s="345" customFormat="1" ht="12.75" hidden="1" customHeight="1" x14ac:dyDescent="0.2">
      <c r="A335" s="572"/>
      <c r="B335" s="586"/>
      <c r="C335" s="587"/>
      <c r="D335" s="590" t="s">
        <v>575</v>
      </c>
      <c r="E335" s="576"/>
      <c r="F335" s="588"/>
      <c r="G335" s="576"/>
      <c r="H335" s="615"/>
      <c r="I335" s="601"/>
      <c r="K335" s="685"/>
    </row>
    <row r="336" spans="1:11" s="345" customFormat="1" ht="12.75" customHeight="1" x14ac:dyDescent="0.2">
      <c r="A336" s="295">
        <f>A327+1</f>
        <v>36</v>
      </c>
      <c r="B336" s="603">
        <v>4020</v>
      </c>
      <c r="C336" s="618" t="s">
        <v>332</v>
      </c>
      <c r="D336" s="605" t="str">
        <f>$D$14</f>
        <v>FTE  Jul 2026</v>
      </c>
      <c r="E336" s="583">
        <f>'4020'!$J$124</f>
        <v>918328.6</v>
      </c>
      <c r="F336" s="606"/>
      <c r="G336" s="583">
        <f>SUBTOTAL(109,E336:F344)</f>
        <v>918328.6</v>
      </c>
      <c r="H336" s="615"/>
      <c r="I336" s="601"/>
      <c r="K336" s="685"/>
    </row>
    <row r="337" spans="1:11" s="345" customFormat="1" ht="12.75" hidden="1" customHeight="1" x14ac:dyDescent="0.2">
      <c r="A337" s="295"/>
      <c r="B337" s="603"/>
      <c r="C337" s="604"/>
      <c r="D337" s="251" t="s">
        <v>576</v>
      </c>
      <c r="E337" s="583"/>
      <c r="F337" s="606"/>
      <c r="G337" s="583"/>
      <c r="H337" s="615"/>
      <c r="K337" s="685"/>
    </row>
    <row r="338" spans="1:11" s="345" customFormat="1" ht="12.75" hidden="1" customHeight="1" x14ac:dyDescent="0.2">
      <c r="A338" s="295"/>
      <c r="B338" s="603"/>
      <c r="C338" s="604"/>
      <c r="D338" s="608" t="s">
        <v>554</v>
      </c>
      <c r="E338" s="583"/>
      <c r="F338" s="606"/>
      <c r="G338" s="583"/>
      <c r="H338" s="615"/>
      <c r="K338" s="685"/>
    </row>
    <row r="339" spans="1:11" s="345" customFormat="1" ht="12.75" hidden="1" customHeight="1" x14ac:dyDescent="0.2">
      <c r="A339" s="295"/>
      <c r="B339" s="603"/>
      <c r="C339" s="604"/>
      <c r="D339" s="251" t="s">
        <v>555</v>
      </c>
      <c r="E339" s="583"/>
      <c r="F339" s="606"/>
      <c r="G339" s="583"/>
      <c r="H339" s="615"/>
      <c r="I339" s="603"/>
      <c r="K339" s="685"/>
    </row>
    <row r="340" spans="1:11" s="345" customFormat="1" ht="12.75" hidden="1" customHeight="1" x14ac:dyDescent="0.2">
      <c r="A340" s="295"/>
      <c r="B340" s="603"/>
      <c r="C340" s="604"/>
      <c r="D340" s="251" t="s">
        <v>579</v>
      </c>
      <c r="E340" s="583"/>
      <c r="F340" s="606"/>
      <c r="G340" s="583"/>
      <c r="H340" s="615"/>
      <c r="K340" s="685"/>
    </row>
    <row r="341" spans="1:11" s="345" customFormat="1" ht="12.75" hidden="1" customHeight="1" x14ac:dyDescent="0.2">
      <c r="A341" s="295"/>
      <c r="B341" s="603"/>
      <c r="C341" s="604"/>
      <c r="D341" s="251" t="s">
        <v>557</v>
      </c>
      <c r="E341" s="583"/>
      <c r="F341" s="606"/>
      <c r="G341" s="583"/>
      <c r="H341" s="615"/>
      <c r="K341" s="685"/>
    </row>
    <row r="342" spans="1:11" s="345" customFormat="1" ht="12.75" hidden="1" customHeight="1" x14ac:dyDescent="0.2">
      <c r="A342" s="295"/>
      <c r="B342" s="603"/>
      <c r="C342" s="604"/>
      <c r="D342" s="251" t="s">
        <v>558</v>
      </c>
      <c r="E342" s="583"/>
      <c r="F342" s="606"/>
      <c r="G342" s="583"/>
      <c r="H342" s="615"/>
      <c r="K342" s="685"/>
    </row>
    <row r="343" spans="1:11" s="345" customFormat="1" ht="12.75" hidden="1" customHeight="1" x14ac:dyDescent="0.2">
      <c r="A343" s="295"/>
      <c r="B343" s="603"/>
      <c r="C343" s="604"/>
      <c r="D343" s="251" t="s">
        <v>584</v>
      </c>
      <c r="E343" s="583"/>
      <c r="F343" s="606"/>
      <c r="G343" s="583"/>
      <c r="H343" s="615"/>
      <c r="K343" s="685"/>
    </row>
    <row r="344" spans="1:11" s="345" customFormat="1" ht="12.75" hidden="1" customHeight="1" x14ac:dyDescent="0.2">
      <c r="A344" s="295"/>
      <c r="B344" s="603"/>
      <c r="C344" s="604"/>
      <c r="D344" s="612" t="s">
        <v>575</v>
      </c>
      <c r="E344" s="583"/>
      <c r="F344" s="606"/>
      <c r="G344" s="583"/>
      <c r="H344" s="615"/>
      <c r="I344" s="596"/>
      <c r="K344" s="685"/>
    </row>
    <row r="345" spans="1:11" s="345" customFormat="1" ht="12.75" customHeight="1" x14ac:dyDescent="0.2">
      <c r="A345" s="572">
        <f>A336+1</f>
        <v>37</v>
      </c>
      <c r="B345" s="586">
        <v>4030</v>
      </c>
      <c r="C345" s="587" t="s">
        <v>333</v>
      </c>
      <c r="D345" s="616" t="str">
        <f>$D$14</f>
        <v>FTE  Jul 2026</v>
      </c>
      <c r="E345" s="576">
        <f>'4030'!$J$124</f>
        <v>0</v>
      </c>
      <c r="F345" s="588"/>
      <c r="G345" s="576">
        <f>SUBTOTAL(109,E345:F354)</f>
        <v>0</v>
      </c>
      <c r="H345" s="615"/>
      <c r="I345" s="747" t="s">
        <v>652</v>
      </c>
      <c r="K345" s="685"/>
    </row>
    <row r="346" spans="1:11" s="345" customFormat="1" ht="12.75" hidden="1" customHeight="1" x14ac:dyDescent="0.2">
      <c r="A346" s="572"/>
      <c r="B346" s="586"/>
      <c r="C346" s="587"/>
      <c r="D346" s="590" t="s">
        <v>553</v>
      </c>
      <c r="E346" s="576"/>
      <c r="F346" s="588"/>
      <c r="G346" s="576"/>
      <c r="H346" s="615"/>
      <c r="K346" s="685"/>
    </row>
    <row r="347" spans="1:11" s="345" customFormat="1" ht="12.75" hidden="1" customHeight="1" x14ac:dyDescent="0.2">
      <c r="A347" s="572"/>
      <c r="B347" s="586"/>
      <c r="C347" s="587"/>
      <c r="D347" s="591" t="s">
        <v>554</v>
      </c>
      <c r="E347" s="576"/>
      <c r="F347" s="588"/>
      <c r="G347" s="576"/>
      <c r="H347" s="615"/>
      <c r="K347" s="685"/>
    </row>
    <row r="348" spans="1:11" s="345" customFormat="1" ht="12.75" hidden="1" customHeight="1" x14ac:dyDescent="0.2">
      <c r="A348" s="572"/>
      <c r="B348" s="586"/>
      <c r="C348" s="587"/>
      <c r="D348" s="591" t="s">
        <v>573</v>
      </c>
      <c r="E348" s="576"/>
      <c r="F348" s="588"/>
      <c r="G348" s="576"/>
      <c r="H348" s="615"/>
      <c r="I348" s="603"/>
      <c r="K348" s="685"/>
    </row>
    <row r="349" spans="1:11" s="345" customFormat="1" ht="12.75" hidden="1" customHeight="1" x14ac:dyDescent="0.2">
      <c r="A349" s="572"/>
      <c r="B349" s="586"/>
      <c r="C349" s="587"/>
      <c r="D349" s="587" t="s">
        <v>583</v>
      </c>
      <c r="E349" s="576"/>
      <c r="F349" s="588"/>
      <c r="G349" s="576"/>
      <c r="H349" s="615"/>
      <c r="K349" s="685"/>
    </row>
    <row r="350" spans="1:11" s="345" customFormat="1" ht="12.75" hidden="1" customHeight="1" x14ac:dyDescent="0.2">
      <c r="A350" s="572"/>
      <c r="B350" s="586"/>
      <c r="C350" s="587"/>
      <c r="D350" s="590" t="s">
        <v>556</v>
      </c>
      <c r="E350" s="576"/>
      <c r="F350" s="588"/>
      <c r="G350" s="576"/>
      <c r="H350" s="615"/>
      <c r="K350" s="685"/>
    </row>
    <row r="351" spans="1:11" s="345" customFormat="1" ht="12.75" hidden="1" customHeight="1" x14ac:dyDescent="0.2">
      <c r="A351" s="572"/>
      <c r="B351" s="586"/>
      <c r="C351" s="587"/>
      <c r="D351" s="590" t="s">
        <v>557</v>
      </c>
      <c r="E351" s="576"/>
      <c r="F351" s="588"/>
      <c r="G351" s="576"/>
      <c r="H351" s="615"/>
      <c r="K351" s="685"/>
    </row>
    <row r="352" spans="1:11" s="345" customFormat="1" ht="12.75" hidden="1" customHeight="1" x14ac:dyDescent="0.2">
      <c r="A352" s="572"/>
      <c r="B352" s="586"/>
      <c r="C352" s="587"/>
      <c r="D352" s="590" t="s">
        <v>558</v>
      </c>
      <c r="E352" s="576"/>
      <c r="F352" s="588"/>
      <c r="G352" s="576"/>
      <c r="H352" s="589"/>
      <c r="I352" s="600"/>
      <c r="K352" s="685"/>
    </row>
    <row r="353" spans="1:11" s="345" customFormat="1" ht="12.75" hidden="1" customHeight="1" x14ac:dyDescent="0.2">
      <c r="A353" s="572"/>
      <c r="B353" s="586"/>
      <c r="C353" s="587"/>
      <c r="D353" s="590" t="s">
        <v>566</v>
      </c>
      <c r="E353" s="576"/>
      <c r="F353" s="588"/>
      <c r="G353" s="576"/>
      <c r="H353" s="615"/>
      <c r="I353" s="596"/>
      <c r="K353" s="685"/>
    </row>
    <row r="354" spans="1:11" s="345" customFormat="1" ht="12.75" hidden="1" customHeight="1" x14ac:dyDescent="0.2">
      <c r="A354" s="572"/>
      <c r="B354" s="586"/>
      <c r="C354" s="587"/>
      <c r="D354" s="590" t="s">
        <v>575</v>
      </c>
      <c r="E354" s="576"/>
      <c r="F354" s="588"/>
      <c r="G354" s="576"/>
      <c r="H354" s="615"/>
      <c r="K354" s="685"/>
    </row>
    <row r="355" spans="1:11" s="345" customFormat="1" ht="12.75" customHeight="1" x14ac:dyDescent="0.2">
      <c r="A355" s="295">
        <f>A345+1</f>
        <v>38</v>
      </c>
      <c r="B355" s="603">
        <v>4031</v>
      </c>
      <c r="C355" s="618" t="s">
        <v>334</v>
      </c>
      <c r="D355" s="605" t="str">
        <f>$D$14</f>
        <v>FTE  Jul 2026</v>
      </c>
      <c r="E355" s="583">
        <f>'4031'!$J$124</f>
        <v>287911.87</v>
      </c>
      <c r="F355" s="606"/>
      <c r="G355" s="583">
        <f>SUBTOTAL(109,E355:F364)</f>
        <v>287911.87</v>
      </c>
      <c r="H355" s="615"/>
      <c r="K355" s="685"/>
    </row>
    <row r="356" spans="1:11" s="345" customFormat="1" ht="12.75" hidden="1" customHeight="1" x14ac:dyDescent="0.2">
      <c r="A356" s="295"/>
      <c r="B356" s="603"/>
      <c r="C356" s="604"/>
      <c r="D356" s="251" t="s">
        <v>576</v>
      </c>
      <c r="E356" s="583"/>
      <c r="F356" s="606"/>
      <c r="G356" s="583"/>
      <c r="H356" s="615"/>
      <c r="K356" s="685"/>
    </row>
    <row r="357" spans="1:11" s="345" customFormat="1" ht="12.75" hidden="1" customHeight="1" x14ac:dyDescent="0.2">
      <c r="A357" s="295"/>
      <c r="B357" s="603"/>
      <c r="C357" s="604"/>
      <c r="D357" s="608" t="s">
        <v>554</v>
      </c>
      <c r="E357" s="583"/>
      <c r="F357" s="606"/>
      <c r="G357" s="583"/>
      <c r="H357" s="615"/>
      <c r="I357" s="603"/>
      <c r="K357" s="685"/>
    </row>
    <row r="358" spans="1:11" s="345" customFormat="1" ht="12.75" hidden="1" customHeight="1" x14ac:dyDescent="0.2">
      <c r="A358" s="295"/>
      <c r="B358" s="603"/>
      <c r="C358" s="604"/>
      <c r="D358" s="608" t="s">
        <v>573</v>
      </c>
      <c r="E358" s="583"/>
      <c r="F358" s="606"/>
      <c r="G358" s="583"/>
      <c r="H358" s="615"/>
      <c r="I358" s="603"/>
      <c r="K358" s="685"/>
    </row>
    <row r="359" spans="1:11" s="345" customFormat="1" ht="12.75" hidden="1" customHeight="1" x14ac:dyDescent="0.2">
      <c r="A359" s="295"/>
      <c r="B359" s="603"/>
      <c r="C359" s="604"/>
      <c r="D359" s="251" t="s">
        <v>555</v>
      </c>
      <c r="E359" s="583"/>
      <c r="F359" s="606"/>
      <c r="G359" s="583"/>
      <c r="H359" s="615"/>
      <c r="K359" s="685"/>
    </row>
    <row r="360" spans="1:11" s="345" customFormat="1" ht="12.75" hidden="1" customHeight="1" x14ac:dyDescent="0.2">
      <c r="A360" s="295"/>
      <c r="B360" s="603"/>
      <c r="C360" s="604"/>
      <c r="D360" s="251" t="s">
        <v>556</v>
      </c>
      <c r="E360" s="583"/>
      <c r="F360" s="606"/>
      <c r="G360" s="583"/>
      <c r="H360" s="615"/>
      <c r="K360" s="685"/>
    </row>
    <row r="361" spans="1:11" s="345" customFormat="1" ht="12.75" hidden="1" customHeight="1" x14ac:dyDescent="0.2">
      <c r="A361" s="295"/>
      <c r="B361" s="603"/>
      <c r="C361" s="604"/>
      <c r="D361" s="251" t="s">
        <v>557</v>
      </c>
      <c r="E361" s="583"/>
      <c r="F361" s="606"/>
      <c r="G361" s="583"/>
      <c r="H361" s="615"/>
      <c r="K361" s="685"/>
    </row>
    <row r="362" spans="1:11" s="345" customFormat="1" ht="12.75" hidden="1" customHeight="1" x14ac:dyDescent="0.2">
      <c r="A362" s="295"/>
      <c r="B362" s="603"/>
      <c r="C362" s="604"/>
      <c r="D362" s="251" t="s">
        <v>558</v>
      </c>
      <c r="E362" s="583"/>
      <c r="F362" s="606"/>
      <c r="G362" s="583"/>
      <c r="H362" s="615"/>
      <c r="K362" s="685"/>
    </row>
    <row r="363" spans="1:11" s="345" customFormat="1" ht="12.75" hidden="1" customHeight="1" x14ac:dyDescent="0.2">
      <c r="A363" s="295"/>
      <c r="B363" s="603"/>
      <c r="C363" s="604"/>
      <c r="D363" s="251" t="s">
        <v>566</v>
      </c>
      <c r="E363" s="583"/>
      <c r="F363" s="606"/>
      <c r="G363" s="583"/>
      <c r="H363" s="615"/>
      <c r="I363" s="596"/>
      <c r="K363" s="685"/>
    </row>
    <row r="364" spans="1:11" s="345" customFormat="1" ht="12.75" hidden="1" customHeight="1" x14ac:dyDescent="0.2">
      <c r="A364" s="295"/>
      <c r="B364" s="603"/>
      <c r="C364" s="604"/>
      <c r="D364" s="612" t="s">
        <v>575</v>
      </c>
      <c r="E364" s="583"/>
      <c r="F364" s="606"/>
      <c r="G364" s="583"/>
      <c r="H364" s="615"/>
      <c r="K364" s="685"/>
    </row>
    <row r="365" spans="1:11" s="345" customFormat="1" ht="12.75" customHeight="1" x14ac:dyDescent="0.2">
      <c r="A365" s="572">
        <f>A355+1</f>
        <v>39</v>
      </c>
      <c r="B365" s="586">
        <v>4041</v>
      </c>
      <c r="C365" s="587" t="s">
        <v>335</v>
      </c>
      <c r="D365" s="616" t="str">
        <f>$D$14</f>
        <v>FTE  Jul 2026</v>
      </c>
      <c r="E365" s="576">
        <f>'4041'!$J$124</f>
        <v>68831.240000000005</v>
      </c>
      <c r="F365" s="588"/>
      <c r="G365" s="576">
        <f>SUBTOTAL(109,E365:F375)</f>
        <v>68831.240000000005</v>
      </c>
      <c r="H365" s="615"/>
      <c r="K365" s="685"/>
    </row>
    <row r="366" spans="1:11" s="345" customFormat="1" ht="12.75" hidden="1" customHeight="1" x14ac:dyDescent="0.2">
      <c r="A366" s="572"/>
      <c r="B366" s="586"/>
      <c r="C366" s="587"/>
      <c r="D366" s="590" t="s">
        <v>553</v>
      </c>
      <c r="E366" s="576"/>
      <c r="F366" s="588"/>
      <c r="G366" s="576"/>
      <c r="H366" s="615"/>
      <c r="K366" s="685"/>
    </row>
    <row r="367" spans="1:11" s="345" customFormat="1" ht="12.75" hidden="1" customHeight="1" x14ac:dyDescent="0.2">
      <c r="A367" s="572"/>
      <c r="B367" s="586"/>
      <c r="C367" s="587"/>
      <c r="D367" s="591" t="s">
        <v>554</v>
      </c>
      <c r="E367" s="576"/>
      <c r="F367" s="588"/>
      <c r="G367" s="576"/>
      <c r="H367" s="615"/>
      <c r="I367" s="603"/>
      <c r="K367" s="685"/>
    </row>
    <row r="368" spans="1:11" s="345" customFormat="1" ht="12.75" hidden="1" customHeight="1" x14ac:dyDescent="0.2">
      <c r="A368" s="572"/>
      <c r="B368" s="586"/>
      <c r="C368" s="587"/>
      <c r="D368" s="591" t="s">
        <v>573</v>
      </c>
      <c r="E368" s="576"/>
      <c r="F368" s="588"/>
      <c r="G368" s="576"/>
      <c r="H368" s="615"/>
      <c r="I368" s="603"/>
      <c r="K368" s="685"/>
    </row>
    <row r="369" spans="1:11" s="345" customFormat="1" ht="12.75" hidden="1" customHeight="1" x14ac:dyDescent="0.2">
      <c r="A369" s="572"/>
      <c r="B369" s="586"/>
      <c r="C369" s="587"/>
      <c r="D369" s="590" t="s">
        <v>555</v>
      </c>
      <c r="E369" s="576"/>
      <c r="F369" s="588"/>
      <c r="G369" s="576"/>
      <c r="H369" s="615"/>
      <c r="K369" s="685"/>
    </row>
    <row r="370" spans="1:11" s="345" customFormat="1" ht="12.75" hidden="1" customHeight="1" x14ac:dyDescent="0.2">
      <c r="A370" s="572"/>
      <c r="B370" s="586"/>
      <c r="C370" s="587"/>
      <c r="D370" s="590" t="s">
        <v>556</v>
      </c>
      <c r="E370" s="576"/>
      <c r="F370" s="588"/>
      <c r="G370" s="576"/>
      <c r="H370" s="615"/>
      <c r="K370" s="685"/>
    </row>
    <row r="371" spans="1:11" s="345" customFormat="1" ht="12.75" hidden="1" customHeight="1" x14ac:dyDescent="0.2">
      <c r="A371" s="572"/>
      <c r="B371" s="586"/>
      <c r="C371" s="587"/>
      <c r="D371" s="590" t="s">
        <v>557</v>
      </c>
      <c r="E371" s="576"/>
      <c r="F371" s="588"/>
      <c r="G371" s="576"/>
      <c r="H371" s="615"/>
      <c r="I371" s="603"/>
      <c r="K371" s="685"/>
    </row>
    <row r="372" spans="1:11" s="345" customFormat="1" ht="12.75" hidden="1" customHeight="1" x14ac:dyDescent="0.2">
      <c r="A372" s="572"/>
      <c r="B372" s="586"/>
      <c r="C372" s="587"/>
      <c r="D372" s="590" t="s">
        <v>558</v>
      </c>
      <c r="E372" s="576"/>
      <c r="F372" s="588"/>
      <c r="G372" s="576"/>
      <c r="H372" s="615"/>
      <c r="I372" s="600"/>
      <c r="K372" s="685"/>
    </row>
    <row r="373" spans="1:11" s="345" customFormat="1" ht="12.75" hidden="1" customHeight="1" x14ac:dyDescent="0.2">
      <c r="A373" s="572"/>
      <c r="B373" s="586"/>
      <c r="C373" s="587"/>
      <c r="D373" s="590" t="s">
        <v>580</v>
      </c>
      <c r="E373" s="576"/>
      <c r="F373" s="588"/>
      <c r="G373" s="576"/>
      <c r="H373" s="615"/>
      <c r="I373" s="596"/>
      <c r="K373" s="685"/>
    </row>
    <row r="374" spans="1:11" s="345" customFormat="1" ht="12.75" hidden="1" customHeight="1" x14ac:dyDescent="0.2">
      <c r="A374" s="572"/>
      <c r="B374" s="586"/>
      <c r="C374" s="587"/>
      <c r="D374" s="590" t="s">
        <v>566</v>
      </c>
      <c r="E374" s="576"/>
      <c r="F374" s="588"/>
      <c r="G374" s="576"/>
      <c r="H374" s="615"/>
      <c r="K374" s="685"/>
    </row>
    <row r="375" spans="1:11" s="345" customFormat="1" ht="12.75" hidden="1" customHeight="1" x14ac:dyDescent="0.2">
      <c r="A375" s="572"/>
      <c r="B375" s="586"/>
      <c r="C375" s="587"/>
      <c r="D375" s="590" t="s">
        <v>575</v>
      </c>
      <c r="E375" s="576"/>
      <c r="F375" s="588"/>
      <c r="G375" s="576"/>
      <c r="H375" s="615"/>
      <c r="K375" s="685"/>
    </row>
    <row r="376" spans="1:11" s="345" customFormat="1" ht="12.75" customHeight="1" x14ac:dyDescent="0.2">
      <c r="A376" s="295">
        <f>A365+1</f>
        <v>40</v>
      </c>
      <c r="B376" s="319">
        <v>4050</v>
      </c>
      <c r="C376" s="320" t="s">
        <v>336</v>
      </c>
      <c r="D376" s="605" t="str">
        <f>$D$14</f>
        <v>FTE  Jul 2026</v>
      </c>
      <c r="E376" s="583">
        <f>'4050'!$J$124</f>
        <v>460655.69</v>
      </c>
      <c r="F376" s="606"/>
      <c r="G376" s="583">
        <f>SUBTOTAL(109,E376:F382)</f>
        <v>460655.69</v>
      </c>
      <c r="H376" s="615"/>
      <c r="K376" s="685"/>
    </row>
    <row r="377" spans="1:11" s="345" customFormat="1" ht="12.75" hidden="1" customHeight="1" x14ac:dyDescent="0.2">
      <c r="A377" s="295"/>
      <c r="B377" s="319"/>
      <c r="C377" s="320"/>
      <c r="D377" s="251" t="s">
        <v>576</v>
      </c>
      <c r="E377" s="583"/>
      <c r="F377" s="606"/>
      <c r="G377" s="583"/>
      <c r="H377" s="615"/>
      <c r="I377" s="603"/>
      <c r="K377" s="685"/>
    </row>
    <row r="378" spans="1:11" s="345" customFormat="1" ht="12.75" hidden="1" customHeight="1" x14ac:dyDescent="0.2">
      <c r="A378" s="295"/>
      <c r="B378" s="319"/>
      <c r="C378" s="320"/>
      <c r="D378" s="251" t="s">
        <v>554</v>
      </c>
      <c r="E378" s="583"/>
      <c r="F378" s="606"/>
      <c r="G378" s="583"/>
      <c r="H378" s="615"/>
      <c r="I378" s="603"/>
      <c r="K378" s="685"/>
    </row>
    <row r="379" spans="1:11" s="345" customFormat="1" ht="12.75" hidden="1" customHeight="1" x14ac:dyDescent="0.2">
      <c r="A379" s="295"/>
      <c r="B379" s="603"/>
      <c r="C379" s="604"/>
      <c r="D379" s="251" t="s">
        <v>556</v>
      </c>
      <c r="E379" s="583"/>
      <c r="F379" s="606"/>
      <c r="G379" s="583"/>
      <c r="H379" s="615"/>
      <c r="K379" s="685"/>
    </row>
    <row r="380" spans="1:11" s="345" customFormat="1" ht="12.75" hidden="1" customHeight="1" x14ac:dyDescent="0.2">
      <c r="A380" s="295"/>
      <c r="B380" s="603"/>
      <c r="C380" s="604"/>
      <c r="D380" s="251" t="s">
        <v>557</v>
      </c>
      <c r="E380" s="583"/>
      <c r="F380" s="606"/>
      <c r="G380" s="583"/>
      <c r="H380" s="615"/>
      <c r="K380" s="685"/>
    </row>
    <row r="381" spans="1:11" s="345" customFormat="1" ht="12.75" hidden="1" customHeight="1" x14ac:dyDescent="0.2">
      <c r="A381" s="295"/>
      <c r="B381" s="603"/>
      <c r="C381" s="604"/>
      <c r="D381" s="251" t="s">
        <v>558</v>
      </c>
      <c r="E381" s="583"/>
      <c r="F381" s="606"/>
      <c r="G381" s="583"/>
      <c r="H381" s="615"/>
      <c r="K381" s="685"/>
    </row>
    <row r="382" spans="1:11" s="345" customFormat="1" ht="12.75" hidden="1" customHeight="1" x14ac:dyDescent="0.2">
      <c r="A382" s="295"/>
      <c r="B382" s="603"/>
      <c r="C382" s="604"/>
      <c r="D382" s="612" t="s">
        <v>575</v>
      </c>
      <c r="E382" s="583"/>
      <c r="F382" s="606"/>
      <c r="G382" s="583"/>
      <c r="H382" s="615"/>
      <c r="K382" s="685"/>
    </row>
    <row r="383" spans="1:11" s="345" customFormat="1" ht="12.75" customHeight="1" x14ac:dyDescent="0.2">
      <c r="A383" s="572">
        <f>A376+1</f>
        <v>41</v>
      </c>
      <c r="B383" s="586">
        <v>4051</v>
      </c>
      <c r="C383" s="587" t="s">
        <v>337</v>
      </c>
      <c r="D383" s="616" t="str">
        <f>$D$14</f>
        <v>FTE  Jul 2026</v>
      </c>
      <c r="E383" s="576">
        <f>'4051'!$J$124</f>
        <v>454031.87</v>
      </c>
      <c r="F383" s="588"/>
      <c r="G383" s="576">
        <f>SUBTOTAL(109,E383:F391)</f>
        <v>454031.87</v>
      </c>
      <c r="H383" s="615"/>
      <c r="K383" s="685"/>
    </row>
    <row r="384" spans="1:11" s="345" customFormat="1" ht="12.75" hidden="1" customHeight="1" x14ac:dyDescent="0.2">
      <c r="A384" s="572"/>
      <c r="B384" s="586"/>
      <c r="C384" s="587"/>
      <c r="D384" s="590" t="s">
        <v>553</v>
      </c>
      <c r="E384" s="576"/>
      <c r="F384" s="588"/>
      <c r="G384" s="576"/>
      <c r="H384" s="615"/>
      <c r="I384" s="596"/>
      <c r="K384" s="685"/>
    </row>
    <row r="385" spans="1:11" s="345" customFormat="1" ht="12.75" hidden="1" customHeight="1" x14ac:dyDescent="0.2">
      <c r="A385" s="572"/>
      <c r="B385" s="586"/>
      <c r="C385" s="587"/>
      <c r="D385" s="590" t="s">
        <v>554</v>
      </c>
      <c r="E385" s="576"/>
      <c r="F385" s="588"/>
      <c r="G385" s="576"/>
      <c r="H385" s="615"/>
      <c r="K385" s="685"/>
    </row>
    <row r="386" spans="1:11" s="345" customFormat="1" ht="12.75" hidden="1" customHeight="1" x14ac:dyDescent="0.2">
      <c r="A386" s="572"/>
      <c r="B386" s="586"/>
      <c r="C386" s="587"/>
      <c r="D386" s="590" t="s">
        <v>556</v>
      </c>
      <c r="E386" s="576"/>
      <c r="F386" s="588"/>
      <c r="G386" s="576"/>
      <c r="H386" s="615"/>
      <c r="K386" s="685"/>
    </row>
    <row r="387" spans="1:11" s="345" customFormat="1" ht="12.75" hidden="1" customHeight="1" x14ac:dyDescent="0.2">
      <c r="A387" s="572"/>
      <c r="B387" s="586"/>
      <c r="C387" s="587"/>
      <c r="D387" s="590" t="s">
        <v>557</v>
      </c>
      <c r="E387" s="576"/>
      <c r="F387" s="588"/>
      <c r="G387" s="576"/>
      <c r="H387" s="615"/>
      <c r="K387" s="685"/>
    </row>
    <row r="388" spans="1:11" s="345" customFormat="1" ht="12.75" hidden="1" customHeight="1" x14ac:dyDescent="0.2">
      <c r="A388" s="572"/>
      <c r="B388" s="586"/>
      <c r="C388" s="587"/>
      <c r="D388" s="590" t="s">
        <v>558</v>
      </c>
      <c r="E388" s="576"/>
      <c r="F388" s="588"/>
      <c r="G388" s="576"/>
      <c r="H388" s="615"/>
      <c r="K388" s="685"/>
    </row>
    <row r="389" spans="1:11" s="345" customFormat="1" ht="12.75" hidden="1" customHeight="1" x14ac:dyDescent="0.2">
      <c r="A389" s="572"/>
      <c r="B389" s="586"/>
      <c r="C389" s="587"/>
      <c r="D389" s="590" t="s">
        <v>580</v>
      </c>
      <c r="E389" s="576"/>
      <c r="F389" s="588"/>
      <c r="G389" s="576"/>
      <c r="H389" s="615"/>
      <c r="K389" s="685"/>
    </row>
    <row r="390" spans="1:11" s="345" customFormat="1" ht="12.75" hidden="1" customHeight="1" x14ac:dyDescent="0.2">
      <c r="A390" s="572"/>
      <c r="B390" s="586"/>
      <c r="C390" s="587"/>
      <c r="D390" s="590" t="s">
        <v>584</v>
      </c>
      <c r="E390" s="576"/>
      <c r="F390" s="588"/>
      <c r="G390" s="576"/>
      <c r="H390" s="615"/>
      <c r="K390" s="685"/>
    </row>
    <row r="391" spans="1:11" s="345" customFormat="1" ht="12.75" hidden="1" customHeight="1" x14ac:dyDescent="0.2">
      <c r="A391" s="572"/>
      <c r="B391" s="586"/>
      <c r="C391" s="587"/>
      <c r="D391" s="590"/>
      <c r="E391" s="576"/>
      <c r="F391" s="588"/>
      <c r="G391" s="576"/>
      <c r="H391" s="615"/>
      <c r="I391" s="600"/>
      <c r="K391" s="685"/>
    </row>
    <row r="392" spans="1:11" s="345" customFormat="1" ht="12.75" customHeight="1" x14ac:dyDescent="0.2">
      <c r="A392" s="295">
        <f>A383+1</f>
        <v>42</v>
      </c>
      <c r="B392" s="319">
        <v>4061</v>
      </c>
      <c r="C392" s="322" t="s">
        <v>338</v>
      </c>
      <c r="D392" s="605" t="str">
        <f>$D$14</f>
        <v>FTE  Jul 2026</v>
      </c>
      <c r="E392" s="583">
        <f>'4061'!$J$124</f>
        <v>670518.24</v>
      </c>
      <c r="F392" s="606"/>
      <c r="G392" s="583">
        <f>SUBTOTAL(109,E392:F400)</f>
        <v>670518.24</v>
      </c>
      <c r="H392" s="615"/>
      <c r="K392" s="685"/>
    </row>
    <row r="393" spans="1:11" s="345" customFormat="1" ht="12.75" hidden="1" customHeight="1" x14ac:dyDescent="0.2">
      <c r="A393" s="295"/>
      <c r="B393" s="319"/>
      <c r="C393" s="320"/>
      <c r="D393" s="251" t="s">
        <v>576</v>
      </c>
      <c r="E393" s="583"/>
      <c r="F393" s="606"/>
      <c r="G393" s="583"/>
      <c r="H393" s="615"/>
      <c r="K393" s="685"/>
    </row>
    <row r="394" spans="1:11" s="345" customFormat="1" ht="12.75" hidden="1" customHeight="1" x14ac:dyDescent="0.2">
      <c r="A394" s="295"/>
      <c r="B394" s="603"/>
      <c r="C394" s="604"/>
      <c r="D394" s="608" t="s">
        <v>554</v>
      </c>
      <c r="E394" s="583"/>
      <c r="F394" s="606"/>
      <c r="G394" s="583"/>
      <c r="H394" s="615"/>
      <c r="K394" s="685"/>
    </row>
    <row r="395" spans="1:11" s="345" customFormat="1" ht="12.75" hidden="1" customHeight="1" x14ac:dyDescent="0.2">
      <c r="A395" s="295"/>
      <c r="B395" s="319"/>
      <c r="C395" s="320"/>
      <c r="D395" s="251" t="s">
        <v>553</v>
      </c>
      <c r="E395" s="583"/>
      <c r="F395" s="606"/>
      <c r="G395" s="583"/>
      <c r="H395" s="615"/>
      <c r="K395" s="685"/>
    </row>
    <row r="396" spans="1:11" s="345" customFormat="1" ht="12.75" hidden="1" customHeight="1" x14ac:dyDescent="0.2">
      <c r="A396" s="295"/>
      <c r="B396" s="319"/>
      <c r="C396" s="320"/>
      <c r="D396" s="251" t="s">
        <v>555</v>
      </c>
      <c r="E396" s="583"/>
      <c r="F396" s="606"/>
      <c r="G396" s="583"/>
      <c r="H396" s="615"/>
      <c r="K396" s="685"/>
    </row>
    <row r="397" spans="1:11" s="345" customFormat="1" ht="12.75" hidden="1" customHeight="1" x14ac:dyDescent="0.2">
      <c r="A397" s="295"/>
      <c r="B397" s="603"/>
      <c r="C397" s="604"/>
      <c r="D397" s="251" t="s">
        <v>556</v>
      </c>
      <c r="E397" s="583"/>
      <c r="F397" s="606"/>
      <c r="G397" s="583"/>
      <c r="H397" s="615"/>
      <c r="K397" s="685"/>
    </row>
    <row r="398" spans="1:11" s="345" customFormat="1" ht="12.75" hidden="1" customHeight="1" x14ac:dyDescent="0.2">
      <c r="A398" s="295"/>
      <c r="B398" s="603"/>
      <c r="C398" s="604"/>
      <c r="D398" s="251" t="s">
        <v>557</v>
      </c>
      <c r="E398" s="583"/>
      <c r="F398" s="606"/>
      <c r="G398" s="583"/>
      <c r="H398" s="615"/>
      <c r="K398" s="685"/>
    </row>
    <row r="399" spans="1:11" s="345" customFormat="1" ht="12.75" hidden="1" customHeight="1" x14ac:dyDescent="0.2">
      <c r="A399" s="295"/>
      <c r="B399" s="603"/>
      <c r="C399" s="604"/>
      <c r="D399" s="251" t="s">
        <v>558</v>
      </c>
      <c r="E399" s="583"/>
      <c r="F399" s="606"/>
      <c r="G399" s="583"/>
      <c r="H399" s="615"/>
      <c r="K399" s="685"/>
    </row>
    <row r="400" spans="1:11" s="345" customFormat="1" ht="12.75" hidden="1" customHeight="1" x14ac:dyDescent="0.2">
      <c r="A400" s="295"/>
      <c r="B400" s="603"/>
      <c r="C400" s="604"/>
      <c r="D400" s="612" t="s">
        <v>595</v>
      </c>
      <c r="E400" s="625"/>
      <c r="F400" s="606"/>
      <c r="G400" s="583"/>
      <c r="H400" s="615"/>
      <c r="I400" s="596"/>
      <c r="K400" s="685"/>
    </row>
    <row r="401" spans="1:11" s="345" customFormat="1" ht="12.75" customHeight="1" x14ac:dyDescent="0.2">
      <c r="A401" s="572">
        <f>A392+1</f>
        <v>43</v>
      </c>
      <c r="B401" s="586">
        <v>4080</v>
      </c>
      <c r="C401" s="587" t="s">
        <v>339</v>
      </c>
      <c r="D401" s="616" t="str">
        <f>$D$14</f>
        <v>FTE  Jul 2026</v>
      </c>
      <c r="E401" s="576">
        <v>0</v>
      </c>
      <c r="F401" s="588"/>
      <c r="G401" s="576">
        <f>SUBTOTAL(109,E401:F407)</f>
        <v>0</v>
      </c>
      <c r="H401" s="615"/>
      <c r="I401" s="340"/>
      <c r="K401" s="685"/>
    </row>
    <row r="402" spans="1:11" s="345" customFormat="1" ht="12.75" hidden="1" customHeight="1" x14ac:dyDescent="0.2">
      <c r="A402" s="572"/>
      <c r="B402" s="586"/>
      <c r="C402" s="587"/>
      <c r="D402" s="590" t="s">
        <v>553</v>
      </c>
      <c r="E402" s="576"/>
      <c r="F402" s="588"/>
      <c r="G402" s="576"/>
      <c r="H402" s="615"/>
      <c r="K402" s="685"/>
    </row>
    <row r="403" spans="1:11" s="345" customFormat="1" ht="12.75" hidden="1" customHeight="1" x14ac:dyDescent="0.2">
      <c r="A403" s="572"/>
      <c r="B403" s="586"/>
      <c r="C403" s="587"/>
      <c r="D403" s="590" t="s">
        <v>554</v>
      </c>
      <c r="E403" s="576"/>
      <c r="F403" s="588"/>
      <c r="G403" s="576"/>
      <c r="H403" s="615"/>
      <c r="K403" s="685"/>
    </row>
    <row r="404" spans="1:11" s="345" customFormat="1" ht="12.75" hidden="1" customHeight="1" x14ac:dyDescent="0.2">
      <c r="A404" s="572"/>
      <c r="B404" s="586"/>
      <c r="C404" s="587"/>
      <c r="D404" s="590" t="s">
        <v>556</v>
      </c>
      <c r="E404" s="576"/>
      <c r="F404" s="588"/>
      <c r="G404" s="576"/>
      <c r="H404" s="615"/>
      <c r="I404" s="603"/>
      <c r="K404" s="685"/>
    </row>
    <row r="405" spans="1:11" s="345" customFormat="1" ht="12.75" hidden="1" customHeight="1" x14ac:dyDescent="0.2">
      <c r="A405" s="572"/>
      <c r="B405" s="586"/>
      <c r="C405" s="587"/>
      <c r="D405" s="590" t="s">
        <v>557</v>
      </c>
      <c r="E405" s="576"/>
      <c r="F405" s="588"/>
      <c r="G405" s="576"/>
      <c r="H405" s="615"/>
      <c r="K405" s="685"/>
    </row>
    <row r="406" spans="1:11" s="345" customFormat="1" ht="12.75" hidden="1" customHeight="1" x14ac:dyDescent="0.2">
      <c r="A406" s="572"/>
      <c r="B406" s="586"/>
      <c r="C406" s="587"/>
      <c r="D406" s="590" t="s">
        <v>558</v>
      </c>
      <c r="E406" s="576"/>
      <c r="F406" s="588"/>
      <c r="G406" s="576"/>
      <c r="H406" s="615"/>
      <c r="K406" s="685"/>
    </row>
    <row r="407" spans="1:11" s="345" customFormat="1" ht="12.75" hidden="1" customHeight="1" x14ac:dyDescent="0.2">
      <c r="A407" s="572"/>
      <c r="B407" s="586"/>
      <c r="C407" s="587"/>
      <c r="D407" s="590" t="s">
        <v>575</v>
      </c>
      <c r="E407" s="576"/>
      <c r="F407" s="588"/>
      <c r="G407" s="576"/>
      <c r="H407" s="615"/>
      <c r="I407" s="603"/>
      <c r="K407" s="685"/>
    </row>
    <row r="408" spans="1:11" s="345" customFormat="1" ht="12.75" customHeight="1" x14ac:dyDescent="0.2">
      <c r="A408" s="295">
        <f>1+A401</f>
        <v>44</v>
      </c>
      <c r="B408" s="319">
        <v>4081</v>
      </c>
      <c r="C408" s="322" t="s">
        <v>340</v>
      </c>
      <c r="D408" s="605" t="str">
        <f>$D$14</f>
        <v>FTE  Jul 2026</v>
      </c>
      <c r="E408" s="583">
        <f>'4081'!$J$124</f>
        <v>91315.47</v>
      </c>
      <c r="F408" s="606"/>
      <c r="G408" s="583">
        <f>SUBTOTAL(109,E408:F416)</f>
        <v>91315.47</v>
      </c>
      <c r="H408" s="615"/>
      <c r="K408" s="685"/>
    </row>
    <row r="409" spans="1:11" s="345" customFormat="1" ht="12.75" hidden="1" customHeight="1" x14ac:dyDescent="0.2">
      <c r="A409" s="295"/>
      <c r="B409" s="319"/>
      <c r="C409" s="322"/>
      <c r="D409" s="251" t="s">
        <v>576</v>
      </c>
      <c r="E409" s="583"/>
      <c r="F409" s="606"/>
      <c r="G409" s="583"/>
      <c r="H409" s="615"/>
      <c r="I409" s="600"/>
      <c r="K409" s="685"/>
    </row>
    <row r="410" spans="1:11" s="345" customFormat="1" ht="12.75" hidden="1" customHeight="1" x14ac:dyDescent="0.2">
      <c r="A410" s="295"/>
      <c r="B410" s="603"/>
      <c r="C410" s="604"/>
      <c r="D410" s="608" t="s">
        <v>554</v>
      </c>
      <c r="E410" s="583"/>
      <c r="F410" s="606"/>
      <c r="G410" s="583"/>
      <c r="H410" s="615"/>
      <c r="I410" s="600"/>
      <c r="K410" s="685"/>
    </row>
    <row r="411" spans="1:11" s="345" customFormat="1" ht="12.75" hidden="1" customHeight="1" x14ac:dyDescent="0.2">
      <c r="A411" s="295"/>
      <c r="B411" s="319"/>
      <c r="C411" s="322"/>
      <c r="D411" s="251" t="s">
        <v>555</v>
      </c>
      <c r="E411" s="583"/>
      <c r="F411" s="606"/>
      <c r="G411" s="583"/>
      <c r="H411" s="615"/>
      <c r="K411" s="685"/>
    </row>
    <row r="412" spans="1:11" s="345" customFormat="1" ht="12.75" hidden="1" customHeight="1" x14ac:dyDescent="0.2">
      <c r="A412" s="295"/>
      <c r="B412" s="319"/>
      <c r="C412" s="322"/>
      <c r="D412" s="251" t="s">
        <v>556</v>
      </c>
      <c r="E412" s="583"/>
      <c r="F412" s="606"/>
      <c r="G412" s="583"/>
      <c r="H412" s="615"/>
      <c r="K412" s="685"/>
    </row>
    <row r="413" spans="1:11" s="345" customFormat="1" ht="12.75" hidden="1" customHeight="1" x14ac:dyDescent="0.2">
      <c r="A413" s="295"/>
      <c r="B413" s="319"/>
      <c r="C413" s="322"/>
      <c r="D413" s="251" t="s">
        <v>557</v>
      </c>
      <c r="E413" s="583"/>
      <c r="F413" s="606"/>
      <c r="G413" s="583"/>
      <c r="H413" s="615"/>
      <c r="K413" s="685"/>
    </row>
    <row r="414" spans="1:11" s="345" customFormat="1" ht="12.75" hidden="1" customHeight="1" x14ac:dyDescent="0.2">
      <c r="A414" s="295"/>
      <c r="B414" s="603"/>
      <c r="C414" s="604"/>
      <c r="D414" s="251" t="s">
        <v>558</v>
      </c>
      <c r="E414" s="583"/>
      <c r="F414" s="606"/>
      <c r="G414" s="583"/>
      <c r="H414" s="615"/>
      <c r="K414" s="685"/>
    </row>
    <row r="415" spans="1:11" s="345" customFormat="1" ht="12.75" hidden="1" customHeight="1" x14ac:dyDescent="0.2">
      <c r="A415" s="295"/>
      <c r="B415" s="603"/>
      <c r="C415" s="604"/>
      <c r="D415" s="251" t="s">
        <v>566</v>
      </c>
      <c r="E415" s="583"/>
      <c r="F415" s="606"/>
      <c r="G415" s="583"/>
      <c r="H415" s="615"/>
      <c r="K415" s="685"/>
    </row>
    <row r="416" spans="1:11" s="345" customFormat="1" ht="12.75" hidden="1" customHeight="1" x14ac:dyDescent="0.2">
      <c r="A416" s="295"/>
      <c r="B416" s="603"/>
      <c r="C416" s="604"/>
      <c r="D416" s="612" t="s">
        <v>575</v>
      </c>
      <c r="E416" s="583"/>
      <c r="F416" s="606"/>
      <c r="G416" s="583"/>
      <c r="H416" s="615"/>
      <c r="K416" s="685"/>
    </row>
    <row r="417" spans="1:12" s="345" customFormat="1" ht="12.75" customHeight="1" x14ac:dyDescent="0.2">
      <c r="A417" s="572">
        <f>1+A408</f>
        <v>45</v>
      </c>
      <c r="B417" s="586">
        <v>4090</v>
      </c>
      <c r="C417" s="587" t="s">
        <v>596</v>
      </c>
      <c r="D417" s="616" t="str">
        <f>$D$14</f>
        <v>FTE  Jul 2026</v>
      </c>
      <c r="E417" s="576">
        <f>'4090'!$J$124</f>
        <v>225526.69</v>
      </c>
      <c r="F417" s="588"/>
      <c r="G417" s="576">
        <f>SUBTOTAL(109,E417:F426)</f>
        <v>225526.69</v>
      </c>
      <c r="H417" s="615"/>
      <c r="K417" s="685"/>
    </row>
    <row r="418" spans="1:12" s="345" customFormat="1" ht="12.75" hidden="1" customHeight="1" x14ac:dyDescent="0.2">
      <c r="A418" s="572"/>
      <c r="B418" s="586"/>
      <c r="C418" s="587"/>
      <c r="D418" s="590" t="s">
        <v>553</v>
      </c>
      <c r="E418" s="576"/>
      <c r="F418" s="588"/>
      <c r="G418" s="576"/>
      <c r="H418" s="615"/>
      <c r="K418" s="685"/>
      <c r="L418" s="610"/>
    </row>
    <row r="419" spans="1:12" s="345" customFormat="1" ht="12.75" hidden="1" customHeight="1" x14ac:dyDescent="0.2">
      <c r="A419" s="572"/>
      <c r="B419" s="586"/>
      <c r="C419" s="587"/>
      <c r="D419" s="591" t="s">
        <v>597</v>
      </c>
      <c r="E419" s="576"/>
      <c r="F419" s="588"/>
      <c r="G419" s="576"/>
      <c r="H419" s="615"/>
      <c r="K419" s="685"/>
    </row>
    <row r="420" spans="1:12" s="345" customFormat="1" ht="12.75" hidden="1" customHeight="1" x14ac:dyDescent="0.2">
      <c r="A420" s="572"/>
      <c r="B420" s="586"/>
      <c r="C420" s="587"/>
      <c r="D420" s="591" t="s">
        <v>573</v>
      </c>
      <c r="E420" s="576"/>
      <c r="F420" s="588"/>
      <c r="G420" s="576"/>
      <c r="H420" s="615"/>
      <c r="I420" s="603"/>
      <c r="K420" s="685"/>
    </row>
    <row r="421" spans="1:12" s="345" customFormat="1" ht="12.75" hidden="1" customHeight="1" x14ac:dyDescent="0.2">
      <c r="A421" s="572"/>
      <c r="B421" s="586"/>
      <c r="C421" s="587"/>
      <c r="D421" s="590" t="s">
        <v>555</v>
      </c>
      <c r="E421" s="576"/>
      <c r="F421" s="588"/>
      <c r="G421" s="576"/>
      <c r="H421" s="615"/>
      <c r="K421" s="685"/>
    </row>
    <row r="422" spans="1:12" s="345" customFormat="1" ht="12.75" hidden="1" customHeight="1" x14ac:dyDescent="0.2">
      <c r="A422" s="572"/>
      <c r="B422" s="586"/>
      <c r="C422" s="587"/>
      <c r="D422" s="590" t="s">
        <v>556</v>
      </c>
      <c r="E422" s="576"/>
      <c r="F422" s="588"/>
      <c r="G422" s="576"/>
      <c r="H422" s="615"/>
      <c r="K422" s="685"/>
    </row>
    <row r="423" spans="1:12" s="345" customFormat="1" ht="12.75" hidden="1" customHeight="1" x14ac:dyDescent="0.2">
      <c r="A423" s="572"/>
      <c r="B423" s="586"/>
      <c r="C423" s="587"/>
      <c r="D423" s="590" t="s">
        <v>557</v>
      </c>
      <c r="E423" s="576"/>
      <c r="F423" s="588"/>
      <c r="G423" s="576"/>
      <c r="H423" s="615"/>
      <c r="K423" s="685"/>
    </row>
    <row r="424" spans="1:12" s="345" customFormat="1" ht="12.75" hidden="1" customHeight="1" x14ac:dyDescent="0.2">
      <c r="A424" s="572"/>
      <c r="B424" s="586"/>
      <c r="C424" s="587"/>
      <c r="D424" s="590" t="s">
        <v>558</v>
      </c>
      <c r="E424" s="576"/>
      <c r="F424" s="588"/>
      <c r="G424" s="576"/>
      <c r="H424" s="615"/>
      <c r="I424" s="600"/>
      <c r="K424" s="685"/>
    </row>
    <row r="425" spans="1:12" s="345" customFormat="1" ht="12.75" hidden="1" customHeight="1" x14ac:dyDescent="0.2">
      <c r="A425" s="572"/>
      <c r="B425" s="586"/>
      <c r="C425" s="587"/>
      <c r="D425" s="590" t="s">
        <v>566</v>
      </c>
      <c r="E425" s="576"/>
      <c r="F425" s="588"/>
      <c r="G425" s="576"/>
      <c r="H425" s="615"/>
      <c r="I425" s="596"/>
      <c r="K425" s="685"/>
    </row>
    <row r="426" spans="1:12" s="345" customFormat="1" ht="12.75" hidden="1" customHeight="1" x14ac:dyDescent="0.2">
      <c r="A426" s="572"/>
      <c r="B426" s="586"/>
      <c r="C426" s="587"/>
      <c r="D426" s="590" t="s">
        <v>639</v>
      </c>
      <c r="E426" s="576"/>
      <c r="F426" s="588">
        <v>0</v>
      </c>
      <c r="G426" s="576"/>
      <c r="H426" s="615"/>
      <c r="I426" s="600"/>
      <c r="K426" s="685"/>
    </row>
    <row r="427" spans="1:12" s="345" customFormat="1" ht="12.75" customHeight="1" x14ac:dyDescent="0.2">
      <c r="A427" s="295">
        <f>1+A417</f>
        <v>46</v>
      </c>
      <c r="B427" s="319">
        <v>4091</v>
      </c>
      <c r="C427" s="322" t="s">
        <v>342</v>
      </c>
      <c r="D427" s="605" t="str">
        <f>$D$14</f>
        <v>FTE  Jul 2026</v>
      </c>
      <c r="E427" s="583">
        <f>'4091'!$J$124</f>
        <v>290339.40000000002</v>
      </c>
      <c r="F427" s="606"/>
      <c r="G427" s="583">
        <f>SUBTOTAL(109,E427:F436)</f>
        <v>290339.40000000002</v>
      </c>
      <c r="H427" s="615"/>
      <c r="K427" s="685"/>
      <c r="L427" s="610"/>
    </row>
    <row r="428" spans="1:12" s="345" customFormat="1" ht="12.75" hidden="1" customHeight="1" x14ac:dyDescent="0.2">
      <c r="A428" s="295"/>
      <c r="B428" s="319"/>
      <c r="C428" s="322"/>
      <c r="D428" s="251" t="s">
        <v>576</v>
      </c>
      <c r="E428" s="583"/>
      <c r="F428" s="606"/>
      <c r="G428" s="583"/>
      <c r="H428" s="615"/>
      <c r="K428" s="685"/>
    </row>
    <row r="429" spans="1:12" s="345" customFormat="1" ht="12.75" hidden="1" customHeight="1" x14ac:dyDescent="0.2">
      <c r="A429" s="295"/>
      <c r="B429" s="603"/>
      <c r="C429" s="604"/>
      <c r="D429" s="608" t="s">
        <v>554</v>
      </c>
      <c r="E429" s="583"/>
      <c r="F429" s="606"/>
      <c r="G429" s="583"/>
      <c r="H429" s="615"/>
      <c r="I429" s="603"/>
      <c r="K429" s="685"/>
    </row>
    <row r="430" spans="1:12" s="345" customFormat="1" ht="12.75" hidden="1" customHeight="1" x14ac:dyDescent="0.2">
      <c r="A430" s="295"/>
      <c r="B430" s="319"/>
      <c r="C430" s="322"/>
      <c r="D430" s="251" t="s">
        <v>555</v>
      </c>
      <c r="E430" s="583"/>
      <c r="F430" s="606"/>
      <c r="G430" s="583"/>
      <c r="H430" s="615"/>
      <c r="I430" s="603"/>
      <c r="K430" s="685"/>
    </row>
    <row r="431" spans="1:12" s="345" customFormat="1" ht="12.75" hidden="1" customHeight="1" x14ac:dyDescent="0.2">
      <c r="A431" s="295"/>
      <c r="B431" s="319"/>
      <c r="C431" s="322"/>
      <c r="D431" s="251" t="s">
        <v>556</v>
      </c>
      <c r="E431" s="583"/>
      <c r="F431" s="606"/>
      <c r="G431" s="583"/>
      <c r="H431" s="615"/>
      <c r="K431" s="685"/>
    </row>
    <row r="432" spans="1:12" s="345" customFormat="1" ht="12.75" hidden="1" customHeight="1" x14ac:dyDescent="0.2">
      <c r="A432" s="295"/>
      <c r="B432" s="319"/>
      <c r="C432" s="322"/>
      <c r="D432" s="251" t="s">
        <v>557</v>
      </c>
      <c r="E432" s="583"/>
      <c r="F432" s="606"/>
      <c r="G432" s="583"/>
      <c r="H432" s="615"/>
      <c r="K432" s="685"/>
    </row>
    <row r="433" spans="1:13" s="345" customFormat="1" ht="12.75" hidden="1" customHeight="1" x14ac:dyDescent="0.2">
      <c r="A433" s="295"/>
      <c r="B433" s="603"/>
      <c r="C433" s="604"/>
      <c r="D433" s="251" t="s">
        <v>558</v>
      </c>
      <c r="E433" s="583"/>
      <c r="F433" s="606"/>
      <c r="G433" s="583"/>
      <c r="H433" s="615"/>
      <c r="K433" s="685"/>
    </row>
    <row r="434" spans="1:13" s="345" customFormat="1" ht="12.75" hidden="1" customHeight="1" x14ac:dyDescent="0.2">
      <c r="A434" s="295"/>
      <c r="B434" s="603"/>
      <c r="C434" s="604"/>
      <c r="D434" s="251" t="s">
        <v>566</v>
      </c>
      <c r="E434" s="583"/>
      <c r="F434" s="606"/>
      <c r="G434" s="583"/>
      <c r="H434" s="615"/>
      <c r="K434" s="685"/>
    </row>
    <row r="435" spans="1:13" s="345" customFormat="1" ht="12.75" hidden="1" customHeight="1" x14ac:dyDescent="0.2">
      <c r="A435" s="295"/>
      <c r="B435" s="603"/>
      <c r="C435" s="604"/>
      <c r="D435" s="612" t="s">
        <v>654</v>
      </c>
      <c r="E435" s="583"/>
      <c r="F435" s="606"/>
      <c r="G435" s="583"/>
      <c r="H435" s="615"/>
      <c r="K435" s="685"/>
    </row>
    <row r="436" spans="1:13" s="345" customFormat="1" ht="12.75" hidden="1" customHeight="1" x14ac:dyDescent="0.2">
      <c r="A436" s="295"/>
      <c r="B436" s="603"/>
      <c r="C436" s="604"/>
      <c r="D436" s="614" t="s">
        <v>575</v>
      </c>
      <c r="E436" s="583"/>
      <c r="F436" s="606"/>
      <c r="G436" s="583"/>
      <c r="H436" s="615"/>
      <c r="K436" s="685"/>
    </row>
    <row r="437" spans="1:13" s="345" customFormat="1" ht="12.75" customHeight="1" x14ac:dyDescent="0.2">
      <c r="A437" s="572">
        <f>1+A427</f>
        <v>47</v>
      </c>
      <c r="B437" s="586">
        <v>4100</v>
      </c>
      <c r="C437" s="587" t="s">
        <v>361</v>
      </c>
      <c r="D437" s="616" t="str">
        <f>$D$14</f>
        <v>FTE  Jul 2026</v>
      </c>
      <c r="E437" s="576">
        <f>'4100'!$J$124</f>
        <v>361399.67</v>
      </c>
      <c r="F437" s="588"/>
      <c r="G437" s="576">
        <f>SUBTOTAL(109,E437:F445)</f>
        <v>361399.67</v>
      </c>
      <c r="H437" s="615"/>
      <c r="K437" s="685"/>
      <c r="M437" s="610"/>
    </row>
    <row r="438" spans="1:13" s="345" customFormat="1" ht="12.75" hidden="1" customHeight="1" x14ac:dyDescent="0.2">
      <c r="A438" s="572"/>
      <c r="B438" s="586"/>
      <c r="C438" s="587"/>
      <c r="D438" s="590" t="s">
        <v>553</v>
      </c>
      <c r="E438" s="576"/>
      <c r="F438" s="588"/>
      <c r="G438" s="576"/>
      <c r="H438" s="615"/>
      <c r="K438" s="685"/>
    </row>
    <row r="439" spans="1:13" s="345" customFormat="1" ht="12.75" hidden="1" customHeight="1" x14ac:dyDescent="0.2">
      <c r="A439" s="572"/>
      <c r="B439" s="586"/>
      <c r="C439" s="587"/>
      <c r="D439" s="591" t="s">
        <v>554</v>
      </c>
      <c r="E439" s="576"/>
      <c r="F439" s="588"/>
      <c r="G439" s="576"/>
      <c r="H439" s="615"/>
      <c r="I439" s="603"/>
      <c r="K439" s="685"/>
    </row>
    <row r="440" spans="1:13" s="345" customFormat="1" ht="12.75" hidden="1" customHeight="1" x14ac:dyDescent="0.2">
      <c r="A440" s="572"/>
      <c r="B440" s="586"/>
      <c r="C440" s="587"/>
      <c r="D440" s="590" t="s">
        <v>555</v>
      </c>
      <c r="E440" s="576"/>
      <c r="F440" s="588"/>
      <c r="G440" s="576"/>
      <c r="H440" s="615"/>
      <c r="K440" s="685"/>
    </row>
    <row r="441" spans="1:13" s="345" customFormat="1" ht="12.75" hidden="1" customHeight="1" x14ac:dyDescent="0.2">
      <c r="A441" s="572"/>
      <c r="B441" s="586"/>
      <c r="C441" s="587"/>
      <c r="D441" s="590" t="s">
        <v>556</v>
      </c>
      <c r="E441" s="576"/>
      <c r="F441" s="588"/>
      <c r="G441" s="576"/>
      <c r="H441" s="615"/>
      <c r="K441" s="685"/>
    </row>
    <row r="442" spans="1:13" s="345" customFormat="1" ht="12.75" hidden="1" customHeight="1" x14ac:dyDescent="0.2">
      <c r="A442" s="572"/>
      <c r="B442" s="586"/>
      <c r="C442" s="587"/>
      <c r="D442" s="590" t="s">
        <v>557</v>
      </c>
      <c r="E442" s="576"/>
      <c r="F442" s="588"/>
      <c r="G442" s="576"/>
      <c r="H442" s="615"/>
      <c r="K442" s="685"/>
    </row>
    <row r="443" spans="1:13" s="345" customFormat="1" ht="12.75" hidden="1" customHeight="1" x14ac:dyDescent="0.2">
      <c r="A443" s="572"/>
      <c r="B443" s="586"/>
      <c r="C443" s="587"/>
      <c r="D443" s="590" t="s">
        <v>558</v>
      </c>
      <c r="E443" s="576"/>
      <c r="F443" s="588"/>
      <c r="G443" s="576"/>
      <c r="H443" s="615"/>
      <c r="I443" s="600"/>
      <c r="K443" s="685"/>
    </row>
    <row r="444" spans="1:13" s="345" customFormat="1" ht="12.75" hidden="1" customHeight="1" x14ac:dyDescent="0.2">
      <c r="A444" s="572"/>
      <c r="B444" s="586"/>
      <c r="C444" s="587"/>
      <c r="D444" s="590" t="s">
        <v>566</v>
      </c>
      <c r="E444" s="576"/>
      <c r="F444" s="588"/>
      <c r="G444" s="576"/>
      <c r="H444" s="615"/>
      <c r="I444" s="596"/>
      <c r="K444" s="685"/>
    </row>
    <row r="445" spans="1:13" s="345" customFormat="1" ht="12.75" hidden="1" customHeight="1" x14ac:dyDescent="0.2">
      <c r="A445" s="572"/>
      <c r="B445" s="586"/>
      <c r="C445" s="587"/>
      <c r="D445" s="590" t="s">
        <v>575</v>
      </c>
      <c r="E445" s="576"/>
      <c r="F445" s="588"/>
      <c r="G445" s="576"/>
      <c r="H445" s="615"/>
      <c r="K445" s="685"/>
    </row>
    <row r="446" spans="1:13" s="345" customFormat="1" ht="12.75" customHeight="1" x14ac:dyDescent="0.2">
      <c r="A446" s="295">
        <f>1+A437</f>
        <v>48</v>
      </c>
      <c r="B446" s="319">
        <v>4102</v>
      </c>
      <c r="C446" s="322" t="s">
        <v>359</v>
      </c>
      <c r="D446" s="605" t="str">
        <f>$D$14</f>
        <v>FTE  Jul 2026</v>
      </c>
      <c r="E446" s="583">
        <f>'4102'!$J$124</f>
        <v>127768.72</v>
      </c>
      <c r="F446" s="606"/>
      <c r="G446" s="583">
        <f>SUBTOTAL(109,E446:F453)</f>
        <v>127768.72</v>
      </c>
      <c r="H446" s="615"/>
      <c r="K446" s="685"/>
    </row>
    <row r="447" spans="1:13" s="345" customFormat="1" ht="12.75" hidden="1" customHeight="1" x14ac:dyDescent="0.2">
      <c r="A447" s="295"/>
      <c r="B447" s="319"/>
      <c r="C447" s="322"/>
      <c r="D447" s="251" t="s">
        <v>576</v>
      </c>
      <c r="E447" s="583"/>
      <c r="F447" s="606">
        <v>0</v>
      </c>
      <c r="G447" s="583"/>
      <c r="H447" s="615"/>
      <c r="K447" s="685"/>
    </row>
    <row r="448" spans="1:13" s="345" customFormat="1" ht="12.75" hidden="1" customHeight="1" x14ac:dyDescent="0.2">
      <c r="A448" s="295"/>
      <c r="B448" s="603"/>
      <c r="C448" s="604"/>
      <c r="D448" s="608"/>
      <c r="E448" s="625"/>
      <c r="F448" s="606"/>
      <c r="G448" s="583"/>
      <c r="H448" s="615"/>
      <c r="K448" s="685"/>
    </row>
    <row r="449" spans="1:11" s="345" customFormat="1" ht="12.75" hidden="1" customHeight="1" x14ac:dyDescent="0.2">
      <c r="A449" s="295"/>
      <c r="B449" s="319"/>
      <c r="C449" s="322"/>
      <c r="D449" s="608" t="s">
        <v>583</v>
      </c>
      <c r="E449" s="583"/>
      <c r="F449" s="606"/>
      <c r="G449" s="583"/>
      <c r="H449" s="615"/>
      <c r="I449" s="603"/>
      <c r="K449" s="685"/>
    </row>
    <row r="450" spans="1:11" s="345" customFormat="1" ht="12.75" hidden="1" customHeight="1" x14ac:dyDescent="0.2">
      <c r="A450" s="295"/>
      <c r="B450" s="319"/>
      <c r="C450" s="322"/>
      <c r="D450" s="251" t="s">
        <v>556</v>
      </c>
      <c r="E450" s="583"/>
      <c r="F450" s="606"/>
      <c r="G450" s="583"/>
      <c r="H450" s="615"/>
      <c r="K450" s="685"/>
    </row>
    <row r="451" spans="1:11" s="345" customFormat="1" ht="12.75" hidden="1" customHeight="1" x14ac:dyDescent="0.2">
      <c r="A451" s="295"/>
      <c r="B451" s="319"/>
      <c r="C451" s="322"/>
      <c r="D451" s="251" t="s">
        <v>557</v>
      </c>
      <c r="E451" s="583"/>
      <c r="F451" s="606"/>
      <c r="G451" s="583"/>
      <c r="H451" s="615"/>
      <c r="K451" s="685"/>
    </row>
    <row r="452" spans="1:11" s="345" customFormat="1" ht="12.75" hidden="1" customHeight="1" x14ac:dyDescent="0.2">
      <c r="A452" s="295"/>
      <c r="B452" s="603"/>
      <c r="C452" s="604"/>
      <c r="D452" s="251" t="s">
        <v>558</v>
      </c>
      <c r="E452" s="583"/>
      <c r="F452" s="606"/>
      <c r="G452" s="583"/>
      <c r="H452" s="615"/>
      <c r="K452" s="685"/>
    </row>
    <row r="453" spans="1:11" s="345" customFormat="1" ht="12.75" hidden="1" customHeight="1" x14ac:dyDescent="0.2">
      <c r="A453" s="295"/>
      <c r="B453" s="603"/>
      <c r="C453" s="604"/>
      <c r="D453" s="612"/>
      <c r="E453" s="583"/>
      <c r="F453" s="606"/>
      <c r="G453" s="583"/>
      <c r="H453" s="615"/>
      <c r="K453" s="685"/>
    </row>
    <row r="454" spans="1:11" s="345" customFormat="1" ht="12" customHeight="1" x14ac:dyDescent="0.2">
      <c r="A454" s="572">
        <f>A446+1</f>
        <v>49</v>
      </c>
      <c r="B454" s="586">
        <v>4103</v>
      </c>
      <c r="C454" s="587" t="s">
        <v>598</v>
      </c>
      <c r="D454" s="616" t="str">
        <f>$D$14</f>
        <v>FTE  Jul 2026</v>
      </c>
      <c r="E454" s="576">
        <f>'4103'!$J$124</f>
        <v>720830.88</v>
      </c>
      <c r="F454" s="588"/>
      <c r="G454" s="576">
        <f>SUBTOTAL(109,E454:F463)</f>
        <v>720830.88</v>
      </c>
      <c r="H454" s="615"/>
      <c r="K454" s="685"/>
    </row>
    <row r="455" spans="1:11" s="345" customFormat="1" ht="12.75" hidden="1" customHeight="1" x14ac:dyDescent="0.2">
      <c r="A455" s="572"/>
      <c r="B455" s="586"/>
      <c r="C455" s="587"/>
      <c r="D455" s="590" t="s">
        <v>553</v>
      </c>
      <c r="E455" s="576"/>
      <c r="F455" s="588"/>
      <c r="G455" s="576"/>
      <c r="H455" s="615"/>
      <c r="K455" s="685"/>
    </row>
    <row r="456" spans="1:11" s="345" customFormat="1" ht="12.75" hidden="1" customHeight="1" x14ac:dyDescent="0.2">
      <c r="A456" s="572"/>
      <c r="B456" s="586"/>
      <c r="C456" s="587"/>
      <c r="D456" s="591" t="s">
        <v>554</v>
      </c>
      <c r="E456" s="576"/>
      <c r="F456" s="588"/>
      <c r="G456" s="576"/>
      <c r="H456" s="615"/>
      <c r="K456" s="685"/>
    </row>
    <row r="457" spans="1:11" s="345" customFormat="1" ht="12.75" hidden="1" customHeight="1" x14ac:dyDescent="0.2">
      <c r="A457" s="572"/>
      <c r="B457" s="586"/>
      <c r="C457" s="587"/>
      <c r="D457" s="591" t="s">
        <v>573</v>
      </c>
      <c r="E457" s="576"/>
      <c r="F457" s="588"/>
      <c r="G457" s="576"/>
      <c r="H457" s="615"/>
      <c r="K457" s="685"/>
    </row>
    <row r="458" spans="1:11" s="345" customFormat="1" ht="12.75" hidden="1" customHeight="1" x14ac:dyDescent="0.2">
      <c r="A458" s="572"/>
      <c r="B458" s="586"/>
      <c r="C458" s="587"/>
      <c r="D458" s="590" t="s">
        <v>555</v>
      </c>
      <c r="E458" s="576"/>
      <c r="F458" s="588"/>
      <c r="G458" s="576"/>
      <c r="H458" s="615"/>
      <c r="I458" s="603"/>
      <c r="K458" s="685"/>
    </row>
    <row r="459" spans="1:11" s="345" customFormat="1" ht="12.75" hidden="1" customHeight="1" x14ac:dyDescent="0.2">
      <c r="A459" s="572"/>
      <c r="B459" s="586"/>
      <c r="C459" s="587"/>
      <c r="D459" s="590" t="s">
        <v>556</v>
      </c>
      <c r="E459" s="576"/>
      <c r="F459" s="588"/>
      <c r="G459" s="576"/>
      <c r="H459" s="615"/>
      <c r="K459" s="685"/>
    </row>
    <row r="460" spans="1:11" s="345" customFormat="1" ht="12.75" hidden="1" customHeight="1" x14ac:dyDescent="0.2">
      <c r="A460" s="572"/>
      <c r="B460" s="586"/>
      <c r="C460" s="587"/>
      <c r="D460" s="590" t="s">
        <v>557</v>
      </c>
      <c r="E460" s="576"/>
      <c r="F460" s="588"/>
      <c r="G460" s="576"/>
      <c r="H460" s="615"/>
      <c r="K460" s="685"/>
    </row>
    <row r="461" spans="1:11" s="345" customFormat="1" ht="12.75" hidden="1" customHeight="1" x14ac:dyDescent="0.2">
      <c r="A461" s="572"/>
      <c r="B461" s="586"/>
      <c r="C461" s="587"/>
      <c r="D461" s="590" t="s">
        <v>558</v>
      </c>
      <c r="E461" s="576"/>
      <c r="F461" s="588"/>
      <c r="G461" s="576"/>
      <c r="H461" s="615"/>
      <c r="I461" s="246"/>
      <c r="K461" s="685"/>
    </row>
    <row r="462" spans="1:11" s="345" customFormat="1" ht="12.75" hidden="1" customHeight="1" x14ac:dyDescent="0.2">
      <c r="A462" s="572"/>
      <c r="B462" s="586"/>
      <c r="C462" s="587"/>
      <c r="D462" s="590" t="s">
        <v>566</v>
      </c>
      <c r="E462" s="576"/>
      <c r="F462" s="588"/>
      <c r="G462" s="576"/>
      <c r="H462" s="615"/>
      <c r="I462" s="600"/>
      <c r="K462" s="685"/>
    </row>
    <row r="463" spans="1:11" s="345" customFormat="1" ht="12.75" hidden="1" customHeight="1" x14ac:dyDescent="0.2">
      <c r="A463" s="572"/>
      <c r="B463" s="586"/>
      <c r="C463" s="587"/>
      <c r="D463" s="590" t="s">
        <v>575</v>
      </c>
      <c r="E463" s="576"/>
      <c r="F463" s="588"/>
      <c r="G463" s="576"/>
      <c r="H463" s="615"/>
      <c r="I463" s="600"/>
      <c r="K463" s="685"/>
    </row>
    <row r="464" spans="1:11" s="345" customFormat="1" ht="12.75" customHeight="1" x14ac:dyDescent="0.2">
      <c r="A464" s="295">
        <f>1+A454</f>
        <v>50</v>
      </c>
      <c r="B464" s="319">
        <v>4111</v>
      </c>
      <c r="C464" s="322" t="s">
        <v>346</v>
      </c>
      <c r="D464" s="605" t="str">
        <f>$D$14</f>
        <v>FTE  Jul 2026</v>
      </c>
      <c r="E464" s="583">
        <f>'4111'!$J$124</f>
        <v>236099.15</v>
      </c>
      <c r="F464" s="606"/>
      <c r="G464" s="583">
        <f>SUBTOTAL(109,E464:F472)</f>
        <v>236099.15</v>
      </c>
      <c r="H464" s="615"/>
      <c r="K464" s="685"/>
    </row>
    <row r="465" spans="1:11" s="345" customFormat="1" ht="12.75" hidden="1" customHeight="1" x14ac:dyDescent="0.2">
      <c r="A465" s="295"/>
      <c r="B465" s="319"/>
      <c r="C465" s="322"/>
      <c r="D465" s="251" t="s">
        <v>576</v>
      </c>
      <c r="E465" s="583"/>
      <c r="F465" s="606"/>
      <c r="G465" s="583"/>
      <c r="H465" s="615"/>
      <c r="K465" s="685"/>
    </row>
    <row r="466" spans="1:11" s="345" customFormat="1" ht="12.75" hidden="1" customHeight="1" x14ac:dyDescent="0.2">
      <c r="A466" s="295"/>
      <c r="B466" s="603"/>
      <c r="C466" s="604"/>
      <c r="D466" s="608" t="s">
        <v>554</v>
      </c>
      <c r="E466" s="583"/>
      <c r="F466" s="606"/>
      <c r="G466" s="583"/>
      <c r="H466" s="615"/>
      <c r="I466" s="603"/>
      <c r="K466" s="685"/>
    </row>
    <row r="467" spans="1:11" s="345" customFormat="1" ht="12.75" hidden="1" customHeight="1" x14ac:dyDescent="0.2">
      <c r="A467" s="295"/>
      <c r="B467" s="319"/>
      <c r="C467" s="322"/>
      <c r="D467" s="251" t="s">
        <v>555</v>
      </c>
      <c r="E467" s="583"/>
      <c r="F467" s="606"/>
      <c r="G467" s="583"/>
      <c r="H467" s="615"/>
      <c r="I467" s="603"/>
      <c r="K467" s="685"/>
    </row>
    <row r="468" spans="1:11" s="345" customFormat="1" ht="12.75" hidden="1" customHeight="1" x14ac:dyDescent="0.2">
      <c r="A468" s="295"/>
      <c r="B468" s="319"/>
      <c r="C468" s="322"/>
      <c r="D468" s="251" t="s">
        <v>556</v>
      </c>
      <c r="E468" s="583"/>
      <c r="F468" s="606"/>
      <c r="G468" s="583"/>
      <c r="H468" s="615"/>
      <c r="K468" s="685"/>
    </row>
    <row r="469" spans="1:11" s="345" customFormat="1" ht="12.75" hidden="1" customHeight="1" x14ac:dyDescent="0.2">
      <c r="A469" s="295"/>
      <c r="B469" s="319"/>
      <c r="C469" s="322"/>
      <c r="D469" s="251" t="s">
        <v>557</v>
      </c>
      <c r="E469" s="583"/>
      <c r="F469" s="606"/>
      <c r="G469" s="583"/>
      <c r="H469" s="615"/>
      <c r="K469" s="685"/>
    </row>
    <row r="470" spans="1:11" s="345" customFormat="1" ht="12.75" hidden="1" customHeight="1" x14ac:dyDescent="0.2">
      <c r="A470" s="295"/>
      <c r="B470" s="603"/>
      <c r="C470" s="604"/>
      <c r="D470" s="251" t="s">
        <v>558</v>
      </c>
      <c r="E470" s="583"/>
      <c r="F470" s="606"/>
      <c r="G470" s="583"/>
      <c r="H470" s="615"/>
      <c r="K470" s="685"/>
    </row>
    <row r="471" spans="1:11" s="345" customFormat="1" hidden="1" x14ac:dyDescent="0.2">
      <c r="A471" s="295"/>
      <c r="B471" s="603"/>
      <c r="C471" s="604"/>
      <c r="D471" s="251" t="s">
        <v>566</v>
      </c>
      <c r="E471" s="583"/>
      <c r="F471" s="606"/>
      <c r="G471" s="583"/>
      <c r="H471" s="615"/>
      <c r="K471" s="685"/>
    </row>
    <row r="472" spans="1:11" s="345" customFormat="1" hidden="1" x14ac:dyDescent="0.2">
      <c r="A472" s="295"/>
      <c r="B472" s="603"/>
      <c r="C472" s="604"/>
      <c r="D472" s="612" t="s">
        <v>575</v>
      </c>
      <c r="E472" s="583"/>
      <c r="F472" s="606"/>
      <c r="G472" s="583"/>
      <c r="H472" s="615"/>
      <c r="K472" s="685"/>
    </row>
    <row r="473" spans="1:11" s="345" customFormat="1" ht="12.75" customHeight="1" x14ac:dyDescent="0.2">
      <c r="A473" s="572">
        <f>1+A464</f>
        <v>51</v>
      </c>
      <c r="B473" s="626">
        <v>4131</v>
      </c>
      <c r="C473" s="627" t="s">
        <v>347</v>
      </c>
      <c r="D473" s="616" t="str">
        <f>$D$14</f>
        <v>FTE  Jul 2026</v>
      </c>
      <c r="E473" s="576">
        <f>'4131'!$J$124</f>
        <v>85501.6</v>
      </c>
      <c r="F473" s="588"/>
      <c r="G473" s="576">
        <f>SUBTOTAL(109,E473:F481)</f>
        <v>85501.6</v>
      </c>
      <c r="H473" s="615"/>
      <c r="K473" s="685"/>
    </row>
    <row r="474" spans="1:11" s="345" customFormat="1" ht="12.75" hidden="1" customHeight="1" x14ac:dyDescent="0.2">
      <c r="A474" s="572"/>
      <c r="B474" s="626"/>
      <c r="C474" s="627"/>
      <c r="D474" s="590" t="s">
        <v>553</v>
      </c>
      <c r="E474" s="576"/>
      <c r="F474" s="588"/>
      <c r="G474" s="576"/>
      <c r="H474" s="615"/>
      <c r="K474" s="685"/>
    </row>
    <row r="475" spans="1:11" s="345" customFormat="1" ht="12.75" hidden="1" customHeight="1" x14ac:dyDescent="0.2">
      <c r="A475" s="572"/>
      <c r="B475" s="586"/>
      <c r="C475" s="587"/>
      <c r="D475" s="591" t="s">
        <v>597</v>
      </c>
      <c r="E475" s="576"/>
      <c r="F475" s="588"/>
      <c r="G475" s="576"/>
      <c r="H475" s="615"/>
      <c r="K475" s="685"/>
    </row>
    <row r="476" spans="1:11" s="345" customFormat="1" ht="12.75" hidden="1" customHeight="1" x14ac:dyDescent="0.2">
      <c r="A476" s="572"/>
      <c r="B476" s="626"/>
      <c r="C476" s="627"/>
      <c r="D476" s="590" t="s">
        <v>555</v>
      </c>
      <c r="E476" s="576"/>
      <c r="F476" s="588"/>
      <c r="G476" s="576"/>
      <c r="H476" s="615"/>
      <c r="I476" s="603"/>
      <c r="K476" s="685"/>
    </row>
    <row r="477" spans="1:11" s="345" customFormat="1" ht="12.75" hidden="1" customHeight="1" x14ac:dyDescent="0.2">
      <c r="A477" s="572"/>
      <c r="B477" s="626"/>
      <c r="C477" s="627"/>
      <c r="D477" s="590" t="s">
        <v>556</v>
      </c>
      <c r="E477" s="576"/>
      <c r="F477" s="588"/>
      <c r="G477" s="576"/>
      <c r="H477" s="615"/>
      <c r="K477" s="685"/>
    </row>
    <row r="478" spans="1:11" s="345" customFormat="1" ht="12.75" hidden="1" customHeight="1" x14ac:dyDescent="0.2">
      <c r="A478" s="572"/>
      <c r="B478" s="626"/>
      <c r="C478" s="627"/>
      <c r="D478" s="590" t="s">
        <v>557</v>
      </c>
      <c r="E478" s="576"/>
      <c r="F478" s="588"/>
      <c r="G478" s="576"/>
      <c r="H478" s="615"/>
      <c r="K478" s="685"/>
    </row>
    <row r="479" spans="1:11" s="345" customFormat="1" ht="12.75" hidden="1" customHeight="1" x14ac:dyDescent="0.2">
      <c r="A479" s="572"/>
      <c r="B479" s="586"/>
      <c r="C479" s="587"/>
      <c r="D479" s="590" t="s">
        <v>558</v>
      </c>
      <c r="E479" s="576"/>
      <c r="F479" s="588"/>
      <c r="G479" s="576"/>
      <c r="H479" s="615"/>
      <c r="I479" s="246"/>
      <c r="K479" s="685"/>
    </row>
    <row r="480" spans="1:11" s="345" customFormat="1" ht="12.75" hidden="1" customHeight="1" x14ac:dyDescent="0.2">
      <c r="A480" s="572"/>
      <c r="B480" s="586"/>
      <c r="C480" s="587"/>
      <c r="D480" s="590" t="s">
        <v>566</v>
      </c>
      <c r="E480" s="576"/>
      <c r="F480" s="588"/>
      <c r="G480" s="576"/>
      <c r="H480" s="615"/>
      <c r="I480" s="600"/>
      <c r="K480" s="685"/>
    </row>
    <row r="481" spans="1:11" s="345" customFormat="1" ht="12.75" hidden="1" customHeight="1" x14ac:dyDescent="0.2">
      <c r="A481" s="572"/>
      <c r="B481" s="586"/>
      <c r="C481" s="587"/>
      <c r="D481" s="619" t="s">
        <v>575</v>
      </c>
      <c r="E481" s="576"/>
      <c r="F481" s="588"/>
      <c r="G481" s="576"/>
      <c r="H481" s="615"/>
      <c r="I481" s="596"/>
      <c r="K481" s="685"/>
    </row>
    <row r="482" spans="1:11" s="345" customFormat="1" ht="12.75" customHeight="1" x14ac:dyDescent="0.2">
      <c r="A482" s="295"/>
      <c r="B482" s="749"/>
      <c r="C482" s="750"/>
      <c r="D482" s="605"/>
      <c r="E482" s="583">
        <f>'4141'!$J$124</f>
        <v>0</v>
      </c>
      <c r="F482" s="606"/>
      <c r="G482" s="710">
        <f>E482</f>
        <v>0</v>
      </c>
      <c r="H482" s="615"/>
      <c r="I482" s="596"/>
      <c r="K482" s="685"/>
    </row>
    <row r="483" spans="1:11" s="345" customFormat="1" ht="12.75" customHeight="1" x14ac:dyDescent="0.2">
      <c r="A483" s="247"/>
      <c r="B483" s="246"/>
      <c r="C483" s="246"/>
      <c r="D483" s="628"/>
      <c r="E483" s="246"/>
      <c r="F483" s="629"/>
      <c r="G483" s="246"/>
      <c r="H483" s="615"/>
      <c r="I483" s="596"/>
    </row>
    <row r="484" spans="1:11" s="345" customFormat="1" ht="12.75" customHeight="1" thickBot="1" x14ac:dyDescent="0.25">
      <c r="A484" s="246"/>
      <c r="B484" s="567"/>
      <c r="C484" s="563"/>
      <c r="D484" s="628" t="s">
        <v>599</v>
      </c>
      <c r="E484" s="630">
        <f>SUBTOTAL(109,E5:E483)</f>
        <v>18000576.57</v>
      </c>
      <c r="F484" s="630">
        <f>SUBTOTAL(109,F5:F483)</f>
        <v>-129114.23</v>
      </c>
      <c r="G484" s="630">
        <f>ROUND(SUM(G5:G483),2)</f>
        <v>17871462.34</v>
      </c>
      <c r="H484" s="615"/>
    </row>
    <row r="485" spans="1:11" s="345" customFormat="1" ht="12.75" customHeight="1" thickTop="1" x14ac:dyDescent="0.2">
      <c r="A485" s="246"/>
      <c r="B485" s="567"/>
      <c r="C485" s="563"/>
      <c r="D485" s="246"/>
      <c r="E485" s="246"/>
      <c r="F485" s="560"/>
      <c r="G485" s="310">
        <f>ROUND(G484-E484-F484,2)</f>
        <v>0</v>
      </c>
      <c r="H485" s="615"/>
    </row>
    <row r="486" spans="1:11" s="345" customFormat="1" ht="12.75" customHeight="1" x14ac:dyDescent="0.2">
      <c r="A486" s="246"/>
      <c r="B486" s="567"/>
      <c r="C486" s="563"/>
      <c r="D486" s="246"/>
      <c r="E486" s="246"/>
      <c r="F486" s="560"/>
      <c r="G486" s="246"/>
      <c r="H486" s="615"/>
      <c r="I486" s="603"/>
    </row>
    <row r="487" spans="1:11" s="345" customFormat="1" ht="12.75" customHeight="1" x14ac:dyDescent="0.2">
      <c r="A487" s="246"/>
      <c r="B487" s="567"/>
      <c r="C487" s="563"/>
      <c r="D487" s="246"/>
      <c r="E487" s="246"/>
      <c r="F487" s="560"/>
      <c r="G487" s="246"/>
      <c r="H487" s="615"/>
    </row>
    <row r="488" spans="1:11" s="345" customFormat="1" ht="12.75" customHeight="1" x14ac:dyDescent="0.2">
      <c r="A488" s="246"/>
      <c r="B488" s="567"/>
      <c r="C488" s="563"/>
      <c r="D488" s="246"/>
      <c r="E488" s="246"/>
      <c r="F488" s="560"/>
      <c r="G488" s="246"/>
      <c r="H488" s="615"/>
    </row>
    <row r="489" spans="1:11" s="345" customFormat="1" ht="12.75" customHeight="1" x14ac:dyDescent="0.2">
      <c r="A489" s="246"/>
      <c r="B489" s="567"/>
      <c r="C489" s="563"/>
      <c r="D489" s="246"/>
      <c r="E489" s="246"/>
      <c r="F489" s="560"/>
      <c r="G489" s="246"/>
      <c r="H489" s="615"/>
      <c r="I489" s="246"/>
    </row>
    <row r="490" spans="1:11" s="345" customFormat="1" ht="12.75" customHeight="1" x14ac:dyDescent="0.2">
      <c r="A490" s="246"/>
      <c r="B490" s="567"/>
      <c r="C490" s="563"/>
      <c r="D490" s="246"/>
      <c r="E490" s="246"/>
      <c r="F490" s="560"/>
      <c r="G490" s="246"/>
      <c r="H490" s="615"/>
      <c r="I490" s="600"/>
    </row>
    <row r="491" spans="1:11" s="345" customFormat="1" ht="12.75" customHeight="1" x14ac:dyDescent="0.2">
      <c r="A491" s="631"/>
      <c r="B491" s="567"/>
      <c r="C491" s="352"/>
      <c r="D491" s="631" t="s">
        <v>600</v>
      </c>
      <c r="E491" s="310">
        <f>Consolidated!I159</f>
        <v>18000576.57</v>
      </c>
      <c r="F491" s="560"/>
      <c r="G491" s="310">
        <f>E491+F491</f>
        <v>18000576.57</v>
      </c>
      <c r="H491" s="615"/>
      <c r="I491" s="596"/>
    </row>
    <row r="492" spans="1:11" s="345" customFormat="1" ht="12.75" customHeight="1" x14ac:dyDescent="0.2">
      <c r="A492" s="246"/>
      <c r="B492" s="246"/>
      <c r="C492" s="246"/>
      <c r="D492" s="632" t="s">
        <v>553</v>
      </c>
      <c r="E492" s="246"/>
      <c r="F492" s="589">
        <f>F474+F465+F455+F438+F428+F418+F409+F402+F393+F384+F377+F366+F356+F346+F337+F328+F320+F310+F301+F285+F293+F275+F265+F256+F246+F235+F227+F216+F208+F201+F193+F185+F175+F157+F148+F140++F123+F112+F102+F94+F83+F82+F75+F57+F15+F6+F11+F138</f>
        <v>0</v>
      </c>
      <c r="G492" s="310">
        <f t="shared" ref="G492:G513" si="0">E492+F492</f>
        <v>0</v>
      </c>
      <c r="H492" s="615"/>
      <c r="I492" s="633"/>
    </row>
    <row r="493" spans="1:11" ht="12.75" hidden="1" customHeight="1" x14ac:dyDescent="0.2">
      <c r="D493" s="608" t="s">
        <v>554</v>
      </c>
      <c r="F493" s="589">
        <f t="shared" ref="F493:F511" si="1">SUM(SUMIF(D$14:D$483,D493,F$14:F$483))</f>
        <v>0</v>
      </c>
      <c r="G493" s="310">
        <f t="shared" si="0"/>
        <v>0</v>
      </c>
      <c r="H493" s="620"/>
    </row>
    <row r="494" spans="1:11" ht="12.75" hidden="1" customHeight="1" x14ac:dyDescent="0.2">
      <c r="D494" s="632" t="s">
        <v>577</v>
      </c>
      <c r="F494" s="589">
        <f t="shared" si="1"/>
        <v>0</v>
      </c>
      <c r="G494" s="310">
        <f t="shared" si="0"/>
        <v>0</v>
      </c>
    </row>
    <row r="495" spans="1:11" ht="12.75" hidden="1" customHeight="1" x14ac:dyDescent="0.2">
      <c r="D495" s="632" t="s">
        <v>587</v>
      </c>
      <c r="F495" s="589">
        <f t="shared" si="1"/>
        <v>0</v>
      </c>
      <c r="G495" s="310">
        <f t="shared" si="0"/>
        <v>0</v>
      </c>
    </row>
    <row r="496" spans="1:11" ht="12.75" hidden="1" customHeight="1" x14ac:dyDescent="0.2">
      <c r="D496" s="634" t="s">
        <v>573</v>
      </c>
      <c r="F496" s="589">
        <f t="shared" si="1"/>
        <v>0</v>
      </c>
      <c r="G496" s="310">
        <f t="shared" si="0"/>
        <v>0</v>
      </c>
    </row>
    <row r="497" spans="1:10" ht="12.75" hidden="1" customHeight="1" x14ac:dyDescent="0.2">
      <c r="D497" s="632" t="s">
        <v>555</v>
      </c>
      <c r="F497" s="589">
        <f t="shared" si="1"/>
        <v>0</v>
      </c>
      <c r="G497" s="310">
        <f t="shared" si="0"/>
        <v>0</v>
      </c>
    </row>
    <row r="498" spans="1:10" ht="12.75" hidden="1" customHeight="1" x14ac:dyDescent="0.2">
      <c r="D498" s="632" t="s">
        <v>579</v>
      </c>
      <c r="F498" s="589">
        <f t="shared" si="1"/>
        <v>0</v>
      </c>
      <c r="G498" s="310">
        <f t="shared" si="0"/>
        <v>0</v>
      </c>
    </row>
    <row r="499" spans="1:10" ht="12.75" hidden="1" customHeight="1" x14ac:dyDescent="0.2">
      <c r="D499" s="246" t="s">
        <v>557</v>
      </c>
      <c r="F499" s="589">
        <f t="shared" si="1"/>
        <v>0</v>
      </c>
      <c r="G499" s="310">
        <f t="shared" si="0"/>
        <v>0</v>
      </c>
    </row>
    <row r="500" spans="1:10" ht="12.75" hidden="1" customHeight="1" x14ac:dyDescent="0.2">
      <c r="A500" s="295"/>
      <c r="B500" s="603"/>
      <c r="C500" s="604"/>
      <c r="D500" s="632" t="s">
        <v>558</v>
      </c>
      <c r="E500" s="583"/>
      <c r="F500" s="589">
        <f t="shared" si="1"/>
        <v>0</v>
      </c>
      <c r="G500" s="310">
        <f t="shared" si="0"/>
        <v>0</v>
      </c>
    </row>
    <row r="501" spans="1:10" ht="12.75" hidden="1" customHeight="1" x14ac:dyDescent="0.2">
      <c r="D501" s="635" t="s">
        <v>601</v>
      </c>
      <c r="F501" s="589">
        <f t="shared" si="1"/>
        <v>0</v>
      </c>
      <c r="G501" s="310">
        <f t="shared" si="0"/>
        <v>0</v>
      </c>
      <c r="J501" s="310"/>
    </row>
    <row r="502" spans="1:10" ht="12.75" customHeight="1" x14ac:dyDescent="0.2">
      <c r="D502" s="635" t="s">
        <v>559</v>
      </c>
      <c r="F502" s="589">
        <f t="shared" si="1"/>
        <v>-97617.78</v>
      </c>
      <c r="G502" s="310">
        <f t="shared" si="0"/>
        <v>-97617.78</v>
      </c>
      <c r="J502" s="310"/>
    </row>
    <row r="503" spans="1:10" ht="12.75" customHeight="1" x14ac:dyDescent="0.2">
      <c r="D503" s="246" t="s">
        <v>560</v>
      </c>
      <c r="F503" s="589">
        <f t="shared" si="1"/>
        <v>-28444.44</v>
      </c>
      <c r="G503" s="310">
        <f t="shared" si="0"/>
        <v>-28444.44</v>
      </c>
      <c r="J503" s="310"/>
    </row>
    <row r="504" spans="1:10" ht="12.75" customHeight="1" x14ac:dyDescent="0.2">
      <c r="D504" s="246" t="s">
        <v>561</v>
      </c>
      <c r="F504" s="589">
        <f t="shared" si="1"/>
        <v>-546.79999999999995</v>
      </c>
      <c r="G504" s="310">
        <f t="shared" si="0"/>
        <v>-546.79999999999995</v>
      </c>
      <c r="J504" s="310"/>
    </row>
    <row r="505" spans="1:10" ht="12.75" customHeight="1" x14ac:dyDescent="0.2">
      <c r="D505" s="352" t="s">
        <v>562</v>
      </c>
      <c r="F505" s="589">
        <f t="shared" si="1"/>
        <v>-188.96</v>
      </c>
      <c r="G505" s="310">
        <f t="shared" si="0"/>
        <v>-188.96</v>
      </c>
    </row>
    <row r="506" spans="1:10" ht="12.75" customHeight="1" x14ac:dyDescent="0.2">
      <c r="D506" s="246" t="s">
        <v>563</v>
      </c>
      <c r="F506" s="589">
        <f t="shared" si="1"/>
        <v>-180</v>
      </c>
      <c r="G506" s="310">
        <f>E506+F506</f>
        <v>-180</v>
      </c>
      <c r="J506" s="310"/>
    </row>
    <row r="507" spans="1:10" ht="12.75" hidden="1" customHeight="1" x14ac:dyDescent="0.2">
      <c r="D507" s="352" t="s">
        <v>583</v>
      </c>
      <c r="F507" s="589">
        <f t="shared" si="1"/>
        <v>0</v>
      </c>
      <c r="G507" s="310">
        <f>E507+F507</f>
        <v>0</v>
      </c>
      <c r="J507" s="310"/>
    </row>
    <row r="508" spans="1:10" ht="12.75" hidden="1" customHeight="1" x14ac:dyDescent="0.2">
      <c r="A508" s="295"/>
      <c r="B508" s="603"/>
      <c r="C508" s="604"/>
      <c r="D508" s="632" t="s">
        <v>580</v>
      </c>
      <c r="E508" s="583"/>
      <c r="F508" s="589">
        <f t="shared" si="1"/>
        <v>0</v>
      </c>
      <c r="G508" s="310">
        <f t="shared" si="0"/>
        <v>0</v>
      </c>
    </row>
    <row r="509" spans="1:10" ht="12.75" hidden="1" customHeight="1" x14ac:dyDescent="0.2">
      <c r="D509" s="352" t="s">
        <v>584</v>
      </c>
      <c r="F509" s="589">
        <f t="shared" si="1"/>
        <v>0</v>
      </c>
      <c r="G509" s="310">
        <f t="shared" si="0"/>
        <v>0</v>
      </c>
    </row>
    <row r="510" spans="1:10" ht="12.75" hidden="1" customHeight="1" x14ac:dyDescent="0.2">
      <c r="D510" s="352" t="s">
        <v>565</v>
      </c>
      <c r="F510" s="589">
        <f t="shared" si="1"/>
        <v>0</v>
      </c>
      <c r="G510" s="310">
        <f t="shared" si="0"/>
        <v>0</v>
      </c>
    </row>
    <row r="511" spans="1:10" s="345" customFormat="1" ht="12.75" hidden="1" customHeight="1" x14ac:dyDescent="0.2">
      <c r="A511" s="246"/>
      <c r="B511" s="246"/>
      <c r="C511" s="246"/>
      <c r="D511" s="352" t="s">
        <v>566</v>
      </c>
      <c r="E511" s="246"/>
      <c r="F511" s="589">
        <f t="shared" si="1"/>
        <v>0</v>
      </c>
      <c r="G511" s="310">
        <f t="shared" si="0"/>
        <v>0</v>
      </c>
      <c r="H511" s="615"/>
      <c r="I511" s="600"/>
    </row>
    <row r="512" spans="1:10" ht="12.75" customHeight="1" x14ac:dyDescent="0.2">
      <c r="D512" s="632" t="s">
        <v>602</v>
      </c>
      <c r="F512" s="636">
        <f>SUM(SUMIF(D$14:D$483,"*WPB*",F$14:F$483))</f>
        <v>-2136.25</v>
      </c>
      <c r="G512" s="310">
        <f t="shared" si="0"/>
        <v>-2136.25</v>
      </c>
    </row>
    <row r="513" spans="1:9" ht="12.75" hidden="1" customHeight="1" x14ac:dyDescent="0.2">
      <c r="D513" s="632" t="s">
        <v>574</v>
      </c>
      <c r="F513" s="636">
        <f>SUM(SUMIF(D$14:D$483,"*FEFP ADJ*",F$14:F$483))</f>
        <v>0</v>
      </c>
      <c r="G513" s="310">
        <f t="shared" si="0"/>
        <v>0</v>
      </c>
    </row>
    <row r="514" spans="1:9" ht="12.75" customHeight="1" x14ac:dyDescent="0.2">
      <c r="D514" s="632"/>
      <c r="F514" s="636"/>
      <c r="G514" s="310"/>
    </row>
    <row r="515" spans="1:9" ht="12.75" customHeight="1" thickBot="1" x14ac:dyDescent="0.25">
      <c r="D515" s="637" t="s">
        <v>603</v>
      </c>
      <c r="E515" s="630">
        <f>SUM(E491:E513)</f>
        <v>18000576.57</v>
      </c>
      <c r="F515" s="630">
        <f>SUM(F491:F513)</f>
        <v>-129114.23000000001</v>
      </c>
      <c r="G515" s="630">
        <f>SUM(G491:G514)</f>
        <v>17871462.339999996</v>
      </c>
    </row>
    <row r="516" spans="1:9" ht="12.75" customHeight="1" thickTop="1" x14ac:dyDescent="0.2">
      <c r="D516" s="637"/>
      <c r="E516" s="310"/>
      <c r="F516" s="310"/>
      <c r="G516" s="310"/>
    </row>
    <row r="517" spans="1:9" ht="12.75" customHeight="1" x14ac:dyDescent="0.2">
      <c r="D517" s="637"/>
      <c r="E517" s="310"/>
      <c r="F517" s="310">
        <f>F515-F484</f>
        <v>0</v>
      </c>
      <c r="G517" s="310">
        <f>G484-G515</f>
        <v>0</v>
      </c>
    </row>
    <row r="518" spans="1:9" ht="12" customHeight="1" x14ac:dyDescent="0.2">
      <c r="D518" s="637"/>
      <c r="E518" s="310"/>
      <c r="F518" s="310"/>
      <c r="G518" s="310"/>
    </row>
    <row r="519" spans="1:9" ht="12.75" customHeight="1" thickBot="1" x14ac:dyDescent="0.25">
      <c r="E519" s="310"/>
      <c r="F519" s="310"/>
      <c r="G519" s="310"/>
    </row>
    <row r="520" spans="1:9" ht="12.75" customHeight="1" thickBot="1" x14ac:dyDescent="0.25">
      <c r="C520" s="863" t="s">
        <v>551</v>
      </c>
      <c r="D520" s="864"/>
      <c r="E520" s="864"/>
      <c r="F520" s="864"/>
      <c r="G520" s="865"/>
    </row>
    <row r="521" spans="1:9" s="345" customFormat="1" ht="12.75" customHeight="1" x14ac:dyDescent="0.2">
      <c r="A521" s="246"/>
      <c r="B521" s="246"/>
      <c r="C521" s="693"/>
      <c r="D521" s="694"/>
      <c r="E521" s="694"/>
      <c r="F521" s="694"/>
      <c r="G521" s="638"/>
      <c r="H521" s="615"/>
      <c r="I521" s="246"/>
    </row>
    <row r="522" spans="1:9" ht="12.75" customHeight="1" x14ac:dyDescent="0.2">
      <c r="C522" s="639" t="s">
        <v>643</v>
      </c>
      <c r="D522" s="695"/>
      <c r="E522" s="695"/>
      <c r="F522" s="696"/>
      <c r="G522" s="640"/>
    </row>
    <row r="523" spans="1:9" ht="12.75" customHeight="1" x14ac:dyDescent="0.2">
      <c r="C523" s="641" t="s">
        <v>615</v>
      </c>
      <c r="D523" s="695"/>
      <c r="E523" s="695"/>
      <c r="F523" s="696"/>
      <c r="G523" s="640"/>
    </row>
    <row r="524" spans="1:9" ht="12.75" customHeight="1" x14ac:dyDescent="0.2">
      <c r="C524" s="641"/>
      <c r="D524" s="696"/>
      <c r="E524" s="696"/>
      <c r="F524" s="696"/>
      <c r="G524" s="640"/>
    </row>
    <row r="525" spans="1:9" ht="12.75" customHeight="1" x14ac:dyDescent="0.2">
      <c r="C525" s="642" t="s">
        <v>662</v>
      </c>
      <c r="D525" s="697"/>
      <c r="E525" s="697"/>
      <c r="F525" s="697"/>
      <c r="G525" s="643"/>
      <c r="H525" s="644"/>
      <c r="I525" s="345"/>
    </row>
    <row r="526" spans="1:9" ht="12.75" customHeight="1" x14ac:dyDescent="0.2">
      <c r="C526" s="645" t="s">
        <v>604</v>
      </c>
      <c r="D526" s="697"/>
      <c r="E526" s="697"/>
      <c r="F526" s="697"/>
      <c r="G526" s="643"/>
      <c r="H526" s="644"/>
      <c r="I526" s="345"/>
    </row>
    <row r="527" spans="1:9" ht="12.75" customHeight="1" x14ac:dyDescent="0.2">
      <c r="C527" s="646"/>
      <c r="D527" s="698"/>
      <c r="E527" s="698"/>
      <c r="F527" s="698"/>
      <c r="G527" s="647"/>
      <c r="H527" s="644"/>
      <c r="I527" s="345"/>
    </row>
    <row r="528" spans="1:9" ht="12.75" customHeight="1" x14ac:dyDescent="0.2">
      <c r="C528" s="639" t="s">
        <v>661</v>
      </c>
      <c r="D528" s="698"/>
      <c r="E528" s="698"/>
      <c r="F528" s="698"/>
      <c r="G528" s="647"/>
      <c r="H528" s="644"/>
      <c r="I528" s="345"/>
    </row>
    <row r="529" spans="3:9" ht="12.75" customHeight="1" x14ac:dyDescent="0.2">
      <c r="C529" s="641" t="s">
        <v>605</v>
      </c>
      <c r="D529" s="698"/>
      <c r="E529" s="698"/>
      <c r="F529" s="698"/>
      <c r="G529" s="647"/>
      <c r="H529" s="644"/>
      <c r="I529" s="345"/>
    </row>
    <row r="530" spans="3:9" ht="12.75" customHeight="1" x14ac:dyDescent="0.2">
      <c r="C530" s="646"/>
      <c r="D530" s="698"/>
      <c r="E530" s="698"/>
      <c r="F530" s="698"/>
      <c r="G530" s="647"/>
      <c r="H530" s="644"/>
      <c r="I530" s="345"/>
    </row>
    <row r="531" spans="3:9" ht="12.75" customHeight="1" x14ac:dyDescent="0.2">
      <c r="C531" s="690" t="s">
        <v>640</v>
      </c>
      <c r="D531" s="699"/>
      <c r="E531" s="699"/>
      <c r="F531" s="699"/>
      <c r="G531" s="647"/>
      <c r="H531" s="644"/>
      <c r="I531" s="345"/>
    </row>
    <row r="532" spans="3:9" ht="12.75" customHeight="1" x14ac:dyDescent="0.2">
      <c r="C532" s="691"/>
      <c r="D532" s="699"/>
      <c r="E532" s="699"/>
      <c r="F532" s="699"/>
      <c r="G532" s="647"/>
      <c r="H532" s="644"/>
      <c r="I532" s="345"/>
    </row>
    <row r="533" spans="3:9" ht="12.75" customHeight="1" x14ac:dyDescent="0.2">
      <c r="C533" s="639"/>
      <c r="D533" s="699"/>
      <c r="E533" s="699"/>
      <c r="F533" s="699"/>
      <c r="G533" s="647"/>
      <c r="H533" s="644"/>
      <c r="I533" s="345"/>
    </row>
    <row r="534" spans="3:9" ht="14.25" customHeight="1" x14ac:dyDescent="0.2">
      <c r="C534" s="691"/>
      <c r="D534" s="699"/>
      <c r="E534" s="699"/>
      <c r="F534" s="699"/>
      <c r="G534" s="647"/>
      <c r="H534" s="644"/>
      <c r="I534" s="345"/>
    </row>
    <row r="535" spans="3:9" ht="12.75" customHeight="1" x14ac:dyDescent="0.2">
      <c r="C535" s="692"/>
      <c r="D535" s="699"/>
      <c r="E535" s="699"/>
      <c r="F535" s="699"/>
      <c r="G535" s="647"/>
      <c r="H535" s="644"/>
      <c r="I535" s="345"/>
    </row>
    <row r="536" spans="3:9" ht="12.75" customHeight="1" thickBot="1" x14ac:dyDescent="0.25">
      <c r="C536" s="700"/>
      <c r="D536" s="701"/>
      <c r="E536" s="701"/>
      <c r="F536" s="701"/>
      <c r="G536" s="648"/>
      <c r="H536" s="644"/>
      <c r="I536" s="345"/>
    </row>
    <row r="537" spans="3:9" ht="12.75" customHeight="1" x14ac:dyDescent="0.2">
      <c r="H537" s="644"/>
      <c r="I537" s="345"/>
    </row>
    <row r="538" spans="3:9" ht="12.75" customHeight="1" x14ac:dyDescent="0.2">
      <c r="H538" s="644"/>
      <c r="I538" s="345"/>
    </row>
    <row r="539" spans="3:9" ht="12.75" customHeight="1" x14ac:dyDescent="0.2">
      <c r="H539" s="644"/>
      <c r="I539" s="345"/>
    </row>
    <row r="540" spans="3:9" ht="12.75" customHeight="1" x14ac:dyDescent="0.2">
      <c r="H540" s="644"/>
      <c r="I540" s="345"/>
    </row>
    <row r="541" spans="3:9" ht="12.75" customHeight="1" x14ac:dyDescent="0.2">
      <c r="H541" s="644"/>
      <c r="I541" s="345"/>
    </row>
    <row r="542" spans="3:9" ht="12.75" customHeight="1" x14ac:dyDescent="0.2">
      <c r="H542" s="644"/>
      <c r="I542" s="345"/>
    </row>
    <row r="543" spans="3:9" ht="12.75" customHeight="1" x14ac:dyDescent="0.2">
      <c r="H543" s="644"/>
      <c r="I543" s="345"/>
    </row>
    <row r="544" spans="3:9" ht="12.75" customHeight="1" x14ac:dyDescent="0.2">
      <c r="H544" s="644"/>
      <c r="I544" s="345"/>
    </row>
    <row r="545" spans="5:11" ht="12.75" customHeight="1" x14ac:dyDescent="0.2">
      <c r="H545" s="644"/>
      <c r="I545" s="345"/>
    </row>
    <row r="546" spans="5:11" ht="12.75" customHeight="1" x14ac:dyDescent="0.2">
      <c r="H546" s="343"/>
    </row>
    <row r="547" spans="5:11" ht="12.75" customHeight="1" x14ac:dyDescent="0.2">
      <c r="E547" s="280"/>
      <c r="F547" s="246"/>
    </row>
    <row r="548" spans="5:11" ht="12.75" customHeight="1" x14ac:dyDescent="0.2">
      <c r="E548" s="280"/>
      <c r="F548" s="246"/>
    </row>
    <row r="550" spans="5:11" ht="12.75" customHeight="1" x14ac:dyDescent="0.2">
      <c r="K550" s="280"/>
    </row>
    <row r="551" spans="5:11" ht="12.75" customHeight="1" x14ac:dyDescent="0.2">
      <c r="K551" s="280"/>
    </row>
    <row r="557" spans="5:11" ht="12.75" customHeight="1" x14ac:dyDescent="0.2">
      <c r="H557" s="246"/>
    </row>
    <row r="558" spans="5:11" ht="12.75" customHeight="1" x14ac:dyDescent="0.2">
      <c r="H558" s="246"/>
    </row>
  </sheetData>
  <autoFilter ref="A4:G6" xr:uid="{30DE053C-4D73-4891-A977-B0EA2A4A890D}"/>
  <mergeCells count="2">
    <mergeCell ref="F3:G3"/>
    <mergeCell ref="C520:G520"/>
  </mergeCells>
  <phoneticPr fontId="76" type="noConversion"/>
  <conditionalFormatting sqref="A14:A483">
    <cfRule type="cellIs" dxfId="17" priority="1" operator="equal">
      <formula>0</formula>
    </cfRule>
  </conditionalFormatting>
  <conditionalFormatting sqref="A500">
    <cfRule type="cellIs" dxfId="16" priority="2" operator="equal">
      <formula>0</formula>
    </cfRule>
  </conditionalFormatting>
  <conditionalFormatting sqref="A508">
    <cfRule type="cellIs" dxfId="15" priority="7" operator="equal">
      <formula>0</formula>
    </cfRule>
  </conditionalFormatting>
  <conditionalFormatting sqref="H502:H510 H512:H520">
    <cfRule type="cellIs" dxfId="14" priority="5" stopIfTrue="1" operator="notEqual">
      <formula>0</formula>
    </cfRule>
    <cfRule type="cellIs" dxfId="13" priority="6" stopIfTrue="1" operator="equal">
      <formula>0</formula>
    </cfRule>
  </conditionalFormatting>
  <conditionalFormatting sqref="H522:H524">
    <cfRule type="cellIs" dxfId="12" priority="3" stopIfTrue="1" operator="notEqual">
      <formula>0</formula>
    </cfRule>
    <cfRule type="cellIs" dxfId="11" priority="4" stopIfTrue="1" operator="equal">
      <formula>0</formula>
    </cfRule>
  </conditionalFormatting>
  <pageMargins left="1" right="0.1" top="0.5" bottom="0.5" header="0" footer="0.1"/>
  <pageSetup fitToHeight="0" orientation="landscape" r:id="rId1"/>
  <headerFooter>
    <oddFooter>&amp;L&amp;8&amp;Z&amp;F&amp;R&amp;8&amp;P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A0F3A-6B50-409A-8E80-6F5FF3795D01}">
  <dimension ref="A4:Z68"/>
  <sheetViews>
    <sheetView tabSelected="1" workbookViewId="0">
      <pane xSplit="3" ySplit="5" topLeftCell="D33" activePane="bottomRight" state="frozen"/>
      <selection pane="topRight" activeCell="D1" sqref="D1"/>
      <selection pane="bottomLeft" activeCell="A6" sqref="A6"/>
      <selection pane="bottomRight" activeCell="C61" sqref="C61"/>
    </sheetView>
  </sheetViews>
  <sheetFormatPr defaultColWidth="9.140625" defaultRowHeight="12.75" x14ac:dyDescent="0.2"/>
  <cols>
    <col min="1" max="1" width="4" style="246" bestFit="1" customWidth="1"/>
    <col min="2" max="2" width="6" style="246" customWidth="1"/>
    <col min="3" max="3" width="36.28515625" style="246" bestFit="1" customWidth="1"/>
    <col min="4" max="4" width="4" style="247" bestFit="1" customWidth="1"/>
    <col min="5" max="5" width="4.28515625" style="247" bestFit="1" customWidth="1"/>
    <col min="6" max="7" width="9.140625" style="246"/>
    <col min="8" max="8" width="2.7109375" style="246" customWidth="1"/>
    <col min="9" max="9" width="15.140625" style="246" bestFit="1" customWidth="1"/>
    <col min="10" max="11" width="14.5703125" style="246" bestFit="1" customWidth="1"/>
    <col min="12" max="12" width="15.140625" style="246" bestFit="1" customWidth="1"/>
    <col min="13" max="13" width="14.5703125" style="246" bestFit="1" customWidth="1"/>
    <col min="14" max="14" width="2.7109375" style="246" customWidth="1"/>
    <col min="15" max="15" width="10" style="246" bestFit="1" customWidth="1"/>
    <col min="16" max="16" width="2.7109375" style="246" customWidth="1"/>
    <col min="17" max="17" width="11" style="325" bestFit="1" customWidth="1"/>
    <col min="18" max="18" width="9.5703125" style="325" bestFit="1" customWidth="1"/>
    <col min="19" max="19" width="11" style="325" bestFit="1" customWidth="1"/>
    <col min="20" max="20" width="2.7109375" style="246" customWidth="1"/>
    <col min="21" max="21" width="10.140625" style="246" customWidth="1"/>
    <col min="22" max="22" width="11" style="246" bestFit="1" customWidth="1"/>
    <col min="23" max="23" width="10" style="246" bestFit="1" customWidth="1"/>
    <col min="24" max="24" width="9.140625" style="246"/>
    <col min="25" max="25" width="11" style="246" bestFit="1" customWidth="1"/>
    <col min="26" max="26" width="13.5703125" style="246" customWidth="1"/>
    <col min="27" max="16384" width="9.140625" style="246"/>
  </cols>
  <sheetData>
    <row r="4" spans="1:26" x14ac:dyDescent="0.2">
      <c r="D4" s="291"/>
      <c r="E4" s="293">
        <v>0.75</v>
      </c>
      <c r="F4" s="291" t="s">
        <v>251</v>
      </c>
      <c r="G4" s="291" t="s">
        <v>252</v>
      </c>
      <c r="H4" s="294"/>
      <c r="I4" s="858" t="s">
        <v>253</v>
      </c>
      <c r="J4" s="859"/>
      <c r="K4" s="859"/>
      <c r="L4" s="860"/>
      <c r="M4" s="291" t="s">
        <v>254</v>
      </c>
      <c r="N4" s="295"/>
      <c r="Q4" s="866" t="s">
        <v>255</v>
      </c>
      <c r="R4" s="866"/>
      <c r="S4" s="866"/>
      <c r="U4" s="867" t="s">
        <v>256</v>
      </c>
      <c r="V4" s="867"/>
      <c r="W4" s="867"/>
    </row>
    <row r="5" spans="1:26" x14ac:dyDescent="0.2">
      <c r="A5" s="246" t="s">
        <v>52</v>
      </c>
      <c r="B5" s="246" t="s">
        <v>52</v>
      </c>
      <c r="C5" s="246" t="s">
        <v>52</v>
      </c>
      <c r="D5" s="296" t="s">
        <v>257</v>
      </c>
      <c r="E5" s="296" t="s">
        <v>258</v>
      </c>
      <c r="F5" s="296" t="s">
        <v>252</v>
      </c>
      <c r="G5" s="297" t="s">
        <v>259</v>
      </c>
      <c r="H5" s="294" t="s">
        <v>52</v>
      </c>
      <c r="I5" s="298" t="s">
        <v>260</v>
      </c>
      <c r="J5" s="298" t="s">
        <v>261</v>
      </c>
      <c r="K5" s="298" t="s">
        <v>262</v>
      </c>
      <c r="L5" s="299" t="s">
        <v>263</v>
      </c>
      <c r="M5" s="300" t="s">
        <v>264</v>
      </c>
      <c r="N5" s="295" t="s">
        <v>52</v>
      </c>
      <c r="O5" s="298" t="s">
        <v>265</v>
      </c>
      <c r="P5" s="246" t="s">
        <v>52</v>
      </c>
      <c r="Q5" s="301" t="s">
        <v>266</v>
      </c>
      <c r="R5" s="301" t="s">
        <v>267</v>
      </c>
      <c r="S5" s="301" t="s">
        <v>268</v>
      </c>
      <c r="T5" s="246" t="s">
        <v>52</v>
      </c>
      <c r="U5" s="298" t="s">
        <v>257</v>
      </c>
      <c r="V5" s="298" t="s">
        <v>269</v>
      </c>
      <c r="W5" s="298" t="s">
        <v>270</v>
      </c>
    </row>
    <row r="6" spans="1:26" x14ac:dyDescent="0.2">
      <c r="A6" s="247">
        <v>1</v>
      </c>
      <c r="B6" s="302" t="s">
        <v>271</v>
      </c>
      <c r="C6" s="303" t="s">
        <v>272</v>
      </c>
      <c r="D6" s="304">
        <v>0</v>
      </c>
      <c r="E6" s="304"/>
      <c r="F6" s="305">
        <f>-K6/I6</f>
        <v>4.6729285685626704E-2</v>
      </c>
      <c r="G6" s="306">
        <f>-K6/J6</f>
        <v>5.0000009477021913E-2</v>
      </c>
      <c r="H6" s="307"/>
      <c r="I6" s="308">
        <f>'0040'!$J$107</f>
        <v>225807.86000000002</v>
      </c>
      <c r="J6" s="308">
        <f>'0040'!$J$109</f>
        <v>211036.76</v>
      </c>
      <c r="K6" s="308">
        <f>'0040'!$J$114</f>
        <v>-10551.84</v>
      </c>
      <c r="L6" s="308">
        <f>'0040'!$J$116</f>
        <v>215256.02000000002</v>
      </c>
      <c r="M6" s="309">
        <f>'0040'!$J$124</f>
        <v>17938</v>
      </c>
      <c r="N6" s="310"/>
      <c r="O6" s="308" cm="1">
        <f t="array" ref="O6:P6">'0040'!E28:F28</f>
        <v>23.81</v>
      </c>
      <c r="P6" s="246">
        <v>0</v>
      </c>
      <c r="Q6" s="309">
        <f>I6/O6</f>
        <v>9483.740445191097</v>
      </c>
      <c r="R6" s="309">
        <f>K6/O6</f>
        <v>-443.16841663166741</v>
      </c>
      <c r="S6" s="309">
        <f>L6/O6</f>
        <v>9040.5720285594307</v>
      </c>
      <c r="U6" s="309">
        <f>IF(D6="H",S6,0)</f>
        <v>0</v>
      </c>
      <c r="V6" s="309">
        <f t="shared" ref="V6:V56" si="0">ROUND(IF(E6=1,S6,0),2)</f>
        <v>0</v>
      </c>
      <c r="W6" s="309">
        <f t="shared" ref="W6:W52" si="1">IF(AND(U6=0,V6=0),S6,)</f>
        <v>9040.5720285594307</v>
      </c>
      <c r="Y6" s="685"/>
      <c r="Z6" s="310"/>
    </row>
    <row r="7" spans="1:26" x14ac:dyDescent="0.2">
      <c r="A7" s="247">
        <v>2</v>
      </c>
      <c r="B7" s="311" t="s">
        <v>611</v>
      </c>
      <c r="C7" s="303" t="s">
        <v>612</v>
      </c>
      <c r="D7" s="304"/>
      <c r="E7" s="680"/>
      <c r="F7" s="305">
        <f>-K7/I7</f>
        <v>4.9170628289407853E-2</v>
      </c>
      <c r="G7" s="306">
        <f>-K7/J7</f>
        <v>4.9999997096183378E-2</v>
      </c>
      <c r="H7" s="307"/>
      <c r="I7" s="308">
        <f>'0571'!$J$107</f>
        <v>1225640.43</v>
      </c>
      <c r="J7" s="308">
        <f>'0571'!$J$109</f>
        <v>1205310.27</v>
      </c>
      <c r="K7" s="308">
        <f>'0571'!$J$114</f>
        <v>-60265.51</v>
      </c>
      <c r="L7" s="308">
        <f>'0571'!$J$116</f>
        <v>1165374.92</v>
      </c>
      <c r="M7" s="309">
        <f>'0571'!$J$124</f>
        <v>97114.58</v>
      </c>
      <c r="N7" s="310"/>
      <c r="O7" s="308" cm="1">
        <f t="array" ref="O7:P7">'0571'!E28:F28</f>
        <v>125.54</v>
      </c>
      <c r="P7" s="246">
        <v>0</v>
      </c>
      <c r="Q7" s="309">
        <f>I7/O7</f>
        <v>9762.9475067707499</v>
      </c>
      <c r="R7" s="309">
        <f>K7/O7</f>
        <v>-480.05026286442569</v>
      </c>
      <c r="S7" s="309">
        <f>L7/O7</f>
        <v>9282.8972439063236</v>
      </c>
      <c r="U7" s="309">
        <f>IF(D7="H",S7,0)</f>
        <v>0</v>
      </c>
      <c r="V7" s="309">
        <f t="shared" ref="V7" si="2">ROUND(IF(E7=1,S7,0),2)</f>
        <v>0</v>
      </c>
      <c r="W7" s="309">
        <f t="shared" ref="W7" si="3">IF(AND(U7=0,V7=0),S7,)</f>
        <v>9282.8972439063236</v>
      </c>
      <c r="Y7" s="685"/>
      <c r="Z7" s="310"/>
    </row>
    <row r="8" spans="1:26" x14ac:dyDescent="0.2">
      <c r="A8" s="247">
        <v>3</v>
      </c>
      <c r="B8" s="311" t="s">
        <v>273</v>
      </c>
      <c r="C8" s="681" t="s">
        <v>274</v>
      </c>
      <c r="D8" s="304">
        <v>0</v>
      </c>
      <c r="E8" s="684">
        <v>1</v>
      </c>
      <c r="F8" s="305">
        <f>-K8/I8</f>
        <v>1.1377197554792785E-2</v>
      </c>
      <c r="G8" s="306">
        <f t="shared" ref="G8:G59" si="4">-K8/J8</f>
        <v>1.1553988729910642E-2</v>
      </c>
      <c r="H8" s="295"/>
      <c r="I8" s="308">
        <f>'0100'!$J$107</f>
        <v>902433.13</v>
      </c>
      <c r="J8" s="308">
        <f>'0100'!$J$109</f>
        <v>888624.72</v>
      </c>
      <c r="K8" s="308">
        <f>'0100'!$J$114</f>
        <v>-10267.16</v>
      </c>
      <c r="L8" s="308">
        <f>'0100'!$J$116</f>
        <v>892165.97</v>
      </c>
      <c r="M8" s="309">
        <f>'0100'!$J$124</f>
        <v>74347.16</v>
      </c>
      <c r="N8" s="295"/>
      <c r="O8" s="548" cm="1">
        <f t="array" ref="O8:P8">'0100'!E28:F28</f>
        <v>27</v>
      </c>
      <c r="P8" s="246">
        <v>0</v>
      </c>
      <c r="Q8" s="309">
        <f>I8/O8</f>
        <v>33423.449259259258</v>
      </c>
      <c r="R8" s="309">
        <f t="shared" ref="R8:R52" si="5">K8/O8</f>
        <v>-380.2651851851852</v>
      </c>
      <c r="S8" s="309">
        <f>L8/O8</f>
        <v>33043.184074074074</v>
      </c>
      <c r="U8" s="309">
        <f>IF(D8="H",S8,0)</f>
        <v>0</v>
      </c>
      <c r="V8" s="309">
        <f t="shared" si="0"/>
        <v>33043.18</v>
      </c>
      <c r="W8" s="309">
        <f t="shared" si="1"/>
        <v>0</v>
      </c>
      <c r="Y8" s="685"/>
      <c r="Z8" s="310"/>
    </row>
    <row r="9" spans="1:26" x14ac:dyDescent="0.2">
      <c r="A9" s="247">
        <v>4</v>
      </c>
      <c r="B9" s="312" t="s">
        <v>275</v>
      </c>
      <c r="C9" s="303" t="s">
        <v>276</v>
      </c>
      <c r="D9" s="304" t="s">
        <v>495</v>
      </c>
      <c r="E9" s="304" t="s">
        <v>609</v>
      </c>
      <c r="F9" s="305">
        <f>-K9/I9</f>
        <v>5.8237379455510357E-3</v>
      </c>
      <c r="G9" s="306">
        <f t="shared" si="4"/>
        <v>6.0362416850967054E-3</v>
      </c>
      <c r="H9" s="307"/>
      <c r="I9" s="308">
        <f>'1461'!$J$107</f>
        <v>7955759.7600000007</v>
      </c>
      <c r="J9" s="308">
        <f>'1461'!$J$109</f>
        <v>7675680.0700000003</v>
      </c>
      <c r="K9" s="308">
        <f>'1461'!$J$114</f>
        <v>-46332.26</v>
      </c>
      <c r="L9" s="308">
        <f>'1461'!$J$116</f>
        <v>7909427.5000000009</v>
      </c>
      <c r="M9" s="309">
        <f>'1461'!$J$124</f>
        <v>659118.96</v>
      </c>
      <c r="N9" s="310"/>
      <c r="O9" s="308" cm="1">
        <f t="array" ref="O9:P9">'1461'!E28:F28</f>
        <v>828.32999999999993</v>
      </c>
      <c r="P9" s="246">
        <v>0</v>
      </c>
      <c r="Q9" s="309">
        <f>I9/O9</f>
        <v>9604.5775958856993</v>
      </c>
      <c r="R9" s="309">
        <f t="shared" si="5"/>
        <v>-55.934542996148885</v>
      </c>
      <c r="S9" s="309">
        <f t="shared" ref="S9:S52" si="6">L9/O9</f>
        <v>9548.6430528895507</v>
      </c>
      <c r="U9" s="309">
        <f>IF(D9="H",S9,0)</f>
        <v>9548.6430528895507</v>
      </c>
      <c r="V9" s="309">
        <f t="shared" si="0"/>
        <v>0</v>
      </c>
      <c r="W9" s="309">
        <f t="shared" si="1"/>
        <v>0</v>
      </c>
      <c r="Y9" s="685"/>
      <c r="Z9" s="310"/>
    </row>
    <row r="10" spans="1:26" x14ac:dyDescent="0.2">
      <c r="A10" s="247">
        <v>5</v>
      </c>
      <c r="B10" s="312" t="s">
        <v>277</v>
      </c>
      <c r="C10" s="303" t="s">
        <v>278</v>
      </c>
      <c r="D10" s="304" t="s">
        <v>495</v>
      </c>
      <c r="E10" s="304" t="s">
        <v>609</v>
      </c>
      <c r="F10" s="305">
        <f t="shared" ref="F10:F53" si="7">-K10/I10</f>
        <v>4.3842346180429587E-3</v>
      </c>
      <c r="G10" s="306">
        <f t="shared" si="4"/>
        <v>4.5525731107147133E-3</v>
      </c>
      <c r="H10" s="307"/>
      <c r="I10" s="308">
        <f>'1571'!$J$107</f>
        <v>12049263.92</v>
      </c>
      <c r="J10" s="308">
        <f>'1571'!$J$109</f>
        <v>11603723.59</v>
      </c>
      <c r="K10" s="308">
        <f>'1571'!$J$114</f>
        <v>-52826.8</v>
      </c>
      <c r="L10" s="308">
        <f>'1571'!$J$116</f>
        <v>11996437.119999999</v>
      </c>
      <c r="M10" s="309">
        <f>'1571'!$J$124</f>
        <v>999703.09</v>
      </c>
      <c r="N10" s="310"/>
      <c r="O10" s="308" cm="1">
        <f t="array" ref="O10:P10">'1571'!E28:F28</f>
        <v>1098.28</v>
      </c>
      <c r="P10" s="246">
        <v>0</v>
      </c>
      <c r="Q10" s="309">
        <f t="shared" ref="Q10:Q52" si="8">I10/O10</f>
        <v>10971.030993917762</v>
      </c>
      <c r="R10" s="309">
        <f t="shared" si="5"/>
        <v>-48.099573879156502</v>
      </c>
      <c r="S10" s="309">
        <f t="shared" si="6"/>
        <v>10922.931420038605</v>
      </c>
      <c r="U10" s="309">
        <f t="shared" ref="U10:U56" si="9">IF(D10="H",S10,0)</f>
        <v>10922.931420038605</v>
      </c>
      <c r="V10" s="309">
        <f t="shared" si="0"/>
        <v>0</v>
      </c>
      <c r="W10" s="309">
        <f t="shared" si="1"/>
        <v>0</v>
      </c>
      <c r="Y10" s="685"/>
      <c r="Z10" s="310"/>
    </row>
    <row r="11" spans="1:26" x14ac:dyDescent="0.2">
      <c r="A11" s="247">
        <v>6</v>
      </c>
      <c r="B11" s="312" t="s">
        <v>279</v>
      </c>
      <c r="C11" s="303" t="s">
        <v>280</v>
      </c>
      <c r="D11" s="304">
        <v>0</v>
      </c>
      <c r="E11" s="304">
        <v>1</v>
      </c>
      <c r="F11" s="305">
        <f t="shared" si="7"/>
        <v>2.1250763097134168E-2</v>
      </c>
      <c r="G11" s="306">
        <f t="shared" si="4"/>
        <v>2.2076180164926823E-2</v>
      </c>
      <c r="H11" s="307"/>
      <c r="I11" s="308">
        <f>'2521'!$J$107</f>
        <v>1363440.45</v>
      </c>
      <c r="J11" s="308">
        <f>'2521'!$J$109</f>
        <v>1312462.1099999999</v>
      </c>
      <c r="K11" s="308">
        <f>'2521'!$J$114</f>
        <v>-28974.15</v>
      </c>
      <c r="L11" s="308">
        <f>'2521'!$J$116</f>
        <v>1334466.3</v>
      </c>
      <c r="M11" s="309">
        <f>'2521'!$J$124</f>
        <v>111205.53</v>
      </c>
      <c r="N11" s="310"/>
      <c r="O11" s="308" cm="1">
        <f t="array" ref="O11:P11">'2521'!E28:F28</f>
        <v>73.69</v>
      </c>
      <c r="P11" s="246">
        <v>0</v>
      </c>
      <c r="Q11" s="309">
        <f t="shared" si="8"/>
        <v>18502.380920070565</v>
      </c>
      <c r="R11" s="309">
        <f t="shared" si="5"/>
        <v>-393.18971366535487</v>
      </c>
      <c r="S11" s="309">
        <f t="shared" si="6"/>
        <v>18109.191206405212</v>
      </c>
      <c r="U11" s="309">
        <f t="shared" si="9"/>
        <v>0</v>
      </c>
      <c r="V11" s="309">
        <f t="shared" si="0"/>
        <v>18109.189999999999</v>
      </c>
      <c r="W11" s="309">
        <f t="shared" si="1"/>
        <v>0</v>
      </c>
      <c r="Y11" s="685"/>
      <c r="Z11" s="310"/>
    </row>
    <row r="12" spans="1:26" x14ac:dyDescent="0.2">
      <c r="A12" s="247">
        <v>7</v>
      </c>
      <c r="B12" s="312" t="s">
        <v>281</v>
      </c>
      <c r="C12" s="303" t="s">
        <v>282</v>
      </c>
      <c r="D12" s="304">
        <v>0</v>
      </c>
      <c r="E12" s="304">
        <v>1</v>
      </c>
      <c r="F12" s="305">
        <f t="shared" si="7"/>
        <v>1.1356380848360603E-2</v>
      </c>
      <c r="G12" s="306">
        <f t="shared" si="4"/>
        <v>1.1969304797293839E-2</v>
      </c>
      <c r="H12" s="307"/>
      <c r="I12" s="308">
        <f>'2531'!$J$107</f>
        <v>1473502.89</v>
      </c>
      <c r="J12" s="308">
        <f>'2531'!$J$109</f>
        <v>1398047.7799999998</v>
      </c>
      <c r="K12" s="308">
        <f>'2531'!$J$114</f>
        <v>-16733.66</v>
      </c>
      <c r="L12" s="308">
        <f>'2531'!$J$116</f>
        <v>1456769.23</v>
      </c>
      <c r="M12" s="309">
        <f>'2531'!$J$124</f>
        <v>121397.44</v>
      </c>
      <c r="N12" s="310"/>
      <c r="O12" s="308" cm="1">
        <f t="array" ref="O12:P12">'2531'!E28:F28</f>
        <v>48.539999999999992</v>
      </c>
      <c r="P12" s="246">
        <v>0</v>
      </c>
      <c r="Q12" s="309">
        <f t="shared" si="8"/>
        <v>30356.466625463538</v>
      </c>
      <c r="R12" s="309">
        <f t="shared" si="5"/>
        <v>-344.73959620931197</v>
      </c>
      <c r="S12" s="309">
        <f t="shared" si="6"/>
        <v>30011.727029254227</v>
      </c>
      <c r="U12" s="309">
        <f t="shared" si="9"/>
        <v>0</v>
      </c>
      <c r="V12" s="309">
        <f t="shared" si="0"/>
        <v>30011.73</v>
      </c>
      <c r="W12" s="309">
        <f t="shared" si="1"/>
        <v>0</v>
      </c>
      <c r="Y12" s="685"/>
      <c r="Z12" s="310"/>
    </row>
    <row r="13" spans="1:26" x14ac:dyDescent="0.2">
      <c r="A13" s="247">
        <v>8</v>
      </c>
      <c r="B13" s="312">
        <v>2791</v>
      </c>
      <c r="C13" s="303" t="s">
        <v>284</v>
      </c>
      <c r="D13" s="304">
        <v>0</v>
      </c>
      <c r="E13" s="304">
        <v>1</v>
      </c>
      <c r="F13" s="305">
        <f t="shared" si="7"/>
        <v>9.5067542018257515E-3</v>
      </c>
      <c r="G13" s="306">
        <f t="shared" si="4"/>
        <v>9.9720054269702603E-3</v>
      </c>
      <c r="H13" s="307"/>
      <c r="I13" s="308">
        <f>'2791'!$J$107</f>
        <v>5952215.5300000003</v>
      </c>
      <c r="J13" s="308">
        <f>'2791'!$J$109</f>
        <v>5674510.5500000007</v>
      </c>
      <c r="K13" s="308">
        <f>'2791'!$J$114</f>
        <v>-56586.25</v>
      </c>
      <c r="L13" s="308">
        <f>'2791'!$J$116</f>
        <v>5895629.2800000003</v>
      </c>
      <c r="M13" s="309">
        <f>'2791'!$J$124</f>
        <v>491302.44</v>
      </c>
      <c r="N13" s="310"/>
      <c r="O13" s="308" cm="1">
        <f t="array" ref="O13:P13">'2791'!E28:F28</f>
        <v>173.06</v>
      </c>
      <c r="P13" s="246">
        <v>0</v>
      </c>
      <c r="Q13" s="309">
        <f t="shared" si="8"/>
        <v>34393.941580954583</v>
      </c>
      <c r="R13" s="309">
        <f t="shared" si="5"/>
        <v>-326.97474864208942</v>
      </c>
      <c r="S13" s="309">
        <f t="shared" si="6"/>
        <v>34066.966832312493</v>
      </c>
      <c r="U13" s="309">
        <f t="shared" si="9"/>
        <v>0</v>
      </c>
      <c r="V13" s="309">
        <f t="shared" si="0"/>
        <v>34066.97</v>
      </c>
      <c r="W13" s="309">
        <f t="shared" si="1"/>
        <v>0</v>
      </c>
      <c r="Y13" s="685"/>
      <c r="Z13" s="310"/>
    </row>
    <row r="14" spans="1:26" x14ac:dyDescent="0.2">
      <c r="A14" s="247">
        <v>9</v>
      </c>
      <c r="B14" s="312" t="s">
        <v>285</v>
      </c>
      <c r="C14" s="313" t="s">
        <v>286</v>
      </c>
      <c r="D14" s="304">
        <v>0</v>
      </c>
      <c r="E14" s="304" t="s">
        <v>609</v>
      </c>
      <c r="F14" s="305">
        <f t="shared" si="7"/>
        <v>2.1409840261226023E-2</v>
      </c>
      <c r="G14" s="306">
        <f t="shared" si="4"/>
        <v>2.2507518144243857E-2</v>
      </c>
      <c r="H14" s="307"/>
      <c r="I14" s="308">
        <f>'2801'!$J$107</f>
        <v>5216172.5</v>
      </c>
      <c r="J14" s="308">
        <f>'2801'!$J$109</f>
        <v>4961782.96</v>
      </c>
      <c r="K14" s="308">
        <f>'2801'!$J$114</f>
        <v>-111677.42</v>
      </c>
      <c r="L14" s="308">
        <f>'2801'!$J$116</f>
        <v>5104495.08</v>
      </c>
      <c r="M14" s="309">
        <f>'2801'!$J$124</f>
        <v>425374.59</v>
      </c>
      <c r="N14" s="310"/>
      <c r="O14" s="308" cm="1">
        <f t="array" ref="O14:P14">'2801'!E28:F28</f>
        <v>555.37000000000012</v>
      </c>
      <c r="P14" s="246">
        <v>0</v>
      </c>
      <c r="Q14" s="309">
        <f t="shared" si="8"/>
        <v>9392.2475106685615</v>
      </c>
      <c r="R14" s="309">
        <f t="shared" si="5"/>
        <v>-201.08651889731166</v>
      </c>
      <c r="S14" s="309">
        <f t="shared" si="6"/>
        <v>9191.1609917712503</v>
      </c>
      <c r="U14" s="309">
        <f t="shared" si="9"/>
        <v>0</v>
      </c>
      <c r="V14" s="309">
        <f t="shared" si="0"/>
        <v>0</v>
      </c>
      <c r="W14" s="309">
        <f t="shared" si="1"/>
        <v>9191.1609917712503</v>
      </c>
      <c r="Y14" s="685"/>
      <c r="Z14" s="310"/>
    </row>
    <row r="15" spans="1:26" x14ac:dyDescent="0.2">
      <c r="A15" s="247">
        <v>10</v>
      </c>
      <c r="B15" s="312" t="s">
        <v>287</v>
      </c>
      <c r="C15" s="303" t="s">
        <v>288</v>
      </c>
      <c r="D15" s="304" t="s">
        <v>495</v>
      </c>
      <c r="E15" s="304" t="s">
        <v>609</v>
      </c>
      <c r="F15" s="305">
        <f t="shared" si="7"/>
        <v>6.1469399575975244E-3</v>
      </c>
      <c r="G15" s="306">
        <f t="shared" si="4"/>
        <v>6.4174966015141874E-3</v>
      </c>
      <c r="H15" s="307"/>
      <c r="I15" s="308">
        <f>'2911'!$J$107</f>
        <v>7063672.3799999999</v>
      </c>
      <c r="J15" s="308">
        <f>'2911'!$J$109</f>
        <v>6765873.4699999997</v>
      </c>
      <c r="K15" s="308">
        <f>'2911'!$J$114</f>
        <v>-43419.97</v>
      </c>
      <c r="L15" s="308">
        <f>'2911'!$J$116</f>
        <v>7020252.4100000001</v>
      </c>
      <c r="M15" s="309">
        <f>'2911'!$J$124</f>
        <v>585021.03</v>
      </c>
      <c r="N15" s="310"/>
      <c r="O15" s="308" cm="1">
        <f t="array" ref="O15:P15">'2911'!E28:F28</f>
        <v>779.11999999999989</v>
      </c>
      <c r="P15" s="246">
        <v>0</v>
      </c>
      <c r="Q15" s="309">
        <f t="shared" si="8"/>
        <v>9066.2187852962325</v>
      </c>
      <c r="R15" s="309">
        <f t="shared" si="5"/>
        <v>-55.729502515658702</v>
      </c>
      <c r="S15" s="309">
        <f t="shared" si="6"/>
        <v>9010.4892827805743</v>
      </c>
      <c r="U15" s="309">
        <f t="shared" si="9"/>
        <v>9010.4892827805743</v>
      </c>
      <c r="V15" s="309">
        <f t="shared" si="0"/>
        <v>0</v>
      </c>
      <c r="W15" s="309">
        <f t="shared" si="1"/>
        <v>0</v>
      </c>
      <c r="Y15" s="685"/>
      <c r="Z15" s="310"/>
    </row>
    <row r="16" spans="1:26" x14ac:dyDescent="0.2">
      <c r="A16" s="247">
        <v>11</v>
      </c>
      <c r="B16" s="312" t="s">
        <v>289</v>
      </c>
      <c r="C16" s="303" t="s">
        <v>290</v>
      </c>
      <c r="D16" s="304">
        <v>0</v>
      </c>
      <c r="E16" s="304">
        <v>1</v>
      </c>
      <c r="F16" s="305">
        <f t="shared" si="7"/>
        <v>7.5729121656696527E-3</v>
      </c>
      <c r="G16" s="306">
        <f t="shared" si="4"/>
        <v>7.9262509102414162E-3</v>
      </c>
      <c r="H16" s="307"/>
      <c r="I16" s="308">
        <f>'2941'!$J$107</f>
        <v>11245702.859999999</v>
      </c>
      <c r="J16" s="308">
        <f>'2941'!$J$109</f>
        <v>10744388.609999999</v>
      </c>
      <c r="K16" s="308">
        <f>'2941'!$J$114</f>
        <v>-85162.72</v>
      </c>
      <c r="L16" s="308">
        <f>'2941'!$J$116</f>
        <v>11160540.139999999</v>
      </c>
      <c r="M16" s="309">
        <f>'2941'!$J$124</f>
        <v>930045.01</v>
      </c>
      <c r="N16" s="310"/>
      <c r="O16" s="308" cm="1">
        <f t="array" ref="O16:P16">'2941'!E28:F28</f>
        <v>380.07</v>
      </c>
      <c r="P16" s="246">
        <v>0</v>
      </c>
      <c r="Q16" s="309">
        <f t="shared" si="8"/>
        <v>29588.504380771963</v>
      </c>
      <c r="R16" s="309">
        <f t="shared" si="5"/>
        <v>-224.0711447891178</v>
      </c>
      <c r="S16" s="309">
        <f t="shared" si="6"/>
        <v>29364.433235982844</v>
      </c>
      <c r="U16" s="309">
        <f t="shared" si="9"/>
        <v>0</v>
      </c>
      <c r="V16" s="309">
        <f t="shared" si="0"/>
        <v>29364.43</v>
      </c>
      <c r="W16" s="309">
        <f t="shared" si="1"/>
        <v>0</v>
      </c>
      <c r="Y16" s="685"/>
      <c r="Z16" s="310"/>
    </row>
    <row r="17" spans="1:26" x14ac:dyDescent="0.2">
      <c r="A17" s="247">
        <v>12</v>
      </c>
      <c r="B17" s="312" t="s">
        <v>291</v>
      </c>
      <c r="C17" s="313" t="s">
        <v>292</v>
      </c>
      <c r="D17" s="304">
        <v>0</v>
      </c>
      <c r="E17" s="304">
        <v>1</v>
      </c>
      <c r="F17" s="305">
        <f t="shared" si="7"/>
        <v>8.5397228407454468E-3</v>
      </c>
      <c r="G17" s="306">
        <f t="shared" si="4"/>
        <v>8.9476085864624733E-3</v>
      </c>
      <c r="H17" s="307"/>
      <c r="I17" s="308">
        <f>'3083'!$J$107</f>
        <v>6740032.5599999996</v>
      </c>
      <c r="J17" s="308">
        <f>'3083'!$J$109</f>
        <v>6432781.3899999997</v>
      </c>
      <c r="K17" s="308">
        <f>'3083'!$J$114</f>
        <v>-57558.01</v>
      </c>
      <c r="L17" s="308">
        <f>'3083'!$J$116</f>
        <v>6682474.5499999998</v>
      </c>
      <c r="M17" s="309">
        <f>'3083'!$J$124</f>
        <v>556872.88</v>
      </c>
      <c r="N17" s="310"/>
      <c r="O17" s="308" cm="1">
        <f t="array" ref="O17:P17">'3083'!E28:F28</f>
        <v>179.4</v>
      </c>
      <c r="P17" s="246">
        <v>0</v>
      </c>
      <c r="Q17" s="309">
        <f t="shared" si="8"/>
        <v>37569.858193979926</v>
      </c>
      <c r="R17" s="309">
        <f t="shared" si="5"/>
        <v>-320.83617614269787</v>
      </c>
      <c r="S17" s="309">
        <f t="shared" si="6"/>
        <v>37249.022017837233</v>
      </c>
      <c r="U17" s="309">
        <f t="shared" si="9"/>
        <v>0</v>
      </c>
      <c r="V17" s="309">
        <f t="shared" si="0"/>
        <v>37249.019999999997</v>
      </c>
      <c r="W17" s="309">
        <f t="shared" si="1"/>
        <v>0</v>
      </c>
      <c r="Y17" s="685"/>
      <c r="Z17" s="310"/>
    </row>
    <row r="18" spans="1:26" x14ac:dyDescent="0.2">
      <c r="A18" s="247">
        <v>13</v>
      </c>
      <c r="B18" s="312" t="s">
        <v>293</v>
      </c>
      <c r="C18" s="313" t="s">
        <v>294</v>
      </c>
      <c r="D18" s="314">
        <v>0</v>
      </c>
      <c r="E18" s="314">
        <v>1</v>
      </c>
      <c r="F18" s="305">
        <f>-K18/I18</f>
        <v>2.6866997798590486E-2</v>
      </c>
      <c r="G18" s="306">
        <f t="shared" si="4"/>
        <v>2.7561877320674166E-2</v>
      </c>
      <c r="H18" s="307"/>
      <c r="I18" s="308">
        <f>'3345'!$J$107</f>
        <v>1274674.24</v>
      </c>
      <c r="J18" s="308">
        <f>'3345'!$J$109</f>
        <v>1242537.6399999999</v>
      </c>
      <c r="K18" s="308">
        <f>'3345'!$J$114</f>
        <v>-34246.67</v>
      </c>
      <c r="L18" s="308">
        <f>'3345'!$J$116</f>
        <v>1240427.57</v>
      </c>
      <c r="M18" s="309">
        <f>'3345'!$J$124</f>
        <v>103368.96000000001</v>
      </c>
      <c r="N18" s="310"/>
      <c r="O18" s="308" cm="1">
        <f t="array" ref="O18:P18">'3345'!E28:F28</f>
        <v>83</v>
      </c>
      <c r="P18" s="246">
        <v>0</v>
      </c>
      <c r="Q18" s="309">
        <f t="shared" si="8"/>
        <v>15357.520963855422</v>
      </c>
      <c r="R18" s="309">
        <f t="shared" si="5"/>
        <v>-412.61048192771085</v>
      </c>
      <c r="S18" s="309">
        <f t="shared" si="6"/>
        <v>14944.910481927711</v>
      </c>
      <c r="U18" s="309">
        <f t="shared" si="9"/>
        <v>0</v>
      </c>
      <c r="V18" s="309">
        <f t="shared" si="0"/>
        <v>14944.91</v>
      </c>
      <c r="W18" s="309">
        <f t="shared" si="1"/>
        <v>0</v>
      </c>
      <c r="Y18" s="685"/>
      <c r="Z18" s="310"/>
    </row>
    <row r="19" spans="1:26" x14ac:dyDescent="0.2">
      <c r="A19" s="247">
        <v>14</v>
      </c>
      <c r="B19" s="312">
        <v>3362</v>
      </c>
      <c r="C19" s="313" t="s">
        <v>373</v>
      </c>
      <c r="D19" s="314"/>
      <c r="E19" s="314"/>
      <c r="F19" s="305">
        <f>-K19/I19</f>
        <v>4.9529715122164482E-2</v>
      </c>
      <c r="G19" s="306">
        <f t="shared" ref="G19" si="10">-K19/J19</f>
        <v>4.9999998280944362E-2</v>
      </c>
      <c r="H19" s="307"/>
      <c r="I19" s="308">
        <f>'3362'!$J$107</f>
        <v>1468095.26</v>
      </c>
      <c r="J19" s="308">
        <f>'3362'!$J$109</f>
        <v>1454286.85</v>
      </c>
      <c r="K19" s="308">
        <f>'3362'!$J$114</f>
        <v>-72714.34</v>
      </c>
      <c r="L19" s="308">
        <f>'3362'!$J$116</f>
        <v>1395380.92</v>
      </c>
      <c r="M19" s="309">
        <f>'3362'!$J$124</f>
        <v>116281.74</v>
      </c>
      <c r="N19" s="310"/>
      <c r="O19" s="308" cm="1">
        <f t="array" ref="O19:P19">'3362'!E28:F28</f>
        <v>161.11000000000001</v>
      </c>
      <c r="P19" s="246">
        <v>0</v>
      </c>
      <c r="Q19" s="309">
        <f t="shared" ref="Q19" si="11">I19/O19</f>
        <v>9112.3782508844888</v>
      </c>
      <c r="R19" s="309">
        <f t="shared" ref="R19" si="12">K19/O19</f>
        <v>-451.33349885171617</v>
      </c>
      <c r="S19" s="309">
        <f t="shared" ref="S19" si="13">L19/O19</f>
        <v>8661.0447520327707</v>
      </c>
      <c r="U19" s="309">
        <f t="shared" ref="U19" si="14">IF(D19="H",S19,0)</f>
        <v>0</v>
      </c>
      <c r="V19" s="309">
        <f t="shared" ref="V19" si="15">ROUND(IF(E19=1,S19,0),2)</f>
        <v>0</v>
      </c>
      <c r="W19" s="309">
        <f t="shared" ref="W19" si="16">IF(AND(U19=0,V19=0),S19,)</f>
        <v>8661.0447520327707</v>
      </c>
      <c r="Y19" s="685"/>
      <c r="Z19" s="310"/>
    </row>
    <row r="20" spans="1:26" x14ac:dyDescent="0.2">
      <c r="A20" s="247">
        <v>15</v>
      </c>
      <c r="B20" s="312" t="s">
        <v>295</v>
      </c>
      <c r="C20" s="303" t="s">
        <v>296</v>
      </c>
      <c r="D20" s="304" t="s">
        <v>495</v>
      </c>
      <c r="E20" s="304" t="s">
        <v>609</v>
      </c>
      <c r="F20" s="305">
        <f t="shared" si="7"/>
        <v>4.544003574946138E-3</v>
      </c>
      <c r="G20" s="306">
        <f t="shared" si="4"/>
        <v>4.7650356757462089E-3</v>
      </c>
      <c r="H20" s="307"/>
      <c r="I20" s="308">
        <f>'3381'!$J$107</f>
        <v>9527102.9799999986</v>
      </c>
      <c r="J20" s="308">
        <f>'3381'!$J$109</f>
        <v>9085176.4699999988</v>
      </c>
      <c r="K20" s="308">
        <f>'3381'!$J$114</f>
        <v>-43291.19</v>
      </c>
      <c r="L20" s="308">
        <f>'3381'!$J$116</f>
        <v>9483811.7899999991</v>
      </c>
      <c r="M20" s="309">
        <f>'3381'!$J$124</f>
        <v>790317.65</v>
      </c>
      <c r="N20" s="310"/>
      <c r="O20" s="308" cm="1">
        <f t="array" ref="O20:P20">'3381'!E28:F28</f>
        <v>1049.31</v>
      </c>
      <c r="P20" s="246">
        <v>0</v>
      </c>
      <c r="Q20" s="309">
        <f t="shared" si="8"/>
        <v>9079.3978709818821</v>
      </c>
      <c r="R20" s="309">
        <f t="shared" si="5"/>
        <v>-41.256816384100034</v>
      </c>
      <c r="S20" s="309">
        <f t="shared" si="6"/>
        <v>9038.1410545977833</v>
      </c>
      <c r="U20" s="309">
        <f t="shared" si="9"/>
        <v>9038.1410545977833</v>
      </c>
      <c r="V20" s="309">
        <f t="shared" si="0"/>
        <v>0</v>
      </c>
      <c r="W20" s="309">
        <f t="shared" si="1"/>
        <v>0</v>
      </c>
      <c r="Y20" s="685"/>
      <c r="Z20" s="310"/>
    </row>
    <row r="21" spans="1:26" x14ac:dyDescent="0.2">
      <c r="A21" s="247">
        <v>16</v>
      </c>
      <c r="B21" s="312" t="s">
        <v>297</v>
      </c>
      <c r="C21" s="303" t="s">
        <v>298</v>
      </c>
      <c r="D21" s="304">
        <v>0</v>
      </c>
      <c r="E21" s="304" t="s">
        <v>609</v>
      </c>
      <c r="F21" s="305">
        <f t="shared" si="7"/>
        <v>4.555837835563438E-2</v>
      </c>
      <c r="G21" s="306">
        <f t="shared" si="4"/>
        <v>4.774819567241223E-2</v>
      </c>
      <c r="H21" s="307"/>
      <c r="I21" s="308">
        <f>'3382'!$J$107</f>
        <v>2498787.58</v>
      </c>
      <c r="J21" s="308">
        <f>'3382'!$J$109</f>
        <v>2384188.73</v>
      </c>
      <c r="K21" s="308">
        <f>'3382'!$J$114</f>
        <v>-113840.71</v>
      </c>
      <c r="L21" s="308">
        <f>'3382'!$J$116</f>
        <v>2384946.87</v>
      </c>
      <c r="M21" s="309">
        <f>'3382'!$J$124</f>
        <v>198745.57</v>
      </c>
      <c r="N21" s="310"/>
      <c r="O21" s="308" cm="1">
        <f t="array" ref="O21:P21">'3382'!E28:F28</f>
        <v>261.78999999999996</v>
      </c>
      <c r="P21" s="246">
        <v>0</v>
      </c>
      <c r="Q21" s="309">
        <f t="shared" si="8"/>
        <v>9545.0077543068892</v>
      </c>
      <c r="R21" s="309">
        <f t="shared" si="5"/>
        <v>-434.85507467817723</v>
      </c>
      <c r="S21" s="309">
        <f t="shared" si="6"/>
        <v>9110.1526796287126</v>
      </c>
      <c r="U21" s="309">
        <f t="shared" si="9"/>
        <v>0</v>
      </c>
      <c r="V21" s="309">
        <f t="shared" si="0"/>
        <v>0</v>
      </c>
      <c r="W21" s="309">
        <f t="shared" si="1"/>
        <v>9110.1526796287126</v>
      </c>
      <c r="Y21" s="685"/>
      <c r="Z21" s="310"/>
    </row>
    <row r="22" spans="1:26" x14ac:dyDescent="0.2">
      <c r="A22" s="247">
        <v>17</v>
      </c>
      <c r="B22" s="312" t="s">
        <v>299</v>
      </c>
      <c r="C22" s="315" t="s">
        <v>300</v>
      </c>
      <c r="D22" s="304">
        <v>0</v>
      </c>
      <c r="E22" s="304"/>
      <c r="F22" s="305"/>
      <c r="G22" s="306"/>
      <c r="H22" s="307"/>
      <c r="I22" s="308"/>
      <c r="J22" s="308"/>
      <c r="K22" s="308"/>
      <c r="L22" s="308"/>
      <c r="M22" s="309"/>
      <c r="N22" s="310"/>
      <c r="O22" s="308"/>
      <c r="Q22" s="309"/>
      <c r="R22" s="309"/>
      <c r="S22" s="309"/>
      <c r="U22" s="309"/>
      <c r="V22" s="309"/>
      <c r="W22" s="309"/>
      <c r="Y22" s="685"/>
      <c r="Z22" s="310"/>
    </row>
    <row r="23" spans="1:26" x14ac:dyDescent="0.2">
      <c r="A23" s="247">
        <v>18</v>
      </c>
      <c r="B23" s="312" t="s">
        <v>301</v>
      </c>
      <c r="C23" s="303" t="s">
        <v>302</v>
      </c>
      <c r="D23" s="304">
        <v>0</v>
      </c>
      <c r="E23" s="304" t="s">
        <v>609</v>
      </c>
      <c r="F23" s="305">
        <f t="shared" si="7"/>
        <v>4.7605393990124117E-2</v>
      </c>
      <c r="G23" s="306">
        <f t="shared" si="4"/>
        <v>5.0000001182483052E-2</v>
      </c>
      <c r="H23" s="307"/>
      <c r="I23" s="308">
        <f>'3394'!$J$107</f>
        <v>1776433.36</v>
      </c>
      <c r="J23" s="308">
        <f>'3394'!$J$109</f>
        <v>1691356.1600000001</v>
      </c>
      <c r="K23" s="308">
        <f>'3394'!$J$114</f>
        <v>-84567.81</v>
      </c>
      <c r="L23" s="308">
        <f>'3394'!$J$116</f>
        <v>1691865.55</v>
      </c>
      <c r="M23" s="309">
        <f>'3394'!$J$124</f>
        <v>140988.79999999999</v>
      </c>
      <c r="N23" s="310"/>
      <c r="O23" s="308" cm="1">
        <f t="array" ref="O23:P23">'3394'!E28:F28</f>
        <v>192.97999999999996</v>
      </c>
      <c r="P23" s="246">
        <v>0</v>
      </c>
      <c r="Q23" s="309">
        <f t="shared" si="8"/>
        <v>9205.2718416416228</v>
      </c>
      <c r="R23" s="309">
        <f t="shared" si="5"/>
        <v>-438.2205928075449</v>
      </c>
      <c r="S23" s="309">
        <f t="shared" si="6"/>
        <v>8767.0512488340773</v>
      </c>
      <c r="U23" s="309">
        <f t="shared" si="9"/>
        <v>0</v>
      </c>
      <c r="V23" s="309">
        <f t="shared" si="0"/>
        <v>0</v>
      </c>
      <c r="W23" s="309">
        <f t="shared" si="1"/>
        <v>8767.0512488340773</v>
      </c>
      <c r="Y23" s="685"/>
      <c r="Z23" s="310"/>
    </row>
    <row r="24" spans="1:26" x14ac:dyDescent="0.2">
      <c r="A24" s="247">
        <v>19</v>
      </c>
      <c r="B24" s="312" t="s">
        <v>303</v>
      </c>
      <c r="C24" s="313" t="s">
        <v>304</v>
      </c>
      <c r="D24" s="314">
        <v>0</v>
      </c>
      <c r="E24" s="314" t="s">
        <v>609</v>
      </c>
      <c r="F24" s="305">
        <f t="shared" si="7"/>
        <v>2.2200569027377527E-2</v>
      </c>
      <c r="G24" s="306">
        <f t="shared" si="4"/>
        <v>2.3267500857484937E-2</v>
      </c>
      <c r="H24" s="307"/>
      <c r="I24" s="308">
        <f>'3395'!$J$107</f>
        <v>4821613.3499999996</v>
      </c>
      <c r="J24" s="308">
        <f>'3395'!$J$109</f>
        <v>4600518.1499999994</v>
      </c>
      <c r="K24" s="308">
        <f>'3395'!$J$114</f>
        <v>-107042.56</v>
      </c>
      <c r="L24" s="308">
        <f>'3395'!$J$116</f>
        <v>4714570.79</v>
      </c>
      <c r="M24" s="309">
        <f>'3395'!$J$124</f>
        <v>392880.9</v>
      </c>
      <c r="N24" s="310"/>
      <c r="O24" s="308" cm="1">
        <f t="array" ref="O24:P24">'3395'!E28:F28</f>
        <v>537.23</v>
      </c>
      <c r="P24" s="246">
        <v>0</v>
      </c>
      <c r="Q24" s="309">
        <f t="shared" si="8"/>
        <v>8974.9517897362384</v>
      </c>
      <c r="R24" s="309">
        <f t="shared" si="5"/>
        <v>-199.24903672542484</v>
      </c>
      <c r="S24" s="309">
        <f t="shared" si="6"/>
        <v>8775.7027530108153</v>
      </c>
      <c r="U24" s="309">
        <f t="shared" si="9"/>
        <v>0</v>
      </c>
      <c r="V24" s="309">
        <f t="shared" si="0"/>
        <v>0</v>
      </c>
      <c r="W24" s="309">
        <f t="shared" si="1"/>
        <v>8775.7027530108153</v>
      </c>
      <c r="Y24" s="685"/>
      <c r="Z24" s="310"/>
    </row>
    <row r="25" spans="1:26" x14ac:dyDescent="0.2">
      <c r="A25" s="247">
        <v>20</v>
      </c>
      <c r="B25" s="312" t="s">
        <v>305</v>
      </c>
      <c r="C25" s="313" t="s">
        <v>306</v>
      </c>
      <c r="D25" s="314" t="s">
        <v>495</v>
      </c>
      <c r="E25" s="314" t="s">
        <v>609</v>
      </c>
      <c r="F25" s="305">
        <f t="shared" si="7"/>
        <v>6.8222043976790556E-3</v>
      </c>
      <c r="G25" s="306">
        <f t="shared" si="4"/>
        <v>7.1231152918986747E-3</v>
      </c>
      <c r="H25" s="307"/>
      <c r="I25" s="308">
        <f>'3396'!$J$107</f>
        <v>6659120.3299999991</v>
      </c>
      <c r="J25" s="308">
        <f>'3396'!$J$109</f>
        <v>6377810.5699999994</v>
      </c>
      <c r="K25" s="308">
        <f>'3396'!$J$114</f>
        <v>-45429.88</v>
      </c>
      <c r="L25" s="308">
        <f>'3396'!$J$116</f>
        <v>6613690.4499999993</v>
      </c>
      <c r="M25" s="309">
        <f>'3396'!$J$124</f>
        <v>551140.87</v>
      </c>
      <c r="N25" s="310"/>
      <c r="O25" s="308" cm="1">
        <f t="array" ref="O25:P25">'3396'!E28:F28</f>
        <v>701.94</v>
      </c>
      <c r="P25" s="246">
        <v>0</v>
      </c>
      <c r="Q25" s="309">
        <f t="shared" si="8"/>
        <v>9486.7372282531251</v>
      </c>
      <c r="R25" s="309">
        <f t="shared" si="5"/>
        <v>-64.72046043821409</v>
      </c>
      <c r="S25" s="309">
        <f t="shared" si="6"/>
        <v>9422.0167678149119</v>
      </c>
      <c r="U25" s="309">
        <f t="shared" si="9"/>
        <v>9422.0167678149119</v>
      </c>
      <c r="V25" s="309">
        <f t="shared" si="0"/>
        <v>0</v>
      </c>
      <c r="W25" s="309">
        <f t="shared" si="1"/>
        <v>0</v>
      </c>
      <c r="Y25" s="685"/>
      <c r="Z25" s="310"/>
    </row>
    <row r="26" spans="1:26" x14ac:dyDescent="0.2">
      <c r="A26" s="247">
        <v>21</v>
      </c>
      <c r="B26" s="312" t="s">
        <v>307</v>
      </c>
      <c r="C26" s="303" t="s">
        <v>308</v>
      </c>
      <c r="D26" s="304">
        <v>0</v>
      </c>
      <c r="E26" s="304" t="s">
        <v>609</v>
      </c>
      <c r="F26" s="305">
        <f t="shared" si="7"/>
        <v>4.7854702155180867E-2</v>
      </c>
      <c r="G26" s="306">
        <f t="shared" si="4"/>
        <v>5.0000002012879692E-2</v>
      </c>
      <c r="H26" s="307"/>
      <c r="I26" s="308">
        <f>'3398'!$J$107</f>
        <v>1038143.96</v>
      </c>
      <c r="J26" s="308">
        <f>'3398'!$J$109</f>
        <v>993601.36</v>
      </c>
      <c r="K26" s="308">
        <f>'3398'!$J$114</f>
        <v>-49680.07</v>
      </c>
      <c r="L26" s="308">
        <f>'3398'!$J$116</f>
        <v>988463.89</v>
      </c>
      <c r="M26" s="309">
        <f>'3398'!$J$124</f>
        <v>82371.990000000005</v>
      </c>
      <c r="N26" s="310"/>
      <c r="O26" s="308" cm="1">
        <f t="array" ref="O26:P26">'3398'!E28:F28</f>
        <v>101.89999999999999</v>
      </c>
      <c r="P26" s="246">
        <v>0</v>
      </c>
      <c r="Q26" s="309">
        <f t="shared" si="8"/>
        <v>10187.8700686948</v>
      </c>
      <c r="R26" s="309">
        <f t="shared" si="5"/>
        <v>-487.53748773307166</v>
      </c>
      <c r="S26" s="309">
        <f t="shared" si="6"/>
        <v>9700.332580961729</v>
      </c>
      <c r="U26" s="309">
        <f t="shared" si="9"/>
        <v>0</v>
      </c>
      <c r="V26" s="309">
        <f t="shared" si="0"/>
        <v>0</v>
      </c>
      <c r="W26" s="309">
        <f t="shared" si="1"/>
        <v>9700.332580961729</v>
      </c>
      <c r="Y26" s="685"/>
      <c r="Z26" s="310"/>
    </row>
    <row r="27" spans="1:26" x14ac:dyDescent="0.2">
      <c r="A27" s="247">
        <v>22</v>
      </c>
      <c r="B27" s="312" t="s">
        <v>309</v>
      </c>
      <c r="C27" s="303" t="s">
        <v>310</v>
      </c>
      <c r="D27" s="304">
        <v>0</v>
      </c>
      <c r="E27" s="304">
        <v>1</v>
      </c>
      <c r="F27" s="305">
        <f t="shared" si="7"/>
        <v>2.690006566440916E-2</v>
      </c>
      <c r="G27" s="306">
        <f t="shared" si="4"/>
        <v>2.7673020507508066E-2</v>
      </c>
      <c r="H27" s="307"/>
      <c r="I27" s="308">
        <f>'3400'!$J$107</f>
        <v>1340071.4500000002</v>
      </c>
      <c r="J27" s="308">
        <f>'3400'!$J$109</f>
        <v>1302640.9600000002</v>
      </c>
      <c r="K27" s="308">
        <f>'3400'!$J$114</f>
        <v>-36048.01</v>
      </c>
      <c r="L27" s="308">
        <f>'3400'!$J$116</f>
        <v>1304023.4400000002</v>
      </c>
      <c r="M27" s="309">
        <f>'3400'!$J$124</f>
        <v>108668.62</v>
      </c>
      <c r="N27" s="310"/>
      <c r="O27" s="308" cm="1">
        <f t="array" ref="O27:P27">'3400'!E28:F28</f>
        <v>91.06</v>
      </c>
      <c r="P27" s="246">
        <v>0</v>
      </c>
      <c r="Q27" s="309">
        <f t="shared" si="8"/>
        <v>14716.356797715793</v>
      </c>
      <c r="R27" s="309">
        <f t="shared" si="5"/>
        <v>-395.87096419942895</v>
      </c>
      <c r="S27" s="309">
        <f t="shared" si="6"/>
        <v>14320.485833516364</v>
      </c>
      <c r="U27" s="309">
        <f t="shared" si="9"/>
        <v>0</v>
      </c>
      <c r="V27" s="309">
        <f t="shared" si="0"/>
        <v>14320.49</v>
      </c>
      <c r="W27" s="309">
        <f t="shared" si="1"/>
        <v>0</v>
      </c>
      <c r="Y27" s="685"/>
      <c r="Z27" s="310"/>
    </row>
    <row r="28" spans="1:26" x14ac:dyDescent="0.2">
      <c r="A28" s="247">
        <v>23</v>
      </c>
      <c r="B28" s="312" t="s">
        <v>311</v>
      </c>
      <c r="C28" s="303" t="s">
        <v>312</v>
      </c>
      <c r="D28" s="304">
        <v>0</v>
      </c>
      <c r="E28" s="304">
        <v>0</v>
      </c>
      <c r="F28" s="305">
        <f t="shared" si="7"/>
        <v>3.0256374675424448E-2</v>
      </c>
      <c r="G28" s="306">
        <f t="shared" si="4"/>
        <v>3.1651177930690756E-2</v>
      </c>
      <c r="H28" s="307"/>
      <c r="I28" s="308">
        <f>'3401'!$J$107</f>
        <v>3809582.98</v>
      </c>
      <c r="J28" s="308">
        <f>'3401'!$J$109</f>
        <v>3641702.38</v>
      </c>
      <c r="K28" s="308">
        <f>'3401'!$J$114</f>
        <v>-115264.17</v>
      </c>
      <c r="L28" s="308">
        <f>'3401'!$J$116</f>
        <v>3694318.81</v>
      </c>
      <c r="M28" s="309">
        <f>'3401'!$J$124</f>
        <v>307859.90000000002</v>
      </c>
      <c r="N28" s="310"/>
      <c r="O28" s="308" cm="1">
        <f t="array" ref="O28:P28">'3401'!E28:F28</f>
        <v>394.93</v>
      </c>
      <c r="P28" s="246">
        <v>0</v>
      </c>
      <c r="Q28" s="309">
        <f t="shared" si="8"/>
        <v>9646.2233307168353</v>
      </c>
      <c r="R28" s="309">
        <f t="shared" si="5"/>
        <v>-291.85974729698933</v>
      </c>
      <c r="S28" s="309">
        <f t="shared" si="6"/>
        <v>9354.3635834198467</v>
      </c>
      <c r="U28" s="309">
        <f t="shared" si="9"/>
        <v>0</v>
      </c>
      <c r="V28" s="309">
        <f t="shared" si="0"/>
        <v>0</v>
      </c>
      <c r="W28" s="309">
        <f t="shared" si="1"/>
        <v>9354.3635834198467</v>
      </c>
      <c r="Y28" s="685"/>
      <c r="Z28" s="310"/>
    </row>
    <row r="29" spans="1:26" x14ac:dyDescent="0.2">
      <c r="A29" s="247">
        <v>24</v>
      </c>
      <c r="B29" s="312" t="s">
        <v>313</v>
      </c>
      <c r="C29" s="303" t="s">
        <v>314</v>
      </c>
      <c r="D29" s="304" t="s">
        <v>495</v>
      </c>
      <c r="E29" s="304" t="s">
        <v>609</v>
      </c>
      <c r="F29" s="305">
        <f t="shared" si="7"/>
        <v>1.2166166727386008E-2</v>
      </c>
      <c r="G29" s="306">
        <f t="shared" si="4"/>
        <v>1.2762915057683349E-2</v>
      </c>
      <c r="H29" s="307"/>
      <c r="I29" s="308">
        <f>'3413'!$J$107</f>
        <v>3605331.1599999997</v>
      </c>
      <c r="J29" s="308">
        <f>'3413'!$J$109</f>
        <v>3436758.7499999995</v>
      </c>
      <c r="K29" s="308">
        <f>'3413'!$J$114</f>
        <v>-43863.06</v>
      </c>
      <c r="L29" s="308">
        <f>'3413'!$J$116</f>
        <v>3561468.0999999996</v>
      </c>
      <c r="M29" s="309">
        <f>'3413'!$J$124</f>
        <v>296789.01</v>
      </c>
      <c r="N29" s="310"/>
      <c r="O29" s="308" cm="1">
        <f t="array" ref="O29:P29">'3413'!E28:F28</f>
        <v>391.76000000000005</v>
      </c>
      <c r="P29" s="246">
        <v>0</v>
      </c>
      <c r="Q29" s="309">
        <f t="shared" si="8"/>
        <v>9202.9078006943</v>
      </c>
      <c r="R29" s="309">
        <f t="shared" si="5"/>
        <v>-111.96411068000815</v>
      </c>
      <c r="S29" s="309">
        <f t="shared" si="6"/>
        <v>9090.9436900142919</v>
      </c>
      <c r="U29" s="309">
        <f t="shared" si="9"/>
        <v>9090.9436900142919</v>
      </c>
      <c r="V29" s="309">
        <f t="shared" si="0"/>
        <v>0</v>
      </c>
      <c r="W29" s="309">
        <f t="shared" si="1"/>
        <v>0</v>
      </c>
      <c r="Y29" s="685"/>
      <c r="Z29" s="310"/>
    </row>
    <row r="30" spans="1:26" x14ac:dyDescent="0.2">
      <c r="A30" s="247">
        <v>25</v>
      </c>
      <c r="B30" s="312" t="s">
        <v>315</v>
      </c>
      <c r="C30" s="303" t="s">
        <v>316</v>
      </c>
      <c r="D30" s="304">
        <v>0</v>
      </c>
      <c r="E30" s="304" t="s">
        <v>609</v>
      </c>
      <c r="F30" s="305">
        <f t="shared" si="7"/>
        <v>2.020237289807069E-2</v>
      </c>
      <c r="G30" s="306">
        <f t="shared" si="4"/>
        <v>2.090790424681575E-2</v>
      </c>
      <c r="H30" s="307"/>
      <c r="I30" s="308">
        <f>'3421'!$J$107</f>
        <v>5564352.7899999991</v>
      </c>
      <c r="J30" s="308">
        <f>'3421'!$J$109</f>
        <v>5376585.2699999996</v>
      </c>
      <c r="K30" s="308">
        <f>'3421'!$J$114</f>
        <v>-112413.13</v>
      </c>
      <c r="L30" s="308">
        <f>'3421'!$J$116</f>
        <v>5451939.6599999992</v>
      </c>
      <c r="M30" s="309">
        <f>'3421'!$J$124</f>
        <v>454328.31</v>
      </c>
      <c r="N30" s="310"/>
      <c r="O30" s="308" cm="1">
        <f t="array" ref="O30:P30">'3421'!E28:F28</f>
        <v>597.86</v>
      </c>
      <c r="P30" s="246">
        <v>0</v>
      </c>
      <c r="Q30" s="309">
        <f t="shared" si="8"/>
        <v>9307.1166995617677</v>
      </c>
      <c r="R30" s="309">
        <f t="shared" si="5"/>
        <v>-188.0258421704078</v>
      </c>
      <c r="S30" s="309">
        <f t="shared" si="6"/>
        <v>9119.0908573913603</v>
      </c>
      <c r="U30" s="309">
        <f t="shared" si="9"/>
        <v>0</v>
      </c>
      <c r="V30" s="309">
        <f t="shared" si="0"/>
        <v>0</v>
      </c>
      <c r="W30" s="309">
        <f t="shared" si="1"/>
        <v>9119.0908573913603</v>
      </c>
      <c r="Y30" s="685"/>
      <c r="Z30" s="310"/>
    </row>
    <row r="31" spans="1:26" x14ac:dyDescent="0.2">
      <c r="A31" s="247">
        <v>26</v>
      </c>
      <c r="B31" s="312" t="s">
        <v>317</v>
      </c>
      <c r="C31" s="303" t="s">
        <v>318</v>
      </c>
      <c r="D31" s="304" t="s">
        <v>495</v>
      </c>
      <c r="E31" s="304" t="s">
        <v>609</v>
      </c>
      <c r="F31" s="305">
        <f t="shared" si="7"/>
        <v>4.7708213346132136E-3</v>
      </c>
      <c r="G31" s="306">
        <f t="shared" si="4"/>
        <v>5.0119782423772878E-3</v>
      </c>
      <c r="H31" s="307"/>
      <c r="I31" s="308">
        <f>'3431'!$J$107</f>
        <v>8953125.0500000007</v>
      </c>
      <c r="J31" s="308">
        <f>'3431'!$J$109</f>
        <v>8522335.4800000004</v>
      </c>
      <c r="K31" s="308">
        <f>'3431'!$J$114</f>
        <v>-42713.760000000002</v>
      </c>
      <c r="L31" s="308">
        <f>'3431'!$J$116</f>
        <v>8910411.290000001</v>
      </c>
      <c r="M31" s="309">
        <f>'3431'!$J$124</f>
        <v>742534.27</v>
      </c>
      <c r="N31" s="310"/>
      <c r="O31" s="308" cm="1">
        <f t="array" ref="O31:P31">'3431'!E28:F28</f>
        <v>997.61000000000013</v>
      </c>
      <c r="P31" s="246">
        <v>0</v>
      </c>
      <c r="Q31" s="309">
        <f t="shared" si="8"/>
        <v>8974.574282535259</v>
      </c>
      <c r="R31" s="309">
        <f t="shared" si="5"/>
        <v>-42.816090456190288</v>
      </c>
      <c r="S31" s="309">
        <f t="shared" si="6"/>
        <v>8931.758192079069</v>
      </c>
      <c r="U31" s="309">
        <f t="shared" si="9"/>
        <v>8931.758192079069</v>
      </c>
      <c r="V31" s="309">
        <f t="shared" si="0"/>
        <v>0</v>
      </c>
      <c r="W31" s="309">
        <f t="shared" si="1"/>
        <v>0</v>
      </c>
      <c r="Y31" s="685"/>
      <c r="Z31" s="310"/>
    </row>
    <row r="32" spans="1:26" x14ac:dyDescent="0.2">
      <c r="A32" s="247">
        <v>27</v>
      </c>
      <c r="B32" s="312">
        <v>3441</v>
      </c>
      <c r="C32" s="313" t="s">
        <v>319</v>
      </c>
      <c r="D32" s="314" t="s">
        <v>495</v>
      </c>
      <c r="E32" s="314" t="s">
        <v>609</v>
      </c>
      <c r="F32" s="305">
        <f t="shared" si="7"/>
        <v>9.1393490665384238E-3</v>
      </c>
      <c r="G32" s="306">
        <f t="shared" si="4"/>
        <v>9.5644350050341047E-3</v>
      </c>
      <c r="H32" s="307"/>
      <c r="I32" s="308">
        <f>'3441'!$J$107</f>
        <v>4786069.5199999996</v>
      </c>
      <c r="J32" s="308">
        <f>'3441'!$J$109</f>
        <v>4573355.3499999996</v>
      </c>
      <c r="K32" s="308">
        <f>'3441'!$J$114</f>
        <v>-43741.56</v>
      </c>
      <c r="L32" s="308">
        <f>'3441'!$J$116</f>
        <v>4742327.96</v>
      </c>
      <c r="M32" s="309">
        <f>'3441'!$J$124</f>
        <v>395194</v>
      </c>
      <c r="N32" s="310"/>
      <c r="O32" s="308" cm="1">
        <f t="array" ref="O32:P32">'3441'!E28:F28</f>
        <v>522.77</v>
      </c>
      <c r="P32" s="246">
        <v>0</v>
      </c>
      <c r="Q32" s="309">
        <f t="shared" si="8"/>
        <v>9155.2107427740684</v>
      </c>
      <c r="R32" s="309">
        <f t="shared" si="5"/>
        <v>-83.672666755934728</v>
      </c>
      <c r="S32" s="309">
        <f t="shared" si="6"/>
        <v>9071.5380760181342</v>
      </c>
      <c r="U32" s="309">
        <f t="shared" si="9"/>
        <v>9071.5380760181342</v>
      </c>
      <c r="V32" s="309">
        <f t="shared" si="0"/>
        <v>0</v>
      </c>
      <c r="W32" s="309">
        <f t="shared" si="1"/>
        <v>0</v>
      </c>
      <c r="Y32" s="685"/>
      <c r="Z32" s="310"/>
    </row>
    <row r="33" spans="1:26" x14ac:dyDescent="0.2">
      <c r="A33" s="247">
        <v>28</v>
      </c>
      <c r="B33" s="312">
        <v>3924</v>
      </c>
      <c r="C33" s="313" t="s">
        <v>320</v>
      </c>
      <c r="D33" s="304">
        <v>0</v>
      </c>
      <c r="E33" s="304" t="s">
        <v>609</v>
      </c>
      <c r="F33" s="305">
        <f t="shared" si="7"/>
        <v>2.9281614141349423E-2</v>
      </c>
      <c r="G33" s="306">
        <f t="shared" si="4"/>
        <v>3.071781318017883E-2</v>
      </c>
      <c r="H33" s="307"/>
      <c r="I33" s="308">
        <f>'3924'!$J$107</f>
        <v>3793190.48</v>
      </c>
      <c r="J33" s="308">
        <f>'3924'!$J$109</f>
        <v>3615841.38</v>
      </c>
      <c r="K33" s="308">
        <f>'3924'!$J$114</f>
        <v>-111070.74</v>
      </c>
      <c r="L33" s="308">
        <f>'3924'!$J$116</f>
        <v>3682119.7399999998</v>
      </c>
      <c r="M33" s="309">
        <f>'3924'!$J$124</f>
        <v>306843.31</v>
      </c>
      <c r="N33" s="310"/>
      <c r="O33" s="308" cm="1">
        <f t="array" ref="O33:P33">'3924'!E28:F28</f>
        <v>406.93</v>
      </c>
      <c r="P33" s="246">
        <v>0</v>
      </c>
      <c r="Q33" s="309">
        <f t="shared" si="8"/>
        <v>9321.4815324502979</v>
      </c>
      <c r="R33" s="309">
        <f t="shared" si="5"/>
        <v>-272.94802545892412</v>
      </c>
      <c r="S33" s="309">
        <f t="shared" si="6"/>
        <v>9048.5335069913745</v>
      </c>
      <c r="U33" s="309">
        <f t="shared" si="9"/>
        <v>0</v>
      </c>
      <c r="V33" s="309">
        <f t="shared" si="0"/>
        <v>0</v>
      </c>
      <c r="W33" s="309">
        <f t="shared" si="1"/>
        <v>9048.5335069913745</v>
      </c>
      <c r="Y33" s="685"/>
      <c r="Z33" s="310"/>
    </row>
    <row r="34" spans="1:26" x14ac:dyDescent="0.2">
      <c r="A34" s="247">
        <v>29</v>
      </c>
      <c r="B34" s="312" t="s">
        <v>321</v>
      </c>
      <c r="C34" s="303" t="s">
        <v>322</v>
      </c>
      <c r="D34" s="304" t="s">
        <v>495</v>
      </c>
      <c r="E34" s="304" t="s">
        <v>609</v>
      </c>
      <c r="F34" s="305">
        <f t="shared" si="7"/>
        <v>1.9018959538344513E-2</v>
      </c>
      <c r="G34" s="306">
        <f t="shared" si="4"/>
        <v>1.9999998549481438E-2</v>
      </c>
      <c r="H34" s="307"/>
      <c r="I34" s="308">
        <f>'3941'!$J$107</f>
        <v>2029915.4600000002</v>
      </c>
      <c r="J34" s="308">
        <f>'3941'!$J$109</f>
        <v>1930344.1400000001</v>
      </c>
      <c r="K34" s="308">
        <f>'3941'!$J$114</f>
        <v>-38606.879999999997</v>
      </c>
      <c r="L34" s="308">
        <f>'3941'!$J$116</f>
        <v>1991308.5800000003</v>
      </c>
      <c r="M34" s="309">
        <f>'3941'!$J$124</f>
        <v>165942.38</v>
      </c>
      <c r="N34" s="310"/>
      <c r="O34" s="308" cm="1">
        <f t="array" ref="O34:P34">'3941'!E28:F28</f>
        <v>224.29999999999998</v>
      </c>
      <c r="P34" s="246">
        <v>0</v>
      </c>
      <c r="Q34" s="309">
        <f t="shared" si="8"/>
        <v>9050.002050824789</v>
      </c>
      <c r="R34" s="309">
        <f t="shared" si="5"/>
        <v>-172.12162282657155</v>
      </c>
      <c r="S34" s="309">
        <f t="shared" si="6"/>
        <v>8877.8804279982196</v>
      </c>
      <c r="U34" s="309">
        <f t="shared" si="9"/>
        <v>8877.8804279982196</v>
      </c>
      <c r="V34" s="309">
        <f t="shared" si="0"/>
        <v>0</v>
      </c>
      <c r="W34" s="309">
        <f t="shared" si="1"/>
        <v>0</v>
      </c>
      <c r="Y34" s="685"/>
      <c r="Z34" s="310"/>
    </row>
    <row r="35" spans="1:26" x14ac:dyDescent="0.2">
      <c r="A35" s="247">
        <v>30</v>
      </c>
      <c r="B35" s="312" t="s">
        <v>323</v>
      </c>
      <c r="C35" s="315" t="s">
        <v>324</v>
      </c>
      <c r="D35" s="304">
        <v>0</v>
      </c>
      <c r="E35" s="304" t="s">
        <v>609</v>
      </c>
      <c r="F35" s="305"/>
      <c r="G35" s="306"/>
      <c r="H35" s="307"/>
      <c r="I35" s="308"/>
      <c r="J35" s="308"/>
      <c r="K35" s="308"/>
      <c r="L35" s="308"/>
      <c r="M35" s="309"/>
      <c r="N35" s="310"/>
      <c r="O35" s="308"/>
      <c r="Q35" s="309"/>
      <c r="R35" s="309"/>
      <c r="S35" s="309"/>
      <c r="U35" s="309"/>
      <c r="V35" s="309"/>
      <c r="W35" s="309"/>
      <c r="Y35" s="685"/>
      <c r="Z35" s="310"/>
    </row>
    <row r="36" spans="1:26" x14ac:dyDescent="0.2">
      <c r="A36" s="247">
        <v>31</v>
      </c>
      <c r="B36" s="312" t="s">
        <v>325</v>
      </c>
      <c r="C36" s="303" t="s">
        <v>326</v>
      </c>
      <c r="D36" s="304">
        <v>0</v>
      </c>
      <c r="E36" s="304" t="s">
        <v>609</v>
      </c>
      <c r="F36" s="305">
        <f t="shared" si="7"/>
        <v>1.9083016538840727E-2</v>
      </c>
      <c r="G36" s="306">
        <f t="shared" si="4"/>
        <v>1.9919365670933241E-2</v>
      </c>
      <c r="H36" s="307"/>
      <c r="I36" s="308">
        <f>'3971'!$J$107</f>
        <v>5980730.5500000007</v>
      </c>
      <c r="J36" s="308">
        <f>'3971'!$J$109</f>
        <v>5729619.2000000011</v>
      </c>
      <c r="K36" s="308">
        <f>'3971'!$J$114</f>
        <v>-114130.38</v>
      </c>
      <c r="L36" s="308">
        <f>'3971'!$J$116</f>
        <v>5866600.1700000009</v>
      </c>
      <c r="M36" s="309">
        <f>'3971'!$J$124</f>
        <v>488883.35</v>
      </c>
      <c r="N36" s="310"/>
      <c r="O36" s="308" cm="1">
        <f t="array" ref="O36:P36">'3971'!E28:F28</f>
        <v>627.53</v>
      </c>
      <c r="P36" s="246">
        <v>0</v>
      </c>
      <c r="Q36" s="309">
        <f t="shared" si="8"/>
        <v>9530.5890555033238</v>
      </c>
      <c r="R36" s="309">
        <f t="shared" si="5"/>
        <v>-181.87238857106433</v>
      </c>
      <c r="S36" s="309">
        <f t="shared" si="6"/>
        <v>9348.7166669322596</v>
      </c>
      <c r="U36" s="309">
        <f t="shared" si="9"/>
        <v>0</v>
      </c>
      <c r="V36" s="309">
        <f t="shared" si="0"/>
        <v>0</v>
      </c>
      <c r="W36" s="309">
        <f t="shared" si="1"/>
        <v>9348.7166669322596</v>
      </c>
      <c r="Y36" s="685"/>
      <c r="Z36" s="310"/>
    </row>
    <row r="37" spans="1:26" x14ac:dyDescent="0.2">
      <c r="A37" s="247">
        <v>32</v>
      </c>
      <c r="B37" s="312" t="s">
        <v>327</v>
      </c>
      <c r="C37" s="303" t="s">
        <v>328</v>
      </c>
      <c r="D37" s="304">
        <v>0</v>
      </c>
      <c r="E37" s="304" t="s">
        <v>609</v>
      </c>
      <c r="F37" s="305">
        <f t="shared" si="7"/>
        <v>1.8576334735558166E-2</v>
      </c>
      <c r="G37" s="306">
        <f t="shared" si="4"/>
        <v>1.9568553433000728E-2</v>
      </c>
      <c r="H37" s="307"/>
      <c r="I37" s="308">
        <f>'4001'!$J$107</f>
        <v>5728108.9900000002</v>
      </c>
      <c r="J37" s="308">
        <f>'4001'!$J$109</f>
        <v>5437666.6299999999</v>
      </c>
      <c r="K37" s="308">
        <f>'4001'!$J$114</f>
        <v>-106407.27</v>
      </c>
      <c r="L37" s="308">
        <f>'4001'!$J$116</f>
        <v>5621701.7200000007</v>
      </c>
      <c r="M37" s="309">
        <f>'4001'!$J$124</f>
        <v>468475.14</v>
      </c>
      <c r="N37" s="310"/>
      <c r="O37" s="308" cm="1">
        <f t="array" ref="O37:P37">'4001'!E28:F28</f>
        <v>638.78000000000009</v>
      </c>
      <c r="P37" s="246">
        <v>0</v>
      </c>
      <c r="Q37" s="309">
        <f t="shared" si="8"/>
        <v>8967.2641441497854</v>
      </c>
      <c r="R37" s="309">
        <f t="shared" si="5"/>
        <v>-166.57890040389492</v>
      </c>
      <c r="S37" s="309">
        <f t="shared" si="6"/>
        <v>8800.6852437458911</v>
      </c>
      <c r="U37" s="309">
        <f t="shared" si="9"/>
        <v>0</v>
      </c>
      <c r="V37" s="309">
        <f t="shared" si="0"/>
        <v>0</v>
      </c>
      <c r="W37" s="309">
        <f t="shared" si="1"/>
        <v>8800.6852437458911</v>
      </c>
      <c r="Y37" s="685"/>
      <c r="Z37" s="310"/>
    </row>
    <row r="38" spans="1:26" x14ac:dyDescent="0.2">
      <c r="A38" s="247">
        <v>33</v>
      </c>
      <c r="B38" s="312">
        <v>4002</v>
      </c>
      <c r="C38" s="303" t="s">
        <v>329</v>
      </c>
      <c r="D38" s="304">
        <v>0</v>
      </c>
      <c r="E38" s="304" t="s">
        <v>609</v>
      </c>
      <c r="F38" s="305">
        <f t="shared" si="7"/>
        <v>1.3518025392240981E-2</v>
      </c>
      <c r="G38" s="306">
        <f t="shared" si="4"/>
        <v>1.4294372133732979E-2</v>
      </c>
      <c r="H38" s="307"/>
      <c r="I38" s="308">
        <f>'4002'!$J$107</f>
        <v>7827925.0799999991</v>
      </c>
      <c r="J38" s="308">
        <f>'4002'!$J$109</f>
        <v>7402779.8499999996</v>
      </c>
      <c r="K38" s="308">
        <f>'4002'!$J$114</f>
        <v>-105818.09</v>
      </c>
      <c r="L38" s="308">
        <f>'4002'!$J$116</f>
        <v>7722106.9899999993</v>
      </c>
      <c r="M38" s="309">
        <f>'4002'!$J$124</f>
        <v>643508.92000000004</v>
      </c>
      <c r="N38" s="310"/>
      <c r="O38" s="308" cm="1">
        <f t="array" ref="O38:P38">'4002'!E28:F28</f>
        <v>874.47000000000014</v>
      </c>
      <c r="P38" s="246">
        <v>0</v>
      </c>
      <c r="Q38" s="309">
        <f t="shared" si="8"/>
        <v>8951.6222168856548</v>
      </c>
      <c r="R38" s="309">
        <f t="shared" si="5"/>
        <v>-121.00825642960876</v>
      </c>
      <c r="S38" s="309">
        <f t="shared" si="6"/>
        <v>8830.6139604560449</v>
      </c>
      <c r="U38" s="309">
        <f t="shared" si="9"/>
        <v>0</v>
      </c>
      <c r="V38" s="309">
        <f t="shared" si="0"/>
        <v>0</v>
      </c>
      <c r="W38" s="309">
        <f t="shared" si="1"/>
        <v>8830.6139604560449</v>
      </c>
      <c r="Y38" s="685"/>
      <c r="Z38" s="310"/>
    </row>
    <row r="39" spans="1:26" x14ac:dyDescent="0.2">
      <c r="A39" s="247">
        <v>34</v>
      </c>
      <c r="B39" s="312">
        <v>4012</v>
      </c>
      <c r="C39" s="303" t="s">
        <v>330</v>
      </c>
      <c r="D39" s="304" t="s">
        <v>495</v>
      </c>
      <c r="E39" s="304" t="s">
        <v>609</v>
      </c>
      <c r="F39" s="305" t="e">
        <f t="shared" si="7"/>
        <v>#DIV/0!</v>
      </c>
      <c r="G39" s="306" t="e">
        <f t="shared" si="4"/>
        <v>#DIV/0!</v>
      </c>
      <c r="H39" s="307"/>
      <c r="I39" s="308">
        <f>'4012'!$J$107</f>
        <v>0</v>
      </c>
      <c r="J39" s="308">
        <f>'4012'!$J$109</f>
        <v>0</v>
      </c>
      <c r="K39" s="308">
        <f>'4012'!$J$114</f>
        <v>0</v>
      </c>
      <c r="L39" s="308">
        <f>'4012'!$J$116</f>
        <v>0</v>
      </c>
      <c r="M39" s="309">
        <f>'4012'!$J$124</f>
        <v>0</v>
      </c>
      <c r="N39" s="310"/>
      <c r="O39" s="308" cm="1">
        <f t="array" ref="O39:P39">'4012'!E28:F28</f>
        <v>0</v>
      </c>
      <c r="P39" s="246">
        <v>0</v>
      </c>
      <c r="Q39" s="309" t="e">
        <f t="shared" si="8"/>
        <v>#DIV/0!</v>
      </c>
      <c r="R39" s="309" t="e">
        <f t="shared" si="5"/>
        <v>#DIV/0!</v>
      </c>
      <c r="S39" s="309" t="e">
        <f t="shared" si="6"/>
        <v>#DIV/0!</v>
      </c>
      <c r="U39" s="309" t="e">
        <f t="shared" si="9"/>
        <v>#DIV/0!</v>
      </c>
      <c r="V39" s="309">
        <f t="shared" si="0"/>
        <v>0</v>
      </c>
      <c r="W39" s="309" t="e">
        <f t="shared" si="1"/>
        <v>#DIV/0!</v>
      </c>
      <c r="Y39" s="685"/>
      <c r="Z39" s="310"/>
    </row>
    <row r="40" spans="1:26" x14ac:dyDescent="0.2">
      <c r="A40" s="247">
        <v>35</v>
      </c>
      <c r="B40" s="312">
        <v>4013</v>
      </c>
      <c r="C40" s="303" t="s">
        <v>331</v>
      </c>
      <c r="D40" s="304" t="s">
        <v>495</v>
      </c>
      <c r="E40" s="304" t="s">
        <v>609</v>
      </c>
      <c r="F40" s="305">
        <f t="shared" si="7"/>
        <v>3.1367097792805382E-3</v>
      </c>
      <c r="G40" s="306">
        <f t="shared" si="4"/>
        <v>3.2853020451175481E-3</v>
      </c>
      <c r="H40" s="307"/>
      <c r="I40" s="308">
        <f>'4013'!$J$107</f>
        <v>14167877.529999999</v>
      </c>
      <c r="J40" s="308">
        <f>'4013'!$J$109</f>
        <v>13527072.82</v>
      </c>
      <c r="K40" s="308">
        <f>'4013'!$J$114</f>
        <v>-44440.52</v>
      </c>
      <c r="L40" s="308">
        <f>'4013'!$J$116</f>
        <v>14123437.01</v>
      </c>
      <c r="M40" s="309">
        <f>'4013'!$J$124</f>
        <v>1176953.08</v>
      </c>
      <c r="N40" s="310"/>
      <c r="O40" s="308" cm="1">
        <f t="array" ref="O40:P40">'4013'!E28:F28</f>
        <v>1521.93</v>
      </c>
      <c r="P40" s="246">
        <v>0</v>
      </c>
      <c r="Q40" s="309">
        <f t="shared" si="8"/>
        <v>9309.1518860920005</v>
      </c>
      <c r="R40" s="309">
        <f t="shared" si="5"/>
        <v>-29.200107757912647</v>
      </c>
      <c r="S40" s="309">
        <f t="shared" si="6"/>
        <v>9279.9517783340889</v>
      </c>
      <c r="U40" s="309">
        <f t="shared" si="9"/>
        <v>9279.9517783340889</v>
      </c>
      <c r="V40" s="309">
        <f t="shared" si="0"/>
        <v>0</v>
      </c>
      <c r="W40" s="309">
        <f t="shared" si="1"/>
        <v>0</v>
      </c>
      <c r="Y40" s="685"/>
      <c r="Z40" s="310"/>
    </row>
    <row r="41" spans="1:26" x14ac:dyDescent="0.2">
      <c r="A41" s="247">
        <v>36</v>
      </c>
      <c r="B41" s="312">
        <v>4020</v>
      </c>
      <c r="C41" s="313" t="s">
        <v>332</v>
      </c>
      <c r="D41" s="304">
        <v>0</v>
      </c>
      <c r="E41" s="304" t="s">
        <v>609</v>
      </c>
      <c r="F41" s="305">
        <f t="shared" si="7"/>
        <v>9.6435592467957899E-3</v>
      </c>
      <c r="G41" s="306">
        <f t="shared" si="4"/>
        <v>1.0123015178930909E-2</v>
      </c>
      <c r="H41" s="307"/>
      <c r="I41" s="308">
        <f>'4020'!$J$107</f>
        <v>11127249.519999998</v>
      </c>
      <c r="J41" s="308">
        <f>'4020'!$J$109</f>
        <v>10600230.079999998</v>
      </c>
      <c r="K41" s="308">
        <f>'4020'!$J$114</f>
        <v>-107306.29</v>
      </c>
      <c r="L41" s="308">
        <f>'4020'!$J$116</f>
        <v>11019943.229999999</v>
      </c>
      <c r="M41" s="309">
        <f>'4020'!$J$124</f>
        <v>918328.6</v>
      </c>
      <c r="N41" s="310"/>
      <c r="O41" s="308" cm="1">
        <f t="array" ref="O41:P41">'4020'!E28:F28</f>
        <v>1234.8099999999997</v>
      </c>
      <c r="P41" s="246">
        <v>0</v>
      </c>
      <c r="Q41" s="309">
        <f t="shared" si="8"/>
        <v>9011.30499429062</v>
      </c>
      <c r="R41" s="309">
        <f t="shared" si="5"/>
        <v>-86.901053603388391</v>
      </c>
      <c r="S41" s="309">
        <f t="shared" si="6"/>
        <v>8924.4039406872325</v>
      </c>
      <c r="U41" s="309">
        <f t="shared" si="9"/>
        <v>0</v>
      </c>
      <c r="V41" s="309">
        <f t="shared" si="0"/>
        <v>0</v>
      </c>
      <c r="W41" s="309">
        <f t="shared" si="1"/>
        <v>8924.4039406872325</v>
      </c>
      <c r="Y41" s="685"/>
      <c r="Z41" s="310"/>
    </row>
    <row r="42" spans="1:26" x14ac:dyDescent="0.2">
      <c r="A42" s="247">
        <v>37</v>
      </c>
      <c r="B42" s="312">
        <v>4030</v>
      </c>
      <c r="C42" s="313" t="s">
        <v>333</v>
      </c>
      <c r="D42" s="304">
        <v>0</v>
      </c>
      <c r="E42" s="304" t="s">
        <v>609</v>
      </c>
      <c r="F42" s="305" t="str">
        <f>IFERROR(-K42/I42,"")</f>
        <v/>
      </c>
      <c r="G42" s="306" t="str">
        <f>IFERROR(-K42/J42,"")</f>
        <v/>
      </c>
      <c r="H42" s="307"/>
      <c r="I42" s="308">
        <f>'4030'!$J$107</f>
        <v>0</v>
      </c>
      <c r="J42" s="308">
        <f>'4030'!$J$109</f>
        <v>0</v>
      </c>
      <c r="K42" s="308">
        <f>'4030'!$J$114</f>
        <v>0</v>
      </c>
      <c r="L42" s="308">
        <f>'4030'!$J$116</f>
        <v>0</v>
      </c>
      <c r="M42" s="309">
        <f>'4030'!$J$124</f>
        <v>0</v>
      </c>
      <c r="N42" s="310"/>
      <c r="O42" s="308" cm="1">
        <f t="array" ref="O42:P42">'4030'!E28:F28</f>
        <v>0</v>
      </c>
      <c r="P42" s="246">
        <v>0</v>
      </c>
      <c r="Q42" s="309">
        <f>IFERROR(I42/O42,0)</f>
        <v>0</v>
      </c>
      <c r="R42" s="309">
        <f>IFERROR(K42/O42,0)</f>
        <v>0</v>
      </c>
      <c r="S42" s="309">
        <f>IFERROR(L42/O42,0)</f>
        <v>0</v>
      </c>
      <c r="U42" s="309">
        <f t="shared" si="9"/>
        <v>0</v>
      </c>
      <c r="V42" s="309">
        <f t="shared" si="0"/>
        <v>0</v>
      </c>
      <c r="W42" s="309">
        <f>IF(AND(U42=0,V42=0),S42,)</f>
        <v>0</v>
      </c>
      <c r="Y42" s="685"/>
      <c r="Z42" s="310"/>
    </row>
    <row r="43" spans="1:26" x14ac:dyDescent="0.2">
      <c r="A43" s="247">
        <v>38</v>
      </c>
      <c r="B43" s="312">
        <v>4031</v>
      </c>
      <c r="C43" s="313" t="s">
        <v>334</v>
      </c>
      <c r="D43" s="304">
        <v>0</v>
      </c>
      <c r="E43" s="304" t="s">
        <v>609</v>
      </c>
      <c r="F43" s="305">
        <f t="shared" si="7"/>
        <v>2.9682857921458843E-2</v>
      </c>
      <c r="G43" s="306">
        <f t="shared" si="4"/>
        <v>3.1410982050527746E-2</v>
      </c>
      <c r="H43" s="307"/>
      <c r="I43" s="308">
        <f>'4031'!$J$107</f>
        <v>3560632.21</v>
      </c>
      <c r="J43" s="308">
        <f>'4031'!$J$109</f>
        <v>3364738.48</v>
      </c>
      <c r="K43" s="308">
        <f>'4031'!$J$114</f>
        <v>-105689.74</v>
      </c>
      <c r="L43" s="308">
        <f>'4031'!$J$116</f>
        <v>3454942.4699999997</v>
      </c>
      <c r="M43" s="309">
        <f>'4031'!$J$124</f>
        <v>287911.87</v>
      </c>
      <c r="N43" s="310"/>
      <c r="O43" s="308" cm="1">
        <f t="array" ref="O43:P43">'4031'!E28:F28</f>
        <v>397.9500000000001</v>
      </c>
      <c r="P43" s="246">
        <v>0</v>
      </c>
      <c r="Q43" s="309">
        <f t="shared" si="8"/>
        <v>8947.4361351928619</v>
      </c>
      <c r="R43" s="309">
        <f>K43/O43</f>
        <v>-265.58547556225653</v>
      </c>
      <c r="S43" s="309">
        <f>L43/O43</f>
        <v>8681.8506596306033</v>
      </c>
      <c r="U43" s="309">
        <f t="shared" si="9"/>
        <v>0</v>
      </c>
      <c r="V43" s="309">
        <f t="shared" si="0"/>
        <v>0</v>
      </c>
      <c r="W43" s="309">
        <f>IF(AND(U43=0,V43=0),S43,)</f>
        <v>8681.8506596306033</v>
      </c>
      <c r="Y43" s="685"/>
      <c r="Z43" s="310"/>
    </row>
    <row r="44" spans="1:26" x14ac:dyDescent="0.2">
      <c r="A44" s="247">
        <v>39</v>
      </c>
      <c r="B44" s="316">
        <v>4041</v>
      </c>
      <c r="C44" s="317" t="s">
        <v>335</v>
      </c>
      <c r="D44" s="318" t="s">
        <v>495</v>
      </c>
      <c r="E44" s="318" t="s">
        <v>609</v>
      </c>
      <c r="F44" s="305">
        <f t="shared" si="7"/>
        <v>1.9094640714952156E-2</v>
      </c>
      <c r="G44" s="306">
        <f t="shared" si="4"/>
        <v>0.02</v>
      </c>
      <c r="H44" s="307"/>
      <c r="I44" s="308">
        <f>'4041'!$J$107</f>
        <v>842053.54999999993</v>
      </c>
      <c r="J44" s="308">
        <f>'4041'!$J$109</f>
        <v>803935.49999999988</v>
      </c>
      <c r="K44" s="308">
        <f>'4041'!$J$114</f>
        <v>-16078.71</v>
      </c>
      <c r="L44" s="308">
        <f>'4041'!$J$116</f>
        <v>825974.84</v>
      </c>
      <c r="M44" s="309">
        <f>'4041'!$J$124</f>
        <v>68831.240000000005</v>
      </c>
      <c r="N44" s="310"/>
      <c r="O44" s="308" cm="1">
        <f t="array" ref="O44:P44">'4041'!E28:F28</f>
        <v>94.8</v>
      </c>
      <c r="P44" s="246">
        <v>0</v>
      </c>
      <c r="Q44" s="309">
        <f t="shared" si="8"/>
        <v>8882.4214135021084</v>
      </c>
      <c r="R44" s="309">
        <f t="shared" si="5"/>
        <v>-169.60664556962024</v>
      </c>
      <c r="S44" s="309">
        <f t="shared" si="6"/>
        <v>8712.8147679324902</v>
      </c>
      <c r="U44" s="309">
        <f t="shared" si="9"/>
        <v>8712.8147679324902</v>
      </c>
      <c r="V44" s="309">
        <f t="shared" si="0"/>
        <v>0</v>
      </c>
      <c r="W44" s="309">
        <f t="shared" si="1"/>
        <v>0</v>
      </c>
      <c r="Y44" s="685"/>
      <c r="Z44" s="310"/>
    </row>
    <row r="45" spans="1:26" x14ac:dyDescent="0.2">
      <c r="A45" s="247">
        <v>40</v>
      </c>
      <c r="B45" s="319">
        <v>4050</v>
      </c>
      <c r="C45" s="320" t="s">
        <v>336</v>
      </c>
      <c r="D45" s="321">
        <v>0</v>
      </c>
      <c r="E45" s="321" t="s">
        <v>609</v>
      </c>
      <c r="F45" s="305">
        <f t="shared" si="7"/>
        <v>1.8642700067548569E-2</v>
      </c>
      <c r="G45" s="306">
        <f t="shared" si="4"/>
        <v>1.9727913533914041E-2</v>
      </c>
      <c r="H45" s="307"/>
      <c r="I45" s="308">
        <f>'4050'!$J$107</f>
        <v>5632880.4100000001</v>
      </c>
      <c r="J45" s="308">
        <f>'4050'!$J$109</f>
        <v>5323021.0999999996</v>
      </c>
      <c r="K45" s="308">
        <f>'4050'!$J$114</f>
        <v>-105012.1</v>
      </c>
      <c r="L45" s="308">
        <f>'4050'!$J$116</f>
        <v>5527868.3100000005</v>
      </c>
      <c r="M45" s="309">
        <f>'4050'!$J$124</f>
        <v>460655.69</v>
      </c>
      <c r="N45" s="310"/>
      <c r="O45" s="308" cm="1">
        <f t="array" ref="O45:P45">'4050'!E28:F28</f>
        <v>633.62000000000012</v>
      </c>
      <c r="P45" s="246">
        <v>0</v>
      </c>
      <c r="Q45" s="309">
        <f t="shared" si="8"/>
        <v>8889.9978062561149</v>
      </c>
      <c r="R45" s="309">
        <f t="shared" si="5"/>
        <v>-165.73356270319749</v>
      </c>
      <c r="S45" s="309">
        <f t="shared" si="6"/>
        <v>8724.2642435529178</v>
      </c>
      <c r="U45" s="309">
        <f t="shared" si="9"/>
        <v>0</v>
      </c>
      <c r="V45" s="309">
        <f t="shared" si="0"/>
        <v>0</v>
      </c>
      <c r="W45" s="309">
        <f t="shared" si="1"/>
        <v>8724.2642435529178</v>
      </c>
      <c r="Y45" s="685"/>
      <c r="Z45" s="310"/>
    </row>
    <row r="46" spans="1:26" x14ac:dyDescent="0.2">
      <c r="A46" s="247">
        <v>41</v>
      </c>
      <c r="B46" s="319">
        <v>4051</v>
      </c>
      <c r="C46" s="320" t="s">
        <v>337</v>
      </c>
      <c r="D46" s="321">
        <v>0</v>
      </c>
      <c r="E46" s="321" t="s">
        <v>609</v>
      </c>
      <c r="F46" s="305">
        <f t="shared" si="7"/>
        <v>1.8914861602733674E-2</v>
      </c>
      <c r="G46" s="306">
        <f t="shared" si="4"/>
        <v>2.0096785790499099E-2</v>
      </c>
      <c r="H46" s="307"/>
      <c r="I46" s="308">
        <f>'4051'!$J$107</f>
        <v>5553424.7199999997</v>
      </c>
      <c r="J46" s="308">
        <f>'4051'!$J$109</f>
        <v>5226818.91</v>
      </c>
      <c r="K46" s="308">
        <f>'4051'!$J$114</f>
        <v>-105042.26</v>
      </c>
      <c r="L46" s="308">
        <f>'4051'!$J$116</f>
        <v>5448382.46</v>
      </c>
      <c r="M46" s="309">
        <f>'4051'!$J$124</f>
        <v>454031.87</v>
      </c>
      <c r="N46" s="310"/>
      <c r="O46" s="308" cm="1">
        <f t="array" ref="O46:P46">'4051'!E28:F28</f>
        <v>621.99</v>
      </c>
      <c r="P46" s="246">
        <v>0</v>
      </c>
      <c r="Q46" s="309">
        <f t="shared" si="8"/>
        <v>8928.4791073811466</v>
      </c>
      <c r="R46" s="309">
        <f t="shared" si="5"/>
        <v>-168.88094663901347</v>
      </c>
      <c r="S46" s="309">
        <f t="shared" si="6"/>
        <v>8759.5981607421345</v>
      </c>
      <c r="U46" s="309">
        <f t="shared" si="9"/>
        <v>0</v>
      </c>
      <c r="V46" s="309">
        <f t="shared" si="0"/>
        <v>0</v>
      </c>
      <c r="W46" s="309">
        <f t="shared" si="1"/>
        <v>8759.5981607421345</v>
      </c>
      <c r="Y46" s="685"/>
      <c r="Z46" s="310"/>
    </row>
    <row r="47" spans="1:26" x14ac:dyDescent="0.2">
      <c r="A47" s="247">
        <v>42</v>
      </c>
      <c r="B47" s="319">
        <v>4061</v>
      </c>
      <c r="C47" s="322" t="s">
        <v>338</v>
      </c>
      <c r="D47" s="321">
        <v>0</v>
      </c>
      <c r="E47" s="321" t="s">
        <v>609</v>
      </c>
      <c r="F47" s="305">
        <f t="shared" si="7"/>
        <v>1.2832248822595248E-2</v>
      </c>
      <c r="G47" s="306">
        <f t="shared" si="4"/>
        <v>1.3505775215563147E-2</v>
      </c>
      <c r="H47" s="307"/>
      <c r="I47" s="308">
        <f>'4061'!$J$107</f>
        <v>8150812.1799999997</v>
      </c>
      <c r="J47" s="308">
        <f>'4061'!$J$109</f>
        <v>7744335.1699999999</v>
      </c>
      <c r="K47" s="308">
        <f>'4061'!$J$114</f>
        <v>-104593.25</v>
      </c>
      <c r="L47" s="308">
        <f>'4061'!$J$116</f>
        <v>8046218.9299999997</v>
      </c>
      <c r="M47" s="309">
        <f>'4061'!$J$124</f>
        <v>670518.24</v>
      </c>
      <c r="N47" s="310"/>
      <c r="O47" s="308" cm="1">
        <f t="array" ref="O47:P47">'4061'!E28:F28</f>
        <v>925.53000000000009</v>
      </c>
      <c r="P47" s="246">
        <v>0</v>
      </c>
      <c r="Q47" s="309">
        <f t="shared" si="8"/>
        <v>8806.6428748933031</v>
      </c>
      <c r="R47" s="309">
        <f t="shared" si="5"/>
        <v>-113.00903266236642</v>
      </c>
      <c r="S47" s="309">
        <f t="shared" si="6"/>
        <v>8693.6338422309364</v>
      </c>
      <c r="U47" s="309">
        <f t="shared" si="9"/>
        <v>0</v>
      </c>
      <c r="V47" s="309">
        <f t="shared" si="0"/>
        <v>0</v>
      </c>
      <c r="W47" s="309">
        <f t="shared" si="1"/>
        <v>8693.6338422309364</v>
      </c>
      <c r="Y47" s="685"/>
      <c r="Z47" s="310"/>
    </row>
    <row r="48" spans="1:26" x14ac:dyDescent="0.2">
      <c r="A48" s="247">
        <v>43</v>
      </c>
      <c r="B48" s="319">
        <v>4080</v>
      </c>
      <c r="C48" s="323" t="s">
        <v>339</v>
      </c>
      <c r="D48" s="318">
        <v>0</v>
      </c>
      <c r="E48" s="318" t="s">
        <v>609</v>
      </c>
      <c r="F48" s="305"/>
      <c r="G48" s="306"/>
      <c r="H48" s="307"/>
      <c r="I48" s="308"/>
      <c r="J48" s="308"/>
      <c r="K48" s="308"/>
      <c r="L48" s="308"/>
      <c r="M48" s="309"/>
      <c r="N48" s="310"/>
      <c r="O48" s="308"/>
      <c r="Q48" s="309"/>
      <c r="R48" s="309"/>
      <c r="S48" s="309"/>
      <c r="U48" s="309"/>
      <c r="V48" s="309"/>
      <c r="W48" s="309"/>
      <c r="Y48" s="685"/>
      <c r="Z48" s="310"/>
    </row>
    <row r="49" spans="1:26" x14ac:dyDescent="0.2">
      <c r="A49" s="247">
        <v>44</v>
      </c>
      <c r="B49" s="319">
        <v>4081</v>
      </c>
      <c r="C49" s="322" t="s">
        <v>340</v>
      </c>
      <c r="D49" s="318">
        <v>0</v>
      </c>
      <c r="E49" s="318" t="s">
        <v>609</v>
      </c>
      <c r="F49" s="305">
        <f t="shared" si="7"/>
        <v>4.7799914542442493E-2</v>
      </c>
      <c r="G49" s="306">
        <f t="shared" si="4"/>
        <v>4.9999997727596342E-2</v>
      </c>
      <c r="H49" s="307"/>
      <c r="I49" s="308">
        <f>'4081'!$J$107</f>
        <v>1150793.48</v>
      </c>
      <c r="J49" s="308">
        <f>'4081'!$J$109</f>
        <v>1100156.6499999999</v>
      </c>
      <c r="K49" s="308">
        <f>'4081'!$J$114</f>
        <v>-55007.83</v>
      </c>
      <c r="L49" s="308">
        <f>'4081'!$J$116</f>
        <v>1095785.6499999999</v>
      </c>
      <c r="M49" s="309">
        <f>'4081'!$J$124</f>
        <v>91315.47</v>
      </c>
      <c r="N49" s="310"/>
      <c r="O49" s="308" cm="1">
        <f t="array" ref="O49:P49">'4081'!E28:F28</f>
        <v>123.15</v>
      </c>
      <c r="P49" s="246">
        <v>0</v>
      </c>
      <c r="Q49" s="309">
        <f t="shared" si="8"/>
        <v>9344.6486398700763</v>
      </c>
      <c r="R49" s="309">
        <f t="shared" si="5"/>
        <v>-446.6734064149411</v>
      </c>
      <c r="S49" s="309">
        <f t="shared" si="6"/>
        <v>8897.975233455134</v>
      </c>
      <c r="U49" s="309">
        <f t="shared" si="9"/>
        <v>0</v>
      </c>
      <c r="V49" s="309">
        <f t="shared" si="0"/>
        <v>0</v>
      </c>
      <c r="W49" s="309">
        <f t="shared" si="1"/>
        <v>8897.975233455134</v>
      </c>
      <c r="Y49" s="685"/>
      <c r="Z49" s="310"/>
    </row>
    <row r="50" spans="1:26" x14ac:dyDescent="0.2">
      <c r="A50" s="247">
        <v>45</v>
      </c>
      <c r="B50" s="319">
        <v>4090</v>
      </c>
      <c r="C50" s="322" t="s">
        <v>341</v>
      </c>
      <c r="D50" s="318">
        <v>0</v>
      </c>
      <c r="E50" s="318" t="s">
        <v>609</v>
      </c>
      <c r="F50" s="305">
        <f t="shared" si="7"/>
        <v>3.7073971979912836E-2</v>
      </c>
      <c r="G50" s="306">
        <f t="shared" si="4"/>
        <v>3.8631518119829344E-2</v>
      </c>
      <c r="H50" s="307"/>
      <c r="I50" s="308">
        <f>'4090'!$J$107</f>
        <v>2810517.31</v>
      </c>
      <c r="J50" s="308">
        <f>'4090'!$J$109</f>
        <v>2697202.83</v>
      </c>
      <c r="K50" s="308">
        <f>'4090'!$J$114</f>
        <v>-104197.04</v>
      </c>
      <c r="L50" s="308">
        <f>'4090'!$J$116</f>
        <v>2706320.27</v>
      </c>
      <c r="M50" s="309">
        <f>'4090'!$J$124</f>
        <v>225526.69</v>
      </c>
      <c r="N50" s="310"/>
      <c r="O50" s="308" cm="1">
        <f t="array" ref="O50:P50">'4090'!E28:F28</f>
        <v>323.57</v>
      </c>
      <c r="P50" s="246">
        <v>0</v>
      </c>
      <c r="Q50" s="309">
        <f t="shared" si="8"/>
        <v>8685.963809994746</v>
      </c>
      <c r="R50" s="309">
        <f t="shared" si="5"/>
        <v>-322.02317891028213</v>
      </c>
      <c r="S50" s="309">
        <f t="shared" si="6"/>
        <v>8363.9406310844643</v>
      </c>
      <c r="U50" s="309">
        <f t="shared" si="9"/>
        <v>0</v>
      </c>
      <c r="V50" s="309">
        <f t="shared" si="0"/>
        <v>0</v>
      </c>
      <c r="W50" s="309">
        <f t="shared" si="1"/>
        <v>8363.9406310844643</v>
      </c>
      <c r="Y50" s="685"/>
      <c r="Z50" s="310"/>
    </row>
    <row r="51" spans="1:26" x14ac:dyDescent="0.2">
      <c r="A51" s="247">
        <v>46</v>
      </c>
      <c r="B51" s="319">
        <v>4091</v>
      </c>
      <c r="C51" s="322" t="s">
        <v>342</v>
      </c>
      <c r="D51" s="318">
        <v>0</v>
      </c>
      <c r="E51" s="318" t="s">
        <v>609</v>
      </c>
      <c r="F51" s="305">
        <f t="shared" si="7"/>
        <v>3.0163776363621799E-2</v>
      </c>
      <c r="G51" s="306">
        <f t="shared" si="4"/>
        <v>3.1708987676948734E-2</v>
      </c>
      <c r="H51" s="307"/>
      <c r="I51" s="308">
        <f>'4091'!$J$107</f>
        <v>3592434.14</v>
      </c>
      <c r="J51" s="308">
        <f>'4091'!$J$109</f>
        <v>3417371.16</v>
      </c>
      <c r="K51" s="308">
        <f>'4091'!$J$114</f>
        <v>-108361.38</v>
      </c>
      <c r="L51" s="308">
        <f>'4091'!$J$116</f>
        <v>3484072.7600000002</v>
      </c>
      <c r="M51" s="309">
        <f>'4091'!$J$124</f>
        <v>290339.40000000002</v>
      </c>
      <c r="N51" s="310"/>
      <c r="O51" s="308" cm="1">
        <f t="array" ref="O51:P51">'4091'!E28:F28</f>
        <v>394.21000000000004</v>
      </c>
      <c r="P51" s="246">
        <v>0</v>
      </c>
      <c r="Q51" s="309">
        <f t="shared" si="8"/>
        <v>9112.9959666167779</v>
      </c>
      <c r="R51" s="309">
        <f t="shared" si="5"/>
        <v>-274.88237233961593</v>
      </c>
      <c r="S51" s="309">
        <f t="shared" si="6"/>
        <v>8838.1135942771616</v>
      </c>
      <c r="U51" s="309">
        <f t="shared" si="9"/>
        <v>0</v>
      </c>
      <c r="V51" s="309">
        <f t="shared" si="0"/>
        <v>0</v>
      </c>
      <c r="W51" s="309">
        <f t="shared" si="1"/>
        <v>8838.1135942771616</v>
      </c>
      <c r="Y51" s="685"/>
      <c r="Z51" s="310"/>
    </row>
    <row r="52" spans="1:26" x14ac:dyDescent="0.2">
      <c r="A52" s="247">
        <v>47</v>
      </c>
      <c r="B52" s="319">
        <v>4100</v>
      </c>
      <c r="C52" s="322" t="s">
        <v>343</v>
      </c>
      <c r="D52" s="318">
        <v>0</v>
      </c>
      <c r="E52" s="318">
        <v>1</v>
      </c>
      <c r="F52" s="305">
        <f t="shared" si="7"/>
        <v>8.1002135697046777E-3</v>
      </c>
      <c r="G52" s="306">
        <f t="shared" si="4"/>
        <v>8.484892520913381E-3</v>
      </c>
      <c r="H52" s="307"/>
      <c r="I52" s="308">
        <f>'4100'!$J$107</f>
        <v>4372211.88</v>
      </c>
      <c r="J52" s="308">
        <f>'4100'!$J$109</f>
        <v>4173989.23</v>
      </c>
      <c r="K52" s="308">
        <f>'4100'!$J$114</f>
        <v>-35415.85</v>
      </c>
      <c r="L52" s="308">
        <f>'4100'!$J$116</f>
        <v>4336796.03</v>
      </c>
      <c r="M52" s="309">
        <f>'4100'!$J$124</f>
        <v>361399.67</v>
      </c>
      <c r="N52" s="310"/>
      <c r="O52" s="308" cm="1">
        <f t="array" ref="O52:P52">'4100'!E28:F28</f>
        <v>111</v>
      </c>
      <c r="P52" s="246">
        <v>0</v>
      </c>
      <c r="Q52" s="309">
        <f t="shared" si="8"/>
        <v>39389.296216216215</v>
      </c>
      <c r="R52" s="309">
        <f t="shared" si="5"/>
        <v>-319.06171171171172</v>
      </c>
      <c r="S52" s="309">
        <f t="shared" si="6"/>
        <v>39070.234504504508</v>
      </c>
      <c r="U52" s="309">
        <f t="shared" si="9"/>
        <v>0</v>
      </c>
      <c r="V52" s="309">
        <f t="shared" si="0"/>
        <v>39070.230000000003</v>
      </c>
      <c r="W52" s="309">
        <f t="shared" si="1"/>
        <v>0</v>
      </c>
      <c r="Y52" s="685"/>
      <c r="Z52" s="310"/>
    </row>
    <row r="53" spans="1:26" x14ac:dyDescent="0.2">
      <c r="A53" s="247">
        <v>48</v>
      </c>
      <c r="B53" s="319">
        <v>4102</v>
      </c>
      <c r="C53" s="322" t="s">
        <v>344</v>
      </c>
      <c r="D53" s="318">
        <v>0</v>
      </c>
      <c r="E53" s="318" t="s">
        <v>609</v>
      </c>
      <c r="F53" s="305">
        <f t="shared" si="7"/>
        <v>4.8107471978462692E-2</v>
      </c>
      <c r="G53" s="306">
        <f t="shared" si="4"/>
        <v>5.0000001935801668E-2</v>
      </c>
      <c r="H53" s="307"/>
      <c r="I53" s="308">
        <f>'4102'!$J$107</f>
        <v>1610711.95</v>
      </c>
      <c r="J53" s="308">
        <f>'4102'!$J$109</f>
        <v>1549745.54</v>
      </c>
      <c r="K53" s="308">
        <f>'4102'!$J$114</f>
        <v>-77487.28</v>
      </c>
      <c r="L53" s="308">
        <f>'4102'!$J$116</f>
        <v>1533224.67</v>
      </c>
      <c r="M53" s="309">
        <f>'4102'!$J$124</f>
        <v>127768.72</v>
      </c>
      <c r="N53" s="310"/>
      <c r="O53" s="308" cm="1">
        <f t="array" ref="O53:P53">'4102'!E28:F28</f>
        <v>178.89000000000001</v>
      </c>
      <c r="P53" s="246">
        <v>0</v>
      </c>
      <c r="Q53" s="309">
        <v>0</v>
      </c>
      <c r="R53" s="309">
        <v>0</v>
      </c>
      <c r="S53" s="309">
        <v>0</v>
      </c>
      <c r="U53" s="309">
        <f t="shared" si="9"/>
        <v>0</v>
      </c>
      <c r="V53" s="309">
        <f t="shared" si="0"/>
        <v>0</v>
      </c>
      <c r="W53" s="309">
        <f>IF(AND(U53=0,V53=0),S53,)</f>
        <v>0</v>
      </c>
      <c r="Y53" s="685"/>
      <c r="Z53" s="310"/>
    </row>
    <row r="54" spans="1:26" x14ac:dyDescent="0.2">
      <c r="A54" s="247">
        <v>49</v>
      </c>
      <c r="B54" s="319">
        <v>4103</v>
      </c>
      <c r="C54" s="322" t="s">
        <v>345</v>
      </c>
      <c r="D54" s="318">
        <v>0</v>
      </c>
      <c r="E54" s="318" t="s">
        <v>609</v>
      </c>
      <c r="F54" s="305">
        <f>IF(I54=0,0,-K54/I54)</f>
        <v>1.2408053806612753E-2</v>
      </c>
      <c r="G54" s="306">
        <f t="shared" si="4"/>
        <v>1.2997545576020866E-2</v>
      </c>
      <c r="H54" s="307"/>
      <c r="I54" s="308">
        <f>'4103'!$J$107</f>
        <v>8758648.3499999996</v>
      </c>
      <c r="J54" s="308">
        <f>'4103'!$J$109</f>
        <v>8361407.8799999999</v>
      </c>
      <c r="K54" s="308">
        <f>'4103'!$J$114</f>
        <v>-108677.78</v>
      </c>
      <c r="L54" s="308">
        <f>'4103'!$J$116</f>
        <v>8649970.5700000003</v>
      </c>
      <c r="M54" s="309">
        <f>'4103'!$J$124</f>
        <v>720830.88</v>
      </c>
      <c r="N54" s="310"/>
      <c r="O54" s="308" cm="1">
        <f t="array" ref="O54:P54">'4103'!E28:F28</f>
        <v>961.71999999999991</v>
      </c>
      <c r="P54" s="246">
        <v>0</v>
      </c>
      <c r="Q54" s="309">
        <f>IF(O54=0,0,I54/O54)</f>
        <v>9107.2748305120003</v>
      </c>
      <c r="R54" s="309">
        <f>IF(O54=0,0,K54/O54)</f>
        <v>-113.00355612860292</v>
      </c>
      <c r="S54" s="309">
        <f>IF(O54=0,0,L54/O54)</f>
        <v>8994.2712743833981</v>
      </c>
      <c r="U54" s="309">
        <f t="shared" si="9"/>
        <v>0</v>
      </c>
      <c r="V54" s="309">
        <f t="shared" si="0"/>
        <v>0</v>
      </c>
      <c r="W54" s="309">
        <f>IF(AND(U54=0,V54=0),S54,)</f>
        <v>8994.2712743833981</v>
      </c>
      <c r="Y54" s="685"/>
      <c r="Z54" s="310"/>
    </row>
    <row r="55" spans="1:26" x14ac:dyDescent="0.2">
      <c r="A55" s="247">
        <v>50</v>
      </c>
      <c r="B55" s="319">
        <v>4111</v>
      </c>
      <c r="C55" s="322" t="s">
        <v>346</v>
      </c>
      <c r="D55" s="318">
        <v>0</v>
      </c>
      <c r="E55" s="318" t="s">
        <v>609</v>
      </c>
      <c r="F55" s="305">
        <f>IF(I55=0,0,-K55/I55)</f>
        <v>3.6518622905238329E-2</v>
      </c>
      <c r="G55" s="306">
        <f t="shared" si="4"/>
        <v>3.8128356336921652E-2</v>
      </c>
      <c r="H55" s="307"/>
      <c r="I55" s="308">
        <f>'4111'!$J$107</f>
        <v>2940575.5599999996</v>
      </c>
      <c r="J55" s="308">
        <f>'4111'!$J$109</f>
        <v>2816427.9899999998</v>
      </c>
      <c r="K55" s="308">
        <f>'4111'!$J$114</f>
        <v>-107385.77</v>
      </c>
      <c r="L55" s="308">
        <f>'4111'!$J$116</f>
        <v>2833189.7899999996</v>
      </c>
      <c r="M55" s="309">
        <f>'4111'!$J$124</f>
        <v>236099.15</v>
      </c>
      <c r="N55" s="310"/>
      <c r="O55" s="308" cm="1">
        <f t="array" ref="O55:P55">'4111'!E28:F28</f>
        <v>327.84000000000003</v>
      </c>
      <c r="P55" s="246">
        <v>0</v>
      </c>
      <c r="Q55" s="309">
        <f>IF(O55=0,0,I55/O55)</f>
        <v>8969.5447779404567</v>
      </c>
      <c r="R55" s="309">
        <f>IF(O55=0,0,K55/O55)</f>
        <v>-327.55542337725717</v>
      </c>
      <c r="S55" s="309">
        <f>IF(O55=0,0,L55/O55)</f>
        <v>8641.9893545632003</v>
      </c>
      <c r="U55" s="309">
        <f t="shared" si="9"/>
        <v>0</v>
      </c>
      <c r="V55" s="309">
        <f t="shared" si="0"/>
        <v>0</v>
      </c>
      <c r="W55" s="309">
        <f>IF(AND(U55=0,V55=0),S55,)</f>
        <v>8641.9893545632003</v>
      </c>
      <c r="Y55" s="685"/>
      <c r="Z55" s="310"/>
    </row>
    <row r="56" spans="1:26" x14ac:dyDescent="0.2">
      <c r="A56" s="247">
        <v>51</v>
      </c>
      <c r="B56" s="319">
        <v>4131</v>
      </c>
      <c r="C56" s="322" t="s">
        <v>347</v>
      </c>
      <c r="D56" s="318">
        <v>0</v>
      </c>
      <c r="E56" s="318" t="s">
        <v>609</v>
      </c>
      <c r="F56" s="305">
        <f>IF(I56=0,0,-K56/I56)</f>
        <v>4.80923576544608E-2</v>
      </c>
      <c r="G56" s="306">
        <f t="shared" si="4"/>
        <v>5.00000009645689E-2</v>
      </c>
      <c r="H56" s="307"/>
      <c r="I56" s="308">
        <f>'4131'!$J$107</f>
        <v>1077855.8699999999</v>
      </c>
      <c r="J56" s="308">
        <f>'4131'!$J$109</f>
        <v>1036732.5799999998</v>
      </c>
      <c r="K56" s="308">
        <f>'4131'!$J$114</f>
        <v>-51836.63</v>
      </c>
      <c r="L56" s="308">
        <f>'4131'!$J$116</f>
        <v>1026019.2399999999</v>
      </c>
      <c r="M56" s="309">
        <f>'4131'!$J$124</f>
        <v>85501.6</v>
      </c>
      <c r="N56" s="310"/>
      <c r="O56" s="308" cm="1">
        <f t="array" ref="O56:P56">'4131'!E28:F28</f>
        <v>121.44</v>
      </c>
      <c r="P56" s="246">
        <v>0</v>
      </c>
      <c r="Q56" s="309">
        <f>IF(O56=0,0,I56/O56)</f>
        <v>8875.6247529644261</v>
      </c>
      <c r="R56" s="309">
        <f>IF(O56=0,0,K56/O56)</f>
        <v>-426.84972002635044</v>
      </c>
      <c r="S56" s="309">
        <f>IF(O56=0,0,L56/O56)</f>
        <v>8448.775032938076</v>
      </c>
      <c r="U56" s="309">
        <f t="shared" si="9"/>
        <v>0</v>
      </c>
      <c r="V56" s="309">
        <f t="shared" si="0"/>
        <v>0</v>
      </c>
      <c r="W56" s="309">
        <f>IF(AND(U56=0,V56=0),S56,)</f>
        <v>8448.775032938076</v>
      </c>
      <c r="Y56" s="685"/>
      <c r="Z56" s="310"/>
    </row>
    <row r="57" spans="1:26" hidden="1" x14ac:dyDescent="0.2">
      <c r="A57" s="247"/>
      <c r="B57" s="319"/>
      <c r="C57" s="322"/>
      <c r="D57" s="842"/>
      <c r="E57" s="842" t="s">
        <v>609</v>
      </c>
      <c r="F57" s="843">
        <f>IF(I57=0,0,-K57/I57)</f>
        <v>0</v>
      </c>
      <c r="G57" s="843" t="str">
        <f>IFERROR(-K57/J57,"")</f>
        <v/>
      </c>
      <c r="H57" s="844"/>
      <c r="I57" s="845">
        <f>'4141'!$J$107</f>
        <v>0</v>
      </c>
      <c r="J57" s="845">
        <f>'4141'!$J$109</f>
        <v>0</v>
      </c>
      <c r="K57" s="845">
        <f>'4141'!$J$114</f>
        <v>0</v>
      </c>
      <c r="L57" s="845">
        <f>'4141'!$J$116</f>
        <v>0</v>
      </c>
      <c r="M57" s="846">
        <f>'4141'!$J$124</f>
        <v>0</v>
      </c>
      <c r="N57" s="847"/>
      <c r="O57" s="845" cm="1">
        <f t="array" ref="O57:P57">'4141'!E29:F29</f>
        <v>0</v>
      </c>
      <c r="P57" s="848">
        <v>0</v>
      </c>
      <c r="Q57" s="846">
        <f>IF(O57=0,0,I57/O57)</f>
        <v>0</v>
      </c>
      <c r="R57" s="846">
        <f>IF(O57=0,0,K57/O57)</f>
        <v>0</v>
      </c>
      <c r="S57" s="846">
        <f>IF(O57=0,0,L57/O57)</f>
        <v>0</v>
      </c>
      <c r="T57" s="848"/>
      <c r="U57" s="846">
        <f t="shared" ref="U57" si="17">IF(D57="H",S57,0)</f>
        <v>0</v>
      </c>
      <c r="V57" s="846">
        <f t="shared" ref="V57" si="18">ROUND(IF(E57=1,S57,0),2)</f>
        <v>0</v>
      </c>
      <c r="W57" s="846">
        <f>IF(AND(U57=0,V57=0),S57,)</f>
        <v>0</v>
      </c>
      <c r="Y57" s="685"/>
      <c r="Z57" s="310"/>
    </row>
    <row r="58" spans="1:26" x14ac:dyDescent="0.2">
      <c r="A58" s="324"/>
    </row>
    <row r="59" spans="1:26" x14ac:dyDescent="0.2">
      <c r="D59" s="247">
        <f>COUNTIF(D6:D58,"H")</f>
        <v>12</v>
      </c>
      <c r="E59" s="326">
        <f>SUM(E6:E58)</f>
        <v>9</v>
      </c>
      <c r="F59" s="307">
        <f>-K59/I59</f>
        <v>1.4767875788649347E-2</v>
      </c>
      <c r="G59" s="307">
        <f t="shared" si="4"/>
        <v>1.5460951028061026E-2</v>
      </c>
      <c r="I59" s="310">
        <f>SUM(I6:I58)</f>
        <v>219244697.49999997</v>
      </c>
      <c r="J59" s="310">
        <f>SUM(J6:J58)</f>
        <v>209416513.51999998</v>
      </c>
      <c r="K59" s="310">
        <f>SUM(K6:K58)</f>
        <v>-3237778.4599999995</v>
      </c>
      <c r="L59" s="310">
        <f>SUM(L6:L58)</f>
        <v>216006919.03999999</v>
      </c>
      <c r="M59" s="310">
        <f>SUM(M6:M58)</f>
        <v>18000576.57</v>
      </c>
      <c r="O59" s="310">
        <f>SUM(O6:O58)</f>
        <v>21121.920000000002</v>
      </c>
      <c r="Q59" s="310" t="e">
        <f>SUM(Q6:Q58)</f>
        <v>#DIV/0!</v>
      </c>
      <c r="R59" s="325">
        <f>K59/O59</f>
        <v>-153.289968904342</v>
      </c>
      <c r="S59" s="325">
        <f>L59/O59</f>
        <v>10226.670636002786</v>
      </c>
      <c r="U59" s="310" t="e">
        <f>AVERAGEIF(U9:U55,"&lt;&gt;0")</f>
        <v>#DIV/0!</v>
      </c>
      <c r="V59" s="310">
        <f>AVERAGEIF(V9:V55,"&lt;&gt;0")</f>
        <v>27142.12125</v>
      </c>
      <c r="W59" s="310" t="e">
        <f>AVERAGEIF(W6:W56,"&lt;&gt;0")</f>
        <v>#DIV/0!</v>
      </c>
    </row>
    <row r="60" spans="1:26" x14ac:dyDescent="0.2">
      <c r="O60" s="310"/>
    </row>
    <row r="61" spans="1:26" x14ac:dyDescent="0.2">
      <c r="C61" s="246" t="s">
        <v>348</v>
      </c>
      <c r="I61" s="327">
        <f>Consolidated!I142</f>
        <v>219244697.49999997</v>
      </c>
      <c r="J61" s="327">
        <f>Consolidated!I144</f>
        <v>209416513.51999998</v>
      </c>
      <c r="K61" s="327">
        <f>Consolidated!I149</f>
        <v>-3237778.4599999995</v>
      </c>
      <c r="L61" s="327">
        <f>I61+K61</f>
        <v>216006919.03999996</v>
      </c>
      <c r="M61" s="327">
        <f>Consolidated!I159</f>
        <v>18000576.57</v>
      </c>
    </row>
    <row r="62" spans="1:26" x14ac:dyDescent="0.2">
      <c r="L62" s="328"/>
    </row>
    <row r="63" spans="1:26" ht="13.5" thickBot="1" x14ac:dyDescent="0.25">
      <c r="C63" s="246" t="s">
        <v>349</v>
      </c>
      <c r="I63" s="329">
        <f>I61-I59</f>
        <v>0</v>
      </c>
      <c r="J63" s="329">
        <f>J61-J59</f>
        <v>0</v>
      </c>
      <c r="K63" s="329">
        <f>K61-K59</f>
        <v>0</v>
      </c>
      <c r="L63" s="329">
        <f>L61-L59</f>
        <v>0</v>
      </c>
      <c r="M63" s="329">
        <f>M61-M59</f>
        <v>0</v>
      </c>
    </row>
    <row r="64" spans="1:26" ht="13.5" thickTop="1" x14ac:dyDescent="0.2">
      <c r="L64" s="325"/>
    </row>
    <row r="65" spans="12:12" x14ac:dyDescent="0.2">
      <c r="L65" s="310"/>
    </row>
    <row r="66" spans="12:12" x14ac:dyDescent="0.2">
      <c r="L66" s="330"/>
    </row>
    <row r="67" spans="12:12" x14ac:dyDescent="0.2">
      <c r="L67" s="554"/>
    </row>
    <row r="68" spans="12:12" x14ac:dyDescent="0.2">
      <c r="L68" s="310"/>
    </row>
  </sheetData>
  <mergeCells count="3">
    <mergeCell ref="I4:L4"/>
    <mergeCell ref="Q4:S4"/>
    <mergeCell ref="U4:W4"/>
  </mergeCells>
  <conditionalFormatting sqref="B6:C7 E6:E7 O6:O7">
    <cfRule type="expression" dxfId="10" priority="3" stopIfTrue="1">
      <formula>MOD(ROW(),2)=0</formula>
    </cfRule>
  </conditionalFormatting>
  <conditionalFormatting sqref="D6:D8">
    <cfRule type="expression" dxfId="9" priority="2" stopIfTrue="1">
      <formula>MOD(ROW(),2)=0</formula>
    </cfRule>
  </conditionalFormatting>
  <conditionalFormatting sqref="F6:G8">
    <cfRule type="expression" dxfId="8" priority="1" stopIfTrue="1">
      <formula>MOD(ROW(),2)=0</formula>
    </cfRule>
  </conditionalFormatting>
  <conditionalFormatting sqref="I6:M57 Q6:S57 U6:W57 B8 B9:G57 O9:O57">
    <cfRule type="expression" dxfId="7" priority="4" stopIfTrue="1">
      <formula>MOD(ROW(),2)=0</formula>
    </cfRule>
  </conditionalFormatting>
  <conditionalFormatting sqref="O60">
    <cfRule type="cellIs" dxfId="6" priority="5" stopIfTrue="1" operator="equal">
      <formula>0</formula>
    </cfRule>
  </conditionalFormatting>
  <pageMargins left="0.7" right="0.7" top="0.75" bottom="0.75" header="0.3" footer="0.3"/>
  <pageSetup orientation="portrait" r:id="rId1"/>
  <ignoredErrors>
    <ignoredError sqref="Q42:S42 F42:G42"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B3CB8-0B22-4075-AE07-7260CBF8B9C4}">
  <dimension ref="A1:J56"/>
  <sheetViews>
    <sheetView topLeftCell="A25" workbookViewId="0">
      <selection activeCell="B38" sqref="B38:C38"/>
    </sheetView>
  </sheetViews>
  <sheetFormatPr defaultColWidth="9.140625" defaultRowHeight="12.75" x14ac:dyDescent="0.2"/>
  <cols>
    <col min="1" max="1" width="4.140625" style="246" bestFit="1" customWidth="1"/>
    <col min="2" max="2" width="9.140625" style="246"/>
    <col min="3" max="3" width="52.140625" style="246" bestFit="1" customWidth="1"/>
    <col min="4" max="4" width="2.140625" style="246" customWidth="1"/>
    <col min="5" max="5" width="9.140625" style="246" customWidth="1"/>
    <col min="6" max="6" width="52.140625" style="246" bestFit="1" customWidth="1"/>
    <col min="7" max="16384" width="9.140625" style="246"/>
  </cols>
  <sheetData>
    <row r="1" spans="1:10" x14ac:dyDescent="0.2">
      <c r="B1" s="331" t="s">
        <v>350</v>
      </c>
      <c r="C1" s="332"/>
      <c r="D1" s="332"/>
      <c r="E1" s="333"/>
      <c r="F1" s="332"/>
    </row>
    <row r="2" spans="1:10" x14ac:dyDescent="0.2">
      <c r="B2" s="334"/>
      <c r="C2" s="332"/>
      <c r="D2" s="332"/>
      <c r="E2" s="333"/>
      <c r="F2" s="332"/>
    </row>
    <row r="3" spans="1:10" x14ac:dyDescent="0.2">
      <c r="B3" s="868" t="s">
        <v>351</v>
      </c>
      <c r="C3" s="869"/>
      <c r="D3" s="332"/>
      <c r="E3" s="868" t="s">
        <v>352</v>
      </c>
      <c r="F3" s="869"/>
    </row>
    <row r="4" spans="1:10" x14ac:dyDescent="0.2">
      <c r="B4" s="335" t="s">
        <v>353</v>
      </c>
      <c r="C4" s="336" t="s">
        <v>354</v>
      </c>
      <c r="D4" s="332"/>
      <c r="E4" s="335" t="s">
        <v>353</v>
      </c>
      <c r="F4" s="336" t="s">
        <v>354</v>
      </c>
    </row>
    <row r="5" spans="1:10" x14ac:dyDescent="0.2">
      <c r="A5" s="324">
        <v>1</v>
      </c>
      <c r="B5" s="337" t="s">
        <v>271</v>
      </c>
      <c r="C5" s="338" t="s">
        <v>355</v>
      </c>
      <c r="D5" s="332"/>
      <c r="E5" s="856" t="s">
        <v>309</v>
      </c>
      <c r="F5" s="857" t="s">
        <v>310</v>
      </c>
    </row>
    <row r="6" spans="1:10" x14ac:dyDescent="0.2">
      <c r="A6" s="324">
        <v>2</v>
      </c>
      <c r="B6" s="683" t="s">
        <v>611</v>
      </c>
      <c r="C6" s="261" t="s">
        <v>614</v>
      </c>
      <c r="D6" s="332"/>
      <c r="E6" s="337" t="s">
        <v>321</v>
      </c>
      <c r="F6" s="339" t="s">
        <v>322</v>
      </c>
      <c r="I6" s="340" t="s">
        <v>357</v>
      </c>
    </row>
    <row r="7" spans="1:10" x14ac:dyDescent="0.2">
      <c r="A7" s="324">
        <v>3</v>
      </c>
      <c r="B7" s="337" t="s">
        <v>273</v>
      </c>
      <c r="C7" s="338" t="s">
        <v>356</v>
      </c>
      <c r="D7" s="332"/>
      <c r="E7" s="337" t="s">
        <v>358</v>
      </c>
      <c r="F7" s="339" t="s">
        <v>359</v>
      </c>
    </row>
    <row r="8" spans="1:10" x14ac:dyDescent="0.2">
      <c r="A8" s="324">
        <v>4</v>
      </c>
      <c r="B8" s="337" t="s">
        <v>275</v>
      </c>
      <c r="C8" s="338" t="s">
        <v>276</v>
      </c>
      <c r="D8" s="332"/>
      <c r="E8" s="337" t="s">
        <v>293</v>
      </c>
      <c r="F8" s="346" t="s">
        <v>294</v>
      </c>
    </row>
    <row r="9" spans="1:10" x14ac:dyDescent="0.2">
      <c r="A9" s="324">
        <v>5</v>
      </c>
      <c r="B9" s="337" t="s">
        <v>277</v>
      </c>
      <c r="C9" s="338" t="s">
        <v>278</v>
      </c>
      <c r="D9" s="332"/>
      <c r="E9" s="337" t="s">
        <v>360</v>
      </c>
      <c r="F9" s="339" t="s">
        <v>361</v>
      </c>
      <c r="I9" s="340" t="s">
        <v>362</v>
      </c>
    </row>
    <row r="10" spans="1:10" x14ac:dyDescent="0.2">
      <c r="A10" s="324">
        <v>6</v>
      </c>
      <c r="B10" s="337" t="s">
        <v>279</v>
      </c>
      <c r="C10" s="338" t="s">
        <v>280</v>
      </c>
      <c r="D10" s="332"/>
      <c r="E10" s="337" t="s">
        <v>279</v>
      </c>
      <c r="F10" s="338" t="s">
        <v>280</v>
      </c>
      <c r="I10" s="340" t="s">
        <v>364</v>
      </c>
    </row>
    <row r="11" spans="1:10" x14ac:dyDescent="0.2">
      <c r="A11" s="324">
        <v>7</v>
      </c>
      <c r="B11" s="337" t="s">
        <v>281</v>
      </c>
      <c r="C11" s="339" t="s">
        <v>363</v>
      </c>
      <c r="D11" s="332"/>
      <c r="E11" s="337" t="s">
        <v>307</v>
      </c>
      <c r="F11" s="339" t="s">
        <v>308</v>
      </c>
      <c r="I11" s="341"/>
      <c r="J11" s="342"/>
    </row>
    <row r="12" spans="1:10" x14ac:dyDescent="0.2">
      <c r="A12" s="324">
        <v>8</v>
      </c>
      <c r="B12" s="337" t="s">
        <v>283</v>
      </c>
      <c r="C12" s="339" t="s">
        <v>365</v>
      </c>
      <c r="D12" s="332"/>
      <c r="E12" s="337" t="s">
        <v>366</v>
      </c>
      <c r="F12" s="339" t="s">
        <v>340</v>
      </c>
    </row>
    <row r="13" spans="1:10" x14ac:dyDescent="0.2">
      <c r="A13" s="324">
        <v>9</v>
      </c>
      <c r="B13" s="337" t="s">
        <v>285</v>
      </c>
      <c r="C13" s="339" t="s">
        <v>286</v>
      </c>
      <c r="D13" s="332"/>
      <c r="E13" s="337" t="s">
        <v>367</v>
      </c>
      <c r="F13" s="339" t="s">
        <v>332</v>
      </c>
      <c r="I13" s="343" t="s">
        <v>369</v>
      </c>
    </row>
    <row r="14" spans="1:10" x14ac:dyDescent="0.2">
      <c r="A14" s="324">
        <v>10</v>
      </c>
      <c r="B14" s="337" t="s">
        <v>287</v>
      </c>
      <c r="C14" s="338" t="s">
        <v>288</v>
      </c>
      <c r="D14" s="332"/>
      <c r="E14" s="337" t="s">
        <v>368</v>
      </c>
      <c r="F14" s="339" t="s">
        <v>338</v>
      </c>
      <c r="I14" s="344" t="s">
        <v>271</v>
      </c>
      <c r="J14" s="345" t="s">
        <v>355</v>
      </c>
    </row>
    <row r="15" spans="1:10" x14ac:dyDescent="0.2">
      <c r="A15" s="324">
        <v>11</v>
      </c>
      <c r="B15" s="337" t="s">
        <v>289</v>
      </c>
      <c r="C15" s="339" t="s">
        <v>290</v>
      </c>
      <c r="D15" s="332"/>
      <c r="E15" s="337" t="s">
        <v>323</v>
      </c>
      <c r="F15" s="338" t="s">
        <v>324</v>
      </c>
      <c r="I15" s="341" t="s">
        <v>273</v>
      </c>
      <c r="J15" s="342" t="s">
        <v>356</v>
      </c>
    </row>
    <row r="16" spans="1:10" x14ac:dyDescent="0.2">
      <c r="A16" s="324">
        <v>12</v>
      </c>
      <c r="B16" s="337" t="s">
        <v>291</v>
      </c>
      <c r="C16" s="339" t="s">
        <v>370</v>
      </c>
      <c r="D16" s="332"/>
      <c r="E16" s="337" t="s">
        <v>297</v>
      </c>
      <c r="F16" s="338" t="s">
        <v>298</v>
      </c>
      <c r="I16" s="347">
        <v>3362</v>
      </c>
      <c r="J16" s="348" t="s">
        <v>372</v>
      </c>
    </row>
    <row r="17" spans="1:10" x14ac:dyDescent="0.2">
      <c r="A17" s="324">
        <v>13</v>
      </c>
      <c r="B17" s="337" t="s">
        <v>293</v>
      </c>
      <c r="C17" s="346" t="s">
        <v>294</v>
      </c>
      <c r="D17" s="332"/>
      <c r="E17" s="337" t="s">
        <v>305</v>
      </c>
      <c r="F17" s="338" t="s">
        <v>371</v>
      </c>
      <c r="I17" s="682" t="s">
        <v>611</v>
      </c>
      <c r="J17" s="348" t="s">
        <v>642</v>
      </c>
    </row>
    <row r="18" spans="1:10" x14ac:dyDescent="0.2">
      <c r="A18" s="324">
        <v>14</v>
      </c>
      <c r="B18" s="247">
        <v>3362</v>
      </c>
      <c r="C18" s="246" t="s">
        <v>373</v>
      </c>
      <c r="D18" s="332"/>
      <c r="E18" s="337" t="s">
        <v>295</v>
      </c>
      <c r="F18" s="338" t="s">
        <v>296</v>
      </c>
    </row>
    <row r="19" spans="1:10" x14ac:dyDescent="0.2">
      <c r="A19" s="324">
        <v>15</v>
      </c>
      <c r="B19" s="337" t="s">
        <v>295</v>
      </c>
      <c r="C19" s="338" t="s">
        <v>296</v>
      </c>
      <c r="D19" s="332"/>
      <c r="E19" s="337" t="s">
        <v>275</v>
      </c>
      <c r="F19" s="338" t="s">
        <v>276</v>
      </c>
    </row>
    <row r="20" spans="1:10" x14ac:dyDescent="0.2">
      <c r="A20" s="324">
        <v>16</v>
      </c>
      <c r="B20" s="337" t="s">
        <v>297</v>
      </c>
      <c r="C20" s="338" t="s">
        <v>298</v>
      </c>
      <c r="D20" s="332"/>
      <c r="E20" s="337" t="s">
        <v>301</v>
      </c>
      <c r="F20" s="338" t="s">
        <v>302</v>
      </c>
    </row>
    <row r="21" spans="1:10" x14ac:dyDescent="0.2">
      <c r="A21" s="324">
        <v>17</v>
      </c>
      <c r="B21" s="733" t="s">
        <v>299</v>
      </c>
      <c r="C21" s="734" t="s">
        <v>300</v>
      </c>
      <c r="D21" s="332"/>
      <c r="E21" s="337" t="s">
        <v>374</v>
      </c>
      <c r="F21" s="349" t="s">
        <v>333</v>
      </c>
    </row>
    <row r="22" spans="1:10" x14ac:dyDescent="0.2">
      <c r="A22" s="324">
        <v>18</v>
      </c>
      <c r="B22" s="337" t="s">
        <v>301</v>
      </c>
      <c r="C22" s="338" t="s">
        <v>302</v>
      </c>
      <c r="D22" s="332"/>
      <c r="E22" s="337" t="s">
        <v>285</v>
      </c>
      <c r="F22" s="339" t="s">
        <v>286</v>
      </c>
    </row>
    <row r="23" spans="1:10" x14ac:dyDescent="0.2">
      <c r="A23" s="324">
        <v>19</v>
      </c>
      <c r="B23" s="337" t="s">
        <v>303</v>
      </c>
      <c r="C23" s="339" t="s">
        <v>375</v>
      </c>
      <c r="D23" s="332"/>
      <c r="E23" s="337" t="s">
        <v>376</v>
      </c>
      <c r="F23" s="349" t="s">
        <v>320</v>
      </c>
    </row>
    <row r="24" spans="1:10" x14ac:dyDescent="0.2">
      <c r="A24" s="324">
        <v>20</v>
      </c>
      <c r="B24" s="337" t="s">
        <v>305</v>
      </c>
      <c r="C24" s="338" t="s">
        <v>371</v>
      </c>
      <c r="D24" s="332"/>
      <c r="E24" s="337" t="s">
        <v>271</v>
      </c>
      <c r="F24" s="338" t="s">
        <v>355</v>
      </c>
    </row>
    <row r="25" spans="1:10" x14ac:dyDescent="0.2">
      <c r="A25" s="324">
        <v>21</v>
      </c>
      <c r="B25" s="337" t="s">
        <v>307</v>
      </c>
      <c r="C25" s="339" t="s">
        <v>308</v>
      </c>
      <c r="D25" s="332"/>
      <c r="E25" s="337" t="s">
        <v>325</v>
      </c>
      <c r="F25" s="338" t="s">
        <v>326</v>
      </c>
    </row>
    <row r="26" spans="1:10" x14ac:dyDescent="0.2">
      <c r="A26" s="324">
        <v>22</v>
      </c>
      <c r="B26" s="337" t="s">
        <v>309</v>
      </c>
      <c r="C26" s="339" t="s">
        <v>310</v>
      </c>
      <c r="D26" s="332"/>
      <c r="E26" s="337" t="s">
        <v>289</v>
      </c>
      <c r="F26" s="339" t="s">
        <v>290</v>
      </c>
    </row>
    <row r="27" spans="1:10" x14ac:dyDescent="0.2">
      <c r="A27" s="324">
        <v>23</v>
      </c>
      <c r="B27" s="337" t="s">
        <v>311</v>
      </c>
      <c r="C27" s="338" t="s">
        <v>312</v>
      </c>
      <c r="D27" s="332"/>
      <c r="E27" s="255" t="s">
        <v>611</v>
      </c>
      <c r="F27" s="246" t="s">
        <v>614</v>
      </c>
    </row>
    <row r="28" spans="1:10" x14ac:dyDescent="0.2">
      <c r="A28" s="324">
        <v>24</v>
      </c>
      <c r="B28" s="337" t="s">
        <v>313</v>
      </c>
      <c r="C28" s="339" t="s">
        <v>314</v>
      </c>
      <c r="D28" s="332"/>
      <c r="E28" s="337" t="s">
        <v>281</v>
      </c>
      <c r="F28" s="339" t="s">
        <v>377</v>
      </c>
    </row>
    <row r="29" spans="1:10" x14ac:dyDescent="0.2">
      <c r="A29" s="324">
        <v>25</v>
      </c>
      <c r="B29" s="350" t="s">
        <v>315</v>
      </c>
      <c r="C29" s="339" t="s">
        <v>316</v>
      </c>
      <c r="D29" s="332"/>
      <c r="E29" s="337" t="s">
        <v>311</v>
      </c>
      <c r="F29" s="338" t="s">
        <v>312</v>
      </c>
      <c r="I29" s="280"/>
    </row>
    <row r="30" spans="1:10" x14ac:dyDescent="0.2">
      <c r="A30" s="324">
        <v>26</v>
      </c>
      <c r="B30" s="337" t="s">
        <v>317</v>
      </c>
      <c r="C30" s="338" t="s">
        <v>318</v>
      </c>
      <c r="D30" s="332"/>
      <c r="E30" s="337" t="s">
        <v>378</v>
      </c>
      <c r="F30" s="339" t="s">
        <v>337</v>
      </c>
      <c r="I30" s="280"/>
    </row>
    <row r="31" spans="1:10" x14ac:dyDescent="0.2">
      <c r="A31" s="324">
        <v>27</v>
      </c>
      <c r="B31" s="337" t="s">
        <v>379</v>
      </c>
      <c r="C31" s="339" t="s">
        <v>380</v>
      </c>
      <c r="D31" s="332"/>
      <c r="E31" s="337" t="s">
        <v>381</v>
      </c>
      <c r="F31" s="339" t="s">
        <v>336</v>
      </c>
    </row>
    <row r="32" spans="1:10" x14ac:dyDescent="0.2">
      <c r="A32" s="324">
        <v>28</v>
      </c>
      <c r="B32" s="337" t="s">
        <v>376</v>
      </c>
      <c r="C32" s="349" t="s">
        <v>320</v>
      </c>
      <c r="D32" s="332"/>
      <c r="E32" s="337" t="s">
        <v>382</v>
      </c>
      <c r="F32" s="339" t="s">
        <v>329</v>
      </c>
    </row>
    <row r="33" spans="1:6" x14ac:dyDescent="0.2">
      <c r="A33" s="324">
        <v>29</v>
      </c>
      <c r="B33" s="337" t="s">
        <v>321</v>
      </c>
      <c r="C33" s="339" t="s">
        <v>322</v>
      </c>
      <c r="D33" s="332"/>
      <c r="E33" s="337" t="s">
        <v>327</v>
      </c>
      <c r="F33" s="338" t="s">
        <v>328</v>
      </c>
    </row>
    <row r="34" spans="1:6" x14ac:dyDescent="0.2">
      <c r="A34" s="324">
        <v>30</v>
      </c>
      <c r="B34" s="733" t="s">
        <v>323</v>
      </c>
      <c r="C34" s="735" t="s">
        <v>324</v>
      </c>
      <c r="D34" s="332"/>
      <c r="E34" s="337" t="s">
        <v>317</v>
      </c>
      <c r="F34" s="338" t="s">
        <v>318</v>
      </c>
    </row>
    <row r="35" spans="1:6" x14ac:dyDescent="0.2">
      <c r="A35" s="324">
        <v>31</v>
      </c>
      <c r="B35" s="337" t="s">
        <v>325</v>
      </c>
      <c r="C35" s="338" t="s">
        <v>326</v>
      </c>
      <c r="D35" s="332"/>
      <c r="E35" s="337" t="s">
        <v>299</v>
      </c>
      <c r="F35" s="338" t="s">
        <v>300</v>
      </c>
    </row>
    <row r="36" spans="1:6" x14ac:dyDescent="0.2">
      <c r="A36" s="324">
        <v>32</v>
      </c>
      <c r="B36" s="337" t="s">
        <v>327</v>
      </c>
      <c r="C36" s="338" t="s">
        <v>328</v>
      </c>
      <c r="D36" s="332"/>
      <c r="E36" s="337">
        <v>4111</v>
      </c>
      <c r="F36" s="338" t="s">
        <v>346</v>
      </c>
    </row>
    <row r="37" spans="1:6" x14ac:dyDescent="0.2">
      <c r="A37" s="324">
        <v>33</v>
      </c>
      <c r="B37" s="337" t="s">
        <v>382</v>
      </c>
      <c r="C37" s="339" t="s">
        <v>329</v>
      </c>
      <c r="D37" s="332"/>
      <c r="E37" s="337" t="s">
        <v>313</v>
      </c>
      <c r="F37" s="339" t="s">
        <v>314</v>
      </c>
    </row>
    <row r="38" spans="1:6" x14ac:dyDescent="0.2">
      <c r="A38" s="324">
        <v>34</v>
      </c>
      <c r="B38" s="337" t="s">
        <v>383</v>
      </c>
      <c r="C38" s="349" t="s">
        <v>330</v>
      </c>
      <c r="D38" s="332"/>
      <c r="E38" s="337" t="s">
        <v>385</v>
      </c>
      <c r="F38" s="339" t="s">
        <v>335</v>
      </c>
    </row>
    <row r="39" spans="1:6" x14ac:dyDescent="0.2">
      <c r="A39" s="324">
        <v>35</v>
      </c>
      <c r="B39" s="337" t="s">
        <v>384</v>
      </c>
      <c r="C39" s="338" t="s">
        <v>331</v>
      </c>
      <c r="D39" s="332"/>
      <c r="E39" s="337" t="s">
        <v>384</v>
      </c>
      <c r="F39" s="338" t="s">
        <v>331</v>
      </c>
    </row>
    <row r="40" spans="1:6" x14ac:dyDescent="0.2">
      <c r="A40" s="324">
        <v>36</v>
      </c>
      <c r="B40" s="337" t="s">
        <v>367</v>
      </c>
      <c r="C40" s="339" t="s">
        <v>332</v>
      </c>
      <c r="D40" s="332"/>
      <c r="E40" s="337" t="s">
        <v>383</v>
      </c>
      <c r="F40" s="349" t="s">
        <v>330</v>
      </c>
    </row>
    <row r="41" spans="1:6" x14ac:dyDescent="0.2">
      <c r="A41" s="324">
        <v>37</v>
      </c>
      <c r="B41" s="337" t="s">
        <v>374</v>
      </c>
      <c r="C41" s="338" t="s">
        <v>333</v>
      </c>
      <c r="D41" s="332"/>
      <c r="E41" s="337" t="s">
        <v>303</v>
      </c>
      <c r="F41" s="338" t="s">
        <v>375</v>
      </c>
    </row>
    <row r="42" spans="1:6" x14ac:dyDescent="0.2">
      <c r="A42" s="324">
        <v>38</v>
      </c>
      <c r="B42" s="337">
        <v>4031</v>
      </c>
      <c r="C42" s="339" t="s">
        <v>334</v>
      </c>
      <c r="D42" s="332"/>
      <c r="E42" s="337">
        <v>4091</v>
      </c>
      <c r="F42" s="338" t="s">
        <v>342</v>
      </c>
    </row>
    <row r="43" spans="1:6" x14ac:dyDescent="0.2">
      <c r="A43" s="324">
        <v>39</v>
      </c>
      <c r="B43" s="337" t="s">
        <v>385</v>
      </c>
      <c r="C43" s="339" t="s">
        <v>335</v>
      </c>
      <c r="D43" s="332"/>
      <c r="E43" s="337">
        <v>4031</v>
      </c>
      <c r="F43" s="339" t="s">
        <v>334</v>
      </c>
    </row>
    <row r="44" spans="1:6" x14ac:dyDescent="0.2">
      <c r="A44" s="324">
        <v>40</v>
      </c>
      <c r="B44" s="337" t="s">
        <v>381</v>
      </c>
      <c r="C44" s="339" t="s">
        <v>336</v>
      </c>
      <c r="D44" s="332"/>
      <c r="E44" s="350" t="s">
        <v>386</v>
      </c>
      <c r="F44" s="339" t="s">
        <v>347</v>
      </c>
    </row>
    <row r="45" spans="1:6" x14ac:dyDescent="0.2">
      <c r="A45" s="324">
        <v>41</v>
      </c>
      <c r="B45" s="337" t="s">
        <v>378</v>
      </c>
      <c r="C45" s="339" t="s">
        <v>337</v>
      </c>
      <c r="D45" s="332"/>
      <c r="E45" s="337">
        <v>3362</v>
      </c>
      <c r="F45" s="338" t="s">
        <v>373</v>
      </c>
    </row>
    <row r="46" spans="1:6" x14ac:dyDescent="0.2">
      <c r="A46" s="324">
        <v>42</v>
      </c>
      <c r="B46" s="337" t="s">
        <v>368</v>
      </c>
      <c r="C46" s="339" t="s">
        <v>338</v>
      </c>
      <c r="D46" s="332"/>
      <c r="E46" s="337" t="s">
        <v>277</v>
      </c>
      <c r="F46" s="338" t="s">
        <v>278</v>
      </c>
    </row>
    <row r="47" spans="1:6" x14ac:dyDescent="0.2">
      <c r="A47" s="324">
        <v>43</v>
      </c>
      <c r="B47" s="733" t="s">
        <v>387</v>
      </c>
      <c r="C47" s="735" t="s">
        <v>388</v>
      </c>
      <c r="D47" s="332"/>
      <c r="E47" s="337" t="s">
        <v>379</v>
      </c>
      <c r="F47" s="339" t="s">
        <v>380</v>
      </c>
    </row>
    <row r="48" spans="1:6" x14ac:dyDescent="0.2">
      <c r="A48" s="324">
        <v>44</v>
      </c>
      <c r="B48" s="351" t="s">
        <v>366</v>
      </c>
      <c r="C48" s="246" t="s">
        <v>340</v>
      </c>
      <c r="D48" s="332"/>
      <c r="E48" s="337">
        <v>4090</v>
      </c>
      <c r="F48" s="338" t="s">
        <v>389</v>
      </c>
    </row>
    <row r="49" spans="1:6" x14ac:dyDescent="0.2">
      <c r="A49" s="324">
        <v>45</v>
      </c>
      <c r="B49" s="351">
        <v>4090</v>
      </c>
      <c r="C49" s="246" t="s">
        <v>389</v>
      </c>
      <c r="D49" s="332"/>
      <c r="E49" s="337" t="s">
        <v>390</v>
      </c>
      <c r="F49" s="338" t="s">
        <v>391</v>
      </c>
    </row>
    <row r="50" spans="1:6" x14ac:dyDescent="0.2">
      <c r="A50" s="324">
        <v>46</v>
      </c>
      <c r="B50" s="351">
        <v>4091</v>
      </c>
      <c r="C50" s="246" t="s">
        <v>342</v>
      </c>
      <c r="D50" s="332"/>
      <c r="E50" s="337" t="s">
        <v>291</v>
      </c>
      <c r="F50" s="339" t="s">
        <v>370</v>
      </c>
    </row>
    <row r="51" spans="1:6" x14ac:dyDescent="0.2">
      <c r="A51" s="324">
        <v>47</v>
      </c>
      <c r="B51" s="337" t="s">
        <v>360</v>
      </c>
      <c r="C51" s="339" t="s">
        <v>361</v>
      </c>
      <c r="D51" s="332"/>
      <c r="E51" s="337" t="s">
        <v>283</v>
      </c>
      <c r="F51" s="339" t="s">
        <v>365</v>
      </c>
    </row>
    <row r="52" spans="1:6" x14ac:dyDescent="0.2">
      <c r="A52" s="324">
        <v>48</v>
      </c>
      <c r="B52" s="337" t="s">
        <v>358</v>
      </c>
      <c r="C52" s="339" t="s">
        <v>359</v>
      </c>
      <c r="D52" s="332"/>
      <c r="E52" s="337" t="s">
        <v>273</v>
      </c>
      <c r="F52" s="338" t="s">
        <v>392</v>
      </c>
    </row>
    <row r="53" spans="1:6" x14ac:dyDescent="0.2">
      <c r="A53" s="324">
        <v>49</v>
      </c>
      <c r="B53" s="337" t="s">
        <v>390</v>
      </c>
      <c r="C53" s="352" t="s">
        <v>391</v>
      </c>
      <c r="D53" s="332"/>
      <c r="E53" s="337" t="s">
        <v>387</v>
      </c>
      <c r="F53" s="339" t="s">
        <v>388</v>
      </c>
    </row>
    <row r="54" spans="1:6" x14ac:dyDescent="0.2">
      <c r="A54" s="324">
        <v>50</v>
      </c>
      <c r="B54" s="337">
        <v>4111</v>
      </c>
      <c r="C54" s="339" t="s">
        <v>346</v>
      </c>
      <c r="D54" s="332"/>
      <c r="E54" s="337" t="s">
        <v>287</v>
      </c>
      <c r="F54" s="338" t="s">
        <v>288</v>
      </c>
    </row>
    <row r="55" spans="1:6" x14ac:dyDescent="0.2">
      <c r="A55" s="324">
        <v>51</v>
      </c>
      <c r="B55" s="337" t="s">
        <v>386</v>
      </c>
      <c r="C55" s="339" t="s">
        <v>347</v>
      </c>
      <c r="D55" s="332"/>
      <c r="E55" s="350" t="s">
        <v>315</v>
      </c>
      <c r="F55" s="339" t="s">
        <v>316</v>
      </c>
    </row>
    <row r="56" spans="1:6" x14ac:dyDescent="0.2">
      <c r="D56" s="332"/>
    </row>
  </sheetData>
  <autoFilter ref="E4:F4" xr:uid="{025B3CB8-0B22-4075-AE07-7260CBF8B9C4}"/>
  <sortState xmlns:xlrd2="http://schemas.microsoft.com/office/spreadsheetml/2017/richdata2" ref="E5:F55">
    <sortCondition ref="F4:F55"/>
  </sortState>
  <mergeCells count="2">
    <mergeCell ref="B3:C3"/>
    <mergeCell ref="E3:F3"/>
  </mergeCells>
  <conditionalFormatting sqref="B5:C5 B7:C17 B19:C55">
    <cfRule type="expression" dxfId="5" priority="7" stopIfTrue="1">
      <formula>MOD(ROW(),2)=0</formula>
    </cfRule>
  </conditionalFormatting>
  <conditionalFormatting sqref="E5:F24">
    <cfRule type="expression" dxfId="4" priority="6">
      <formula>MOD(ROW(),2)=0</formula>
    </cfRule>
  </conditionalFormatting>
  <conditionalFormatting sqref="E25:F25">
    <cfRule type="expression" dxfId="3" priority="5" stopIfTrue="1">
      <formula>MOD(ROW(),2)=0</formula>
    </cfRule>
  </conditionalFormatting>
  <conditionalFormatting sqref="E26:F54">
    <cfRule type="expression" dxfId="2" priority="1">
      <formula>MOD(ROW(),2)=0</formula>
    </cfRule>
  </conditionalFormatting>
  <conditionalFormatting sqref="I11:J11">
    <cfRule type="expression" dxfId="1" priority="2" stopIfTrue="1">
      <formula>MOD(ROW(),2)=0</formula>
    </cfRule>
  </conditionalFormatting>
  <conditionalFormatting sqref="I15:J15">
    <cfRule type="expression" dxfId="0" priority="3" stopIfTrue="1">
      <formula>MOD(ROW(),2)=0</formula>
    </cfRule>
  </conditionalFormatting>
  <pageMargins left="0.7" right="0.7" top="0.75" bottom="0.75" header="0.3" footer="0.3"/>
  <pageSetup orientation="portrait" verticalDpi="1200" r:id="rId1"/>
  <ignoredErrors>
    <ignoredError sqref="I17 I14:I1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88284-B928-4091-81D2-B73D95EB542A}">
  <sheetPr>
    <pageSetUpPr fitToPage="1"/>
  </sheetPr>
  <dimension ref="A1:R130"/>
  <sheetViews>
    <sheetView topLeftCell="A4" workbookViewId="0">
      <pane ySplit="1" topLeftCell="A5" activePane="bottomLeft" state="frozen"/>
      <selection activeCell="D4" sqref="D4"/>
      <selection pane="bottomLeft" activeCell="D5" sqref="D5"/>
    </sheetView>
  </sheetViews>
  <sheetFormatPr defaultColWidth="9.140625" defaultRowHeight="15" x14ac:dyDescent="0.25"/>
  <cols>
    <col min="1" max="1" width="9.140625" style="504"/>
    <col min="2" max="2" width="11.5703125" style="503" bestFit="1" customWidth="1"/>
    <col min="3" max="3" width="37.140625" style="504" customWidth="1"/>
    <col min="4" max="4" width="16.28515625" style="505" bestFit="1" customWidth="1"/>
    <col min="5" max="5" width="15.140625" style="505" bestFit="1" customWidth="1"/>
    <col min="6" max="7" width="15.140625" style="504" bestFit="1" customWidth="1"/>
    <col min="8" max="8" width="15" style="504" bestFit="1" customWidth="1"/>
    <col min="9" max="9" width="14.28515625" style="504" bestFit="1" customWidth="1"/>
    <col min="10" max="10" width="16.85546875" style="504" bestFit="1" customWidth="1"/>
    <col min="11" max="11" width="14.140625" style="506" customWidth="1"/>
    <col min="12" max="12" width="14" style="504" bestFit="1" customWidth="1"/>
    <col min="13" max="13" width="14.28515625" style="504" bestFit="1" customWidth="1"/>
    <col min="14" max="15" width="14" style="504" bestFit="1" customWidth="1"/>
    <col min="16" max="16" width="14" style="507" bestFit="1" customWidth="1"/>
    <col min="17" max="18" width="15.28515625" style="504" bestFit="1" customWidth="1"/>
    <col min="19" max="16384" width="9.140625" style="504"/>
  </cols>
  <sheetData>
    <row r="1" spans="1:18" x14ac:dyDescent="0.25">
      <c r="A1" s="502" t="s">
        <v>474</v>
      </c>
    </row>
    <row r="2" spans="1:18" x14ac:dyDescent="0.25">
      <c r="C2" s="508"/>
      <c r="D2" s="509"/>
      <c r="E2" s="509"/>
      <c r="F2" s="508"/>
      <c r="G2" s="508"/>
    </row>
    <row r="4" spans="1:18" s="510" customFormat="1" ht="45" x14ac:dyDescent="0.25">
      <c r="A4" s="510" t="s">
        <v>52</v>
      </c>
      <c r="B4" s="511" t="s">
        <v>52</v>
      </c>
      <c r="C4" s="510" t="s">
        <v>52</v>
      </c>
      <c r="D4" s="512" t="s">
        <v>263</v>
      </c>
      <c r="E4" s="512" t="s">
        <v>475</v>
      </c>
      <c r="F4" s="511" t="s">
        <v>476</v>
      </c>
      <c r="G4" s="511" t="s">
        <v>477</v>
      </c>
      <c r="H4" s="511" t="s">
        <v>478</v>
      </c>
      <c r="I4" s="511" t="s">
        <v>479</v>
      </c>
      <c r="J4" s="511" t="s">
        <v>480</v>
      </c>
      <c r="K4" s="513" t="s">
        <v>481</v>
      </c>
      <c r="L4" s="511" t="s">
        <v>482</v>
      </c>
      <c r="M4" s="511" t="s">
        <v>483</v>
      </c>
      <c r="N4" s="511" t="s">
        <v>484</v>
      </c>
      <c r="O4" s="511" t="s">
        <v>485</v>
      </c>
      <c r="P4" s="514" t="s">
        <v>486</v>
      </c>
      <c r="Q4" s="511" t="s">
        <v>125</v>
      </c>
      <c r="R4" s="756" t="s">
        <v>658</v>
      </c>
    </row>
    <row r="5" spans="1:18" s="510" customFormat="1" x14ac:dyDescent="0.25">
      <c r="A5" s="504">
        <v>1</v>
      </c>
      <c r="B5" s="515" t="s">
        <v>271</v>
      </c>
      <c r="C5" s="504" t="s">
        <v>272</v>
      </c>
      <c r="D5" s="516">
        <f>'Annual Rev &amp; Fees'!L6</f>
        <v>215256.02000000002</v>
      </c>
      <c r="E5" s="516">
        <v>17938</v>
      </c>
      <c r="F5" s="517"/>
      <c r="G5" s="547"/>
      <c r="H5" s="517"/>
      <c r="I5" s="517"/>
      <c r="J5" s="517"/>
      <c r="K5" s="518"/>
      <c r="L5" s="518"/>
      <c r="M5" s="518"/>
      <c r="N5" s="517"/>
      <c r="O5" s="517"/>
      <c r="P5" s="517"/>
      <c r="Q5" s="519">
        <f>SUM(E5:P5)</f>
        <v>17938</v>
      </c>
      <c r="R5" s="519">
        <v>0</v>
      </c>
    </row>
    <row r="6" spans="1:18" s="510" customFormat="1" x14ac:dyDescent="0.25">
      <c r="A6" s="504">
        <v>2</v>
      </c>
      <c r="B6" s="515" t="s">
        <v>611</v>
      </c>
      <c r="C6" s="504" t="s">
        <v>612</v>
      </c>
      <c r="D6" s="516">
        <f>'Annual Rev &amp; Fees'!L7</f>
        <v>1165374.92</v>
      </c>
      <c r="E6" s="516">
        <v>97114.58</v>
      </c>
      <c r="F6" s="517"/>
      <c r="G6" s="547"/>
      <c r="H6" s="517"/>
      <c r="I6" s="517"/>
      <c r="J6" s="517"/>
      <c r="K6" s="518"/>
      <c r="L6" s="518"/>
      <c r="M6" s="518"/>
      <c r="N6" s="517"/>
      <c r="O6" s="517"/>
      <c r="P6" s="517"/>
      <c r="Q6" s="519">
        <f>SUM(E6:P6)</f>
        <v>97114.58</v>
      </c>
      <c r="R6" s="519"/>
    </row>
    <row r="7" spans="1:18" s="510" customFormat="1" x14ac:dyDescent="0.25">
      <c r="A7" s="504">
        <v>3</v>
      </c>
      <c r="B7" s="515" t="s">
        <v>273</v>
      </c>
      <c r="C7" s="504" t="s">
        <v>274</v>
      </c>
      <c r="D7" s="516">
        <f>'Annual Rev &amp; Fees'!L8</f>
        <v>892165.97</v>
      </c>
      <c r="E7" s="516">
        <v>74347.16</v>
      </c>
      <c r="F7" s="517"/>
      <c r="G7" s="547"/>
      <c r="H7" s="517"/>
      <c r="I7" s="517"/>
      <c r="J7" s="517"/>
      <c r="K7" s="518"/>
      <c r="L7" s="518"/>
      <c r="M7" s="518"/>
      <c r="N7" s="517"/>
      <c r="O7" s="517"/>
      <c r="P7" s="517"/>
      <c r="Q7" s="519">
        <f t="shared" ref="Q7:Q55" si="0">SUM(E7:P7)</f>
        <v>74347.16</v>
      </c>
      <c r="R7" s="519">
        <v>0</v>
      </c>
    </row>
    <row r="8" spans="1:18" x14ac:dyDescent="0.25">
      <c r="A8" s="504">
        <v>4</v>
      </c>
      <c r="B8" s="503" t="s">
        <v>275</v>
      </c>
      <c r="C8" s="504" t="s">
        <v>276</v>
      </c>
      <c r="D8" s="505">
        <f>'Annual Rev &amp; Fees'!L9</f>
        <v>7909427.5000000009</v>
      </c>
      <c r="E8" s="516">
        <v>659118.96</v>
      </c>
      <c r="F8" s="521"/>
      <c r="G8" s="522"/>
      <c r="H8" s="523"/>
      <c r="I8" s="522"/>
      <c r="J8" s="517"/>
      <c r="K8" s="524"/>
      <c r="L8" s="524"/>
      <c r="M8" s="525"/>
      <c r="N8" s="519"/>
      <c r="O8" s="507"/>
      <c r="Q8" s="519">
        <f t="shared" si="0"/>
        <v>659118.96</v>
      </c>
      <c r="R8" s="519">
        <v>0</v>
      </c>
    </row>
    <row r="9" spans="1:18" x14ac:dyDescent="0.25">
      <c r="A9" s="504">
        <v>5</v>
      </c>
      <c r="B9" s="503" t="s">
        <v>277</v>
      </c>
      <c r="C9" s="504" t="s">
        <v>278</v>
      </c>
      <c r="D9" s="505">
        <f>'Annual Rev &amp; Fees'!L10</f>
        <v>11996437.119999999</v>
      </c>
      <c r="E9" s="516">
        <v>999703.09</v>
      </c>
      <c r="F9" s="521"/>
      <c r="G9" s="522"/>
      <c r="H9" s="523"/>
      <c r="I9" s="522"/>
      <c r="J9" s="517"/>
      <c r="K9" s="524"/>
      <c r="L9" s="524"/>
      <c r="M9" s="525"/>
      <c r="N9" s="519"/>
      <c r="O9" s="507"/>
      <c r="Q9" s="519">
        <f t="shared" si="0"/>
        <v>999703.09</v>
      </c>
      <c r="R9" s="519">
        <v>0</v>
      </c>
    </row>
    <row r="10" spans="1:18" x14ac:dyDescent="0.25">
      <c r="A10" s="504">
        <v>6</v>
      </c>
      <c r="B10" s="503" t="s">
        <v>279</v>
      </c>
      <c r="C10" s="504" t="s">
        <v>280</v>
      </c>
      <c r="D10" s="505">
        <f>'Annual Rev &amp; Fees'!L11</f>
        <v>1334466.3</v>
      </c>
      <c r="E10" s="516">
        <v>111205.53</v>
      </c>
      <c r="F10" s="521"/>
      <c r="G10" s="522"/>
      <c r="H10" s="523"/>
      <c r="I10" s="522"/>
      <c r="J10" s="517"/>
      <c r="K10" s="524"/>
      <c r="L10" s="524"/>
      <c r="M10" s="525"/>
      <c r="N10" s="519"/>
      <c r="O10" s="507"/>
      <c r="Q10" s="519">
        <f t="shared" si="0"/>
        <v>111205.53</v>
      </c>
      <c r="R10" s="519">
        <v>0</v>
      </c>
    </row>
    <row r="11" spans="1:18" x14ac:dyDescent="0.25">
      <c r="A11" s="504">
        <v>7</v>
      </c>
      <c r="B11" s="526" t="s">
        <v>281</v>
      </c>
      <c r="C11" s="527" t="s">
        <v>282</v>
      </c>
      <c r="D11" s="520">
        <f>'Annual Rev &amp; Fees'!L12</f>
        <v>1456769.23</v>
      </c>
      <c r="E11" s="516">
        <v>121397.44</v>
      </c>
      <c r="F11" s="521"/>
      <c r="G11" s="528"/>
      <c r="H11" s="523"/>
      <c r="I11" s="522"/>
      <c r="J11" s="517"/>
      <c r="K11" s="524"/>
      <c r="L11" s="524"/>
      <c r="M11" s="525"/>
      <c r="N11" s="519"/>
      <c r="O11" s="507"/>
      <c r="Q11" s="519">
        <f t="shared" si="0"/>
        <v>121397.44</v>
      </c>
      <c r="R11" s="519">
        <v>0</v>
      </c>
    </row>
    <row r="12" spans="1:18" x14ac:dyDescent="0.25">
      <c r="A12" s="504">
        <v>8</v>
      </c>
      <c r="B12" s="503" t="s">
        <v>283</v>
      </c>
      <c r="C12" s="504" t="s">
        <v>284</v>
      </c>
      <c r="D12" s="505">
        <f>'Annual Rev &amp; Fees'!L13</f>
        <v>5895629.2800000003</v>
      </c>
      <c r="E12" s="516">
        <v>491302.44</v>
      </c>
      <c r="F12" s="521"/>
      <c r="G12" s="522"/>
      <c r="H12" s="523"/>
      <c r="I12" s="522"/>
      <c r="J12" s="517"/>
      <c r="K12" s="524"/>
      <c r="L12" s="524"/>
      <c r="M12" s="525"/>
      <c r="N12" s="519"/>
      <c r="O12" s="507"/>
      <c r="Q12" s="519">
        <f t="shared" si="0"/>
        <v>491302.44</v>
      </c>
      <c r="R12" s="519">
        <v>0</v>
      </c>
    </row>
    <row r="13" spans="1:18" x14ac:dyDescent="0.25">
      <c r="A13" s="504">
        <v>9</v>
      </c>
      <c r="B13" s="503" t="s">
        <v>285</v>
      </c>
      <c r="C13" s="504" t="s">
        <v>286</v>
      </c>
      <c r="D13" s="505">
        <f>'Annual Rev &amp; Fees'!L14</f>
        <v>5104495.08</v>
      </c>
      <c r="E13" s="516">
        <v>425374.59</v>
      </c>
      <c r="F13" s="521"/>
      <c r="G13" s="522"/>
      <c r="H13" s="523"/>
      <c r="I13" s="522"/>
      <c r="J13" s="517"/>
      <c r="K13" s="524"/>
      <c r="L13" s="524"/>
      <c r="M13" s="525"/>
      <c r="N13" s="519"/>
      <c r="O13" s="507"/>
      <c r="Q13" s="519">
        <f t="shared" si="0"/>
        <v>425374.59</v>
      </c>
      <c r="R13" s="519">
        <v>0</v>
      </c>
    </row>
    <row r="14" spans="1:18" x14ac:dyDescent="0.25">
      <c r="A14" s="504">
        <v>10</v>
      </c>
      <c r="B14" s="503" t="s">
        <v>287</v>
      </c>
      <c r="C14" s="504" t="s">
        <v>288</v>
      </c>
      <c r="D14" s="505">
        <f>'Annual Rev &amp; Fees'!L15</f>
        <v>7020252.4100000001</v>
      </c>
      <c r="E14" s="516">
        <v>585021.03</v>
      </c>
      <c r="F14" s="521"/>
      <c r="G14" s="522"/>
      <c r="H14" s="523"/>
      <c r="I14" s="522"/>
      <c r="J14" s="517"/>
      <c r="K14" s="524"/>
      <c r="L14" s="524"/>
      <c r="M14" s="525"/>
      <c r="N14" s="519"/>
      <c r="O14" s="507"/>
      <c r="Q14" s="519">
        <f t="shared" si="0"/>
        <v>585021.03</v>
      </c>
      <c r="R14" s="519">
        <v>0</v>
      </c>
    </row>
    <row r="15" spans="1:18" x14ac:dyDescent="0.25">
      <c r="A15" s="504">
        <v>11</v>
      </c>
      <c r="B15" s="503" t="s">
        <v>289</v>
      </c>
      <c r="C15" s="504" t="s">
        <v>290</v>
      </c>
      <c r="D15" s="505">
        <f>'Annual Rev &amp; Fees'!L16</f>
        <v>11160540.139999999</v>
      </c>
      <c r="E15" s="516">
        <v>930045.01</v>
      </c>
      <c r="F15" s="521"/>
      <c r="G15" s="522"/>
      <c r="H15" s="523"/>
      <c r="I15" s="522"/>
      <c r="J15" s="517"/>
      <c r="K15" s="524"/>
      <c r="L15" s="524"/>
      <c r="M15" s="525"/>
      <c r="N15" s="519"/>
      <c r="O15" s="507"/>
      <c r="Q15" s="519">
        <f t="shared" si="0"/>
        <v>930045.01</v>
      </c>
      <c r="R15" s="519">
        <v>0</v>
      </c>
    </row>
    <row r="16" spans="1:18" x14ac:dyDescent="0.25">
      <c r="A16" s="504">
        <v>12</v>
      </c>
      <c r="B16" s="503" t="s">
        <v>291</v>
      </c>
      <c r="C16" s="504" t="s">
        <v>292</v>
      </c>
      <c r="D16" s="505">
        <f>'Annual Rev &amp; Fees'!L17</f>
        <v>6682474.5499999998</v>
      </c>
      <c r="E16" s="516">
        <v>556872.88</v>
      </c>
      <c r="F16" s="521"/>
      <c r="G16" s="522"/>
      <c r="H16" s="523"/>
      <c r="I16" s="522"/>
      <c r="J16" s="517"/>
      <c r="K16" s="524"/>
      <c r="L16" s="524"/>
      <c r="M16" s="525"/>
      <c r="N16" s="519"/>
      <c r="O16" s="507"/>
      <c r="Q16" s="519">
        <f t="shared" si="0"/>
        <v>556872.88</v>
      </c>
      <c r="R16" s="519">
        <v>0</v>
      </c>
    </row>
    <row r="17" spans="1:18" x14ac:dyDescent="0.25">
      <c r="A17" s="504">
        <v>13</v>
      </c>
      <c r="B17" s="503" t="s">
        <v>293</v>
      </c>
      <c r="C17" s="504" t="s">
        <v>294</v>
      </c>
      <c r="D17" s="505">
        <f>'Annual Rev &amp; Fees'!L18</f>
        <v>1240427.57</v>
      </c>
      <c r="E17" s="516">
        <v>103368.96000000001</v>
      </c>
      <c r="F17" s="521"/>
      <c r="G17" s="522"/>
      <c r="H17" s="523"/>
      <c r="I17" s="522"/>
      <c r="J17" s="517"/>
      <c r="K17" s="524"/>
      <c r="L17" s="524"/>
      <c r="M17" s="525"/>
      <c r="N17" s="519"/>
      <c r="O17" s="507"/>
      <c r="Q17" s="519">
        <f t="shared" si="0"/>
        <v>103368.96000000001</v>
      </c>
      <c r="R17" s="519">
        <v>0</v>
      </c>
    </row>
    <row r="18" spans="1:18" x14ac:dyDescent="0.25">
      <c r="A18" s="504">
        <v>14</v>
      </c>
      <c r="B18" s="503">
        <v>3362</v>
      </c>
      <c r="C18" s="504" t="s">
        <v>373</v>
      </c>
      <c r="D18" s="505">
        <f>'Annual Rev &amp; Fees'!L19</f>
        <v>1395380.92</v>
      </c>
      <c r="E18" s="516">
        <v>116281.74</v>
      </c>
      <c r="F18" s="521"/>
      <c r="G18" s="522"/>
      <c r="H18" s="523"/>
      <c r="I18" s="522"/>
      <c r="J18" s="517"/>
      <c r="K18" s="524"/>
      <c r="L18" s="524"/>
      <c r="M18" s="525"/>
      <c r="N18" s="519"/>
      <c r="O18" s="507"/>
      <c r="Q18" s="519">
        <f t="shared" si="0"/>
        <v>116281.74</v>
      </c>
      <c r="R18" s="519"/>
    </row>
    <row r="19" spans="1:18" x14ac:dyDescent="0.25">
      <c r="A19" s="504">
        <v>15</v>
      </c>
      <c r="B19" s="503" t="s">
        <v>295</v>
      </c>
      <c r="C19" s="504" t="s">
        <v>296</v>
      </c>
      <c r="D19" s="505">
        <f>'Annual Rev &amp; Fees'!L20</f>
        <v>9483811.7899999991</v>
      </c>
      <c r="E19" s="516">
        <v>790317.65</v>
      </c>
      <c r="F19" s="521"/>
      <c r="G19" s="522"/>
      <c r="H19" s="523"/>
      <c r="I19" s="522"/>
      <c r="J19" s="517"/>
      <c r="K19" s="524"/>
      <c r="L19" s="524"/>
      <c r="M19" s="525"/>
      <c r="N19" s="519"/>
      <c r="O19" s="507"/>
      <c r="Q19" s="519">
        <f t="shared" si="0"/>
        <v>790317.65</v>
      </c>
      <c r="R19" s="519">
        <v>0</v>
      </c>
    </row>
    <row r="20" spans="1:18" x14ac:dyDescent="0.25">
      <c r="A20" s="504">
        <v>16</v>
      </c>
      <c r="B20" s="503" t="s">
        <v>297</v>
      </c>
      <c r="C20" s="504" t="s">
        <v>298</v>
      </c>
      <c r="D20" s="505">
        <f>'Annual Rev &amp; Fees'!L21</f>
        <v>2384946.87</v>
      </c>
      <c r="E20" s="516">
        <v>198745.57</v>
      </c>
      <c r="F20" s="521"/>
      <c r="G20" s="522"/>
      <c r="H20" s="523"/>
      <c r="I20" s="522"/>
      <c r="J20" s="517"/>
      <c r="K20" s="524"/>
      <c r="L20" s="524"/>
      <c r="M20" s="525"/>
      <c r="N20" s="519"/>
      <c r="O20" s="507"/>
      <c r="Q20" s="519">
        <f t="shared" si="0"/>
        <v>198745.57</v>
      </c>
      <c r="R20" s="519">
        <v>0</v>
      </c>
    </row>
    <row r="21" spans="1:18" x14ac:dyDescent="0.25">
      <c r="A21" s="835">
        <v>17</v>
      </c>
      <c r="B21" s="836" t="s">
        <v>299</v>
      </c>
      <c r="C21" s="837" t="s">
        <v>300</v>
      </c>
      <c r="D21" s="529">
        <f>'Annual Rev &amp; Fees'!L22</f>
        <v>0</v>
      </c>
      <c r="E21" s="516">
        <v>0</v>
      </c>
      <c r="F21" s="530"/>
      <c r="G21" s="528"/>
      <c r="H21" s="523"/>
      <c r="I21" s="522"/>
      <c r="J21" s="517"/>
      <c r="K21" s="524"/>
      <c r="L21" s="524"/>
      <c r="M21" s="525"/>
      <c r="N21" s="519"/>
      <c r="O21" s="507"/>
      <c r="Q21" s="519">
        <f t="shared" si="0"/>
        <v>0</v>
      </c>
      <c r="R21" s="519">
        <v>0</v>
      </c>
    </row>
    <row r="22" spans="1:18" x14ac:dyDescent="0.25">
      <c r="A22" s="504">
        <v>18</v>
      </c>
      <c r="B22" s="503" t="s">
        <v>301</v>
      </c>
      <c r="C22" s="504" t="s">
        <v>302</v>
      </c>
      <c r="D22" s="505">
        <f>'Annual Rev &amp; Fees'!L23</f>
        <v>1691865.55</v>
      </c>
      <c r="E22" s="516">
        <v>140988.79999999999</v>
      </c>
      <c r="F22" s="521"/>
      <c r="G22" s="522"/>
      <c r="H22" s="523"/>
      <c r="I22" s="522"/>
      <c r="J22" s="517"/>
      <c r="K22" s="524"/>
      <c r="L22" s="524"/>
      <c r="M22" s="525"/>
      <c r="N22" s="519"/>
      <c r="O22" s="507"/>
      <c r="Q22" s="519">
        <f t="shared" si="0"/>
        <v>140988.79999999999</v>
      </c>
      <c r="R22" s="519">
        <v>0</v>
      </c>
    </row>
    <row r="23" spans="1:18" x14ac:dyDescent="0.25">
      <c r="A23" s="504">
        <v>19</v>
      </c>
      <c r="B23" s="503" t="s">
        <v>303</v>
      </c>
      <c r="C23" s="504" t="s">
        <v>304</v>
      </c>
      <c r="D23" s="505">
        <f>'Annual Rev &amp; Fees'!L24</f>
        <v>4714570.79</v>
      </c>
      <c r="E23" s="516">
        <v>392880.9</v>
      </c>
      <c r="F23" s="521"/>
      <c r="G23" s="522"/>
      <c r="H23" s="523"/>
      <c r="I23" s="522"/>
      <c r="J23" s="517"/>
      <c r="K23" s="524"/>
      <c r="L23" s="524"/>
      <c r="M23" s="525"/>
      <c r="N23" s="519"/>
      <c r="O23" s="507"/>
      <c r="Q23" s="519">
        <f t="shared" si="0"/>
        <v>392880.9</v>
      </c>
      <c r="R23" s="519">
        <v>0</v>
      </c>
    </row>
    <row r="24" spans="1:18" x14ac:dyDescent="0.25">
      <c r="A24" s="504">
        <v>20</v>
      </c>
      <c r="B24" s="503" t="s">
        <v>305</v>
      </c>
      <c r="C24" s="504" t="s">
        <v>306</v>
      </c>
      <c r="D24" s="505">
        <f>'Annual Rev &amp; Fees'!L25</f>
        <v>6613690.4499999993</v>
      </c>
      <c r="E24" s="516">
        <v>551140.87</v>
      </c>
      <c r="F24" s="521"/>
      <c r="G24" s="522"/>
      <c r="H24" s="523"/>
      <c r="I24" s="522"/>
      <c r="J24" s="517"/>
      <c r="K24" s="524"/>
      <c r="L24" s="524"/>
      <c r="M24" s="525"/>
      <c r="N24" s="519"/>
      <c r="O24" s="507"/>
      <c r="Q24" s="519">
        <f t="shared" si="0"/>
        <v>551140.87</v>
      </c>
      <c r="R24" s="519">
        <v>0</v>
      </c>
    </row>
    <row r="25" spans="1:18" x14ac:dyDescent="0.25">
      <c r="A25" s="504">
        <v>21</v>
      </c>
      <c r="B25" s="503" t="s">
        <v>307</v>
      </c>
      <c r="C25" s="504" t="s">
        <v>308</v>
      </c>
      <c r="D25" s="505">
        <f>'Annual Rev &amp; Fees'!L26</f>
        <v>988463.89</v>
      </c>
      <c r="E25" s="516">
        <v>82371.990000000005</v>
      </c>
      <c r="F25" s="521"/>
      <c r="G25" s="522"/>
      <c r="H25" s="523"/>
      <c r="I25" s="522"/>
      <c r="J25" s="517"/>
      <c r="K25" s="524"/>
      <c r="L25" s="524"/>
      <c r="M25" s="525"/>
      <c r="N25" s="519"/>
      <c r="O25" s="507"/>
      <c r="Q25" s="519">
        <f t="shared" si="0"/>
        <v>82371.990000000005</v>
      </c>
      <c r="R25" s="519">
        <v>0</v>
      </c>
    </row>
    <row r="26" spans="1:18" x14ac:dyDescent="0.25">
      <c r="A26" s="504">
        <v>22</v>
      </c>
      <c r="B26" s="503" t="s">
        <v>309</v>
      </c>
      <c r="C26" s="504" t="s">
        <v>310</v>
      </c>
      <c r="D26" s="505">
        <f>'Annual Rev &amp; Fees'!L27</f>
        <v>1304023.4400000002</v>
      </c>
      <c r="E26" s="516">
        <v>108668.62</v>
      </c>
      <c r="F26" s="521"/>
      <c r="G26" s="522"/>
      <c r="H26" s="523"/>
      <c r="I26" s="522"/>
      <c r="J26" s="517"/>
      <c r="K26" s="524"/>
      <c r="L26" s="524"/>
      <c r="M26" s="525"/>
      <c r="N26" s="519"/>
      <c r="O26" s="507"/>
      <c r="Q26" s="519">
        <f t="shared" si="0"/>
        <v>108668.62</v>
      </c>
      <c r="R26" s="519">
        <v>0</v>
      </c>
    </row>
    <row r="27" spans="1:18" x14ac:dyDescent="0.25">
      <c r="A27" s="504">
        <v>23</v>
      </c>
      <c r="B27" s="503" t="s">
        <v>311</v>
      </c>
      <c r="C27" s="504" t="s">
        <v>312</v>
      </c>
      <c r="D27" s="505">
        <f>'Annual Rev &amp; Fees'!L28</f>
        <v>3694318.81</v>
      </c>
      <c r="E27" s="516">
        <v>307859.90000000002</v>
      </c>
      <c r="F27" s="521"/>
      <c r="G27" s="522"/>
      <c r="H27" s="523"/>
      <c r="I27" s="522"/>
      <c r="J27" s="517"/>
      <c r="K27" s="524"/>
      <c r="L27" s="524"/>
      <c r="M27" s="525"/>
      <c r="N27" s="519"/>
      <c r="O27" s="507"/>
      <c r="Q27" s="519">
        <f t="shared" si="0"/>
        <v>307859.90000000002</v>
      </c>
      <c r="R27" s="519">
        <v>0</v>
      </c>
    </row>
    <row r="28" spans="1:18" x14ac:dyDescent="0.25">
      <c r="A28" s="504">
        <v>24</v>
      </c>
      <c r="B28" s="503" t="s">
        <v>313</v>
      </c>
      <c r="C28" s="504" t="s">
        <v>314</v>
      </c>
      <c r="D28" s="505">
        <f>'Annual Rev &amp; Fees'!L29</f>
        <v>3561468.0999999996</v>
      </c>
      <c r="E28" s="516">
        <v>296789.01</v>
      </c>
      <c r="F28" s="521"/>
      <c r="G28" s="522"/>
      <c r="H28" s="523"/>
      <c r="I28" s="522"/>
      <c r="J28" s="517"/>
      <c r="K28" s="524"/>
      <c r="L28" s="524"/>
      <c r="M28" s="525"/>
      <c r="N28" s="519"/>
      <c r="O28" s="507"/>
      <c r="Q28" s="519">
        <f t="shared" si="0"/>
        <v>296789.01</v>
      </c>
      <c r="R28" s="519">
        <v>0</v>
      </c>
    </row>
    <row r="29" spans="1:18" x14ac:dyDescent="0.25">
      <c r="A29" s="504">
        <v>25</v>
      </c>
      <c r="B29" s="503" t="s">
        <v>315</v>
      </c>
      <c r="C29" s="504" t="s">
        <v>316</v>
      </c>
      <c r="D29" s="505">
        <f>'Annual Rev &amp; Fees'!L30</f>
        <v>5451939.6599999992</v>
      </c>
      <c r="E29" s="516">
        <v>454328.31</v>
      </c>
      <c r="F29" s="521"/>
      <c r="G29" s="522"/>
      <c r="H29" s="523"/>
      <c r="I29" s="522"/>
      <c r="J29" s="517"/>
      <c r="K29" s="524"/>
      <c r="L29" s="524"/>
      <c r="M29" s="525"/>
      <c r="N29" s="519"/>
      <c r="O29" s="507"/>
      <c r="Q29" s="519">
        <f t="shared" si="0"/>
        <v>454328.31</v>
      </c>
      <c r="R29" s="519">
        <v>0</v>
      </c>
    </row>
    <row r="30" spans="1:18" x14ac:dyDescent="0.25">
      <c r="A30" s="504">
        <v>26</v>
      </c>
      <c r="B30" s="503" t="s">
        <v>317</v>
      </c>
      <c r="C30" s="504" t="s">
        <v>318</v>
      </c>
      <c r="D30" s="505">
        <f>'Annual Rev &amp; Fees'!L31</f>
        <v>8910411.290000001</v>
      </c>
      <c r="E30" s="516">
        <v>742534.27</v>
      </c>
      <c r="F30" s="521"/>
      <c r="G30" s="522"/>
      <c r="H30" s="523"/>
      <c r="I30" s="522"/>
      <c r="J30" s="517"/>
      <c r="K30" s="524"/>
      <c r="L30" s="524"/>
      <c r="M30" s="525"/>
      <c r="N30" s="519"/>
      <c r="O30" s="507"/>
      <c r="Q30" s="519">
        <f t="shared" si="0"/>
        <v>742534.27</v>
      </c>
      <c r="R30" s="519">
        <v>0</v>
      </c>
    </row>
    <row r="31" spans="1:18" x14ac:dyDescent="0.25">
      <c r="A31" s="504">
        <v>27</v>
      </c>
      <c r="B31" s="503">
        <v>3441</v>
      </c>
      <c r="C31" s="504" t="s">
        <v>319</v>
      </c>
      <c r="D31" s="505">
        <f>'Annual Rev &amp; Fees'!L32</f>
        <v>4742327.96</v>
      </c>
      <c r="E31" s="516">
        <v>395194</v>
      </c>
      <c r="F31" s="521"/>
      <c r="G31" s="522"/>
      <c r="H31" s="523"/>
      <c r="I31" s="522"/>
      <c r="J31" s="517"/>
      <c r="K31" s="524"/>
      <c r="L31" s="524"/>
      <c r="M31" s="525"/>
      <c r="N31" s="519"/>
      <c r="O31" s="507"/>
      <c r="Q31" s="519">
        <f t="shared" si="0"/>
        <v>395194</v>
      </c>
      <c r="R31" s="519">
        <v>0</v>
      </c>
    </row>
    <row r="32" spans="1:18" x14ac:dyDescent="0.25">
      <c r="A32" s="504">
        <v>28</v>
      </c>
      <c r="B32" s="503">
        <v>3924</v>
      </c>
      <c r="C32" s="504" t="s">
        <v>320</v>
      </c>
      <c r="D32" s="505">
        <f>'Annual Rev &amp; Fees'!L33</f>
        <v>3682119.7399999998</v>
      </c>
      <c r="E32" s="516">
        <v>306843.31</v>
      </c>
      <c r="F32" s="521"/>
      <c r="G32" s="522"/>
      <c r="H32" s="523"/>
      <c r="I32" s="522"/>
      <c r="J32" s="517"/>
      <c r="K32" s="524"/>
      <c r="L32" s="524"/>
      <c r="M32" s="525"/>
      <c r="N32" s="519"/>
      <c r="O32" s="507"/>
      <c r="Q32" s="519">
        <f t="shared" si="0"/>
        <v>306843.31</v>
      </c>
      <c r="R32" s="519">
        <v>0</v>
      </c>
    </row>
    <row r="33" spans="1:18" x14ac:dyDescent="0.25">
      <c r="A33" s="504">
        <v>29</v>
      </c>
      <c r="B33" s="503" t="s">
        <v>321</v>
      </c>
      <c r="C33" s="504" t="s">
        <v>322</v>
      </c>
      <c r="D33" s="505">
        <f>'Annual Rev &amp; Fees'!L34</f>
        <v>1991308.5800000003</v>
      </c>
      <c r="E33" s="516">
        <v>165942.38</v>
      </c>
      <c r="F33" s="521"/>
      <c r="G33" s="522"/>
      <c r="H33" s="523"/>
      <c r="I33" s="522"/>
      <c r="J33" s="517"/>
      <c r="K33" s="524"/>
      <c r="L33" s="524"/>
      <c r="M33" s="525"/>
      <c r="N33" s="519"/>
      <c r="O33" s="507"/>
      <c r="Q33" s="519">
        <f t="shared" si="0"/>
        <v>165942.38</v>
      </c>
      <c r="R33" s="519">
        <v>0</v>
      </c>
    </row>
    <row r="34" spans="1:18" x14ac:dyDescent="0.25">
      <c r="A34" s="835">
        <v>30</v>
      </c>
      <c r="B34" s="838" t="s">
        <v>323</v>
      </c>
      <c r="C34" s="835" t="s">
        <v>324</v>
      </c>
      <c r="D34" s="522">
        <f>'Annual Rev &amp; Fees'!L35</f>
        <v>0</v>
      </c>
      <c r="E34" s="516">
        <v>0</v>
      </c>
      <c r="F34" s="521"/>
      <c r="G34" s="522"/>
      <c r="H34" s="523"/>
      <c r="I34" s="522"/>
      <c r="J34" s="517"/>
      <c r="K34" s="524"/>
      <c r="L34" s="524"/>
      <c r="M34" s="525"/>
      <c r="N34" s="519"/>
      <c r="O34" s="507"/>
      <c r="Q34" s="519">
        <f t="shared" si="0"/>
        <v>0</v>
      </c>
      <c r="R34" s="519">
        <v>0</v>
      </c>
    </row>
    <row r="35" spans="1:18" x14ac:dyDescent="0.25">
      <c r="A35" s="504">
        <v>31</v>
      </c>
      <c r="B35" s="503" t="s">
        <v>325</v>
      </c>
      <c r="C35" s="504" t="s">
        <v>488</v>
      </c>
      <c r="D35" s="505">
        <f>'Annual Rev &amp; Fees'!L36</f>
        <v>5866600.1700000009</v>
      </c>
      <c r="E35" s="516">
        <v>488883.35</v>
      </c>
      <c r="F35" s="521"/>
      <c r="G35" s="522"/>
      <c r="H35" s="523"/>
      <c r="I35" s="522"/>
      <c r="J35" s="517"/>
      <c r="K35" s="524"/>
      <c r="L35" s="524"/>
      <c r="M35" s="525"/>
      <c r="N35" s="519"/>
      <c r="O35" s="507"/>
      <c r="Q35" s="519">
        <f t="shared" si="0"/>
        <v>488883.35</v>
      </c>
      <c r="R35" s="519">
        <v>0</v>
      </c>
    </row>
    <row r="36" spans="1:18" x14ac:dyDescent="0.25">
      <c r="A36" s="504">
        <v>32</v>
      </c>
      <c r="B36" s="503" t="s">
        <v>327</v>
      </c>
      <c r="C36" s="504" t="s">
        <v>328</v>
      </c>
      <c r="D36" s="505">
        <f>'Annual Rev &amp; Fees'!L37</f>
        <v>5621701.7200000007</v>
      </c>
      <c r="E36" s="516">
        <v>468475.14</v>
      </c>
      <c r="F36" s="521"/>
      <c r="G36" s="522"/>
      <c r="H36" s="523"/>
      <c r="I36" s="522"/>
      <c r="J36" s="517"/>
      <c r="K36" s="524"/>
      <c r="L36" s="524"/>
      <c r="M36" s="525"/>
      <c r="N36" s="519"/>
      <c r="O36" s="507"/>
      <c r="Q36" s="519">
        <f t="shared" si="0"/>
        <v>468475.14</v>
      </c>
      <c r="R36" s="519">
        <v>0</v>
      </c>
    </row>
    <row r="37" spans="1:18" x14ac:dyDescent="0.25">
      <c r="A37" s="504">
        <v>33</v>
      </c>
      <c r="B37" s="503">
        <v>4002</v>
      </c>
      <c r="C37" s="504" t="s">
        <v>329</v>
      </c>
      <c r="D37" s="505">
        <f>'Annual Rev &amp; Fees'!L38</f>
        <v>7722106.9899999993</v>
      </c>
      <c r="E37" s="516">
        <v>643508.92000000004</v>
      </c>
      <c r="F37" s="521"/>
      <c r="G37" s="522"/>
      <c r="H37" s="523"/>
      <c r="I37" s="522"/>
      <c r="J37" s="517"/>
      <c r="K37" s="524"/>
      <c r="L37" s="524"/>
      <c r="M37" s="525"/>
      <c r="N37" s="519"/>
      <c r="O37" s="507"/>
      <c r="Q37" s="519">
        <f t="shared" si="0"/>
        <v>643508.92000000004</v>
      </c>
      <c r="R37" s="519">
        <v>0</v>
      </c>
    </row>
    <row r="38" spans="1:18" x14ac:dyDescent="0.25">
      <c r="A38" s="504">
        <v>34</v>
      </c>
      <c r="B38" s="503">
        <v>4012</v>
      </c>
      <c r="C38" s="504" t="s">
        <v>330</v>
      </c>
      <c r="D38" s="505">
        <f>'Annual Rev &amp; Fees'!L39</f>
        <v>0</v>
      </c>
      <c r="E38" s="516">
        <v>384598.14</v>
      </c>
      <c r="F38" s="521"/>
      <c r="G38" s="522"/>
      <c r="H38" s="523"/>
      <c r="I38" s="522"/>
      <c r="J38" s="517"/>
      <c r="K38" s="524"/>
      <c r="L38" s="524"/>
      <c r="M38" s="525"/>
      <c r="N38" s="519"/>
      <c r="O38" s="507"/>
      <c r="Q38" s="519">
        <f t="shared" si="0"/>
        <v>384598.14</v>
      </c>
      <c r="R38" s="519">
        <v>0</v>
      </c>
    </row>
    <row r="39" spans="1:18" x14ac:dyDescent="0.25">
      <c r="A39" s="504">
        <v>35</v>
      </c>
      <c r="B39" s="503">
        <v>4013</v>
      </c>
      <c r="C39" s="504" t="s">
        <v>331</v>
      </c>
      <c r="D39" s="505">
        <f>'Annual Rev &amp; Fees'!L40</f>
        <v>14123437.01</v>
      </c>
      <c r="E39" s="516">
        <v>788760.73</v>
      </c>
      <c r="F39" s="521"/>
      <c r="G39" s="522"/>
      <c r="H39" s="523"/>
      <c r="I39" s="522"/>
      <c r="J39" s="517"/>
      <c r="K39" s="524"/>
      <c r="L39" s="524"/>
      <c r="M39" s="525"/>
      <c r="N39" s="519"/>
      <c r="O39" s="507"/>
      <c r="Q39" s="519">
        <f t="shared" si="0"/>
        <v>788760.73</v>
      </c>
      <c r="R39" s="519">
        <v>0</v>
      </c>
    </row>
    <row r="40" spans="1:18" x14ac:dyDescent="0.25">
      <c r="A40" s="504">
        <v>36</v>
      </c>
      <c r="B40" s="503">
        <v>4020</v>
      </c>
      <c r="C40" s="504" t="s">
        <v>332</v>
      </c>
      <c r="D40" s="505">
        <f>'Annual Rev &amp; Fees'!L41</f>
        <v>11019943.229999999</v>
      </c>
      <c r="E40" s="516">
        <v>918328.6</v>
      </c>
      <c r="F40" s="521"/>
      <c r="G40" s="522"/>
      <c r="H40" s="523"/>
      <c r="I40" s="522"/>
      <c r="J40" s="517"/>
      <c r="K40" s="524"/>
      <c r="L40" s="524"/>
      <c r="M40" s="525"/>
      <c r="N40" s="519"/>
      <c r="O40" s="507"/>
      <c r="Q40" s="519">
        <f t="shared" si="0"/>
        <v>918328.6</v>
      </c>
      <c r="R40" s="519">
        <v>0</v>
      </c>
    </row>
    <row r="41" spans="1:18" x14ac:dyDescent="0.25">
      <c r="A41" s="835">
        <v>37</v>
      </c>
      <c r="B41" s="838">
        <v>4030</v>
      </c>
      <c r="C41" s="835" t="s">
        <v>333</v>
      </c>
      <c r="D41" s="505">
        <f>'Annual Rev &amp; Fees'!L42</f>
        <v>0</v>
      </c>
      <c r="E41" s="516">
        <v>0</v>
      </c>
      <c r="F41" s="521"/>
      <c r="G41" s="522"/>
      <c r="H41" s="523"/>
      <c r="I41" s="522"/>
      <c r="J41" s="517"/>
      <c r="K41" s="524"/>
      <c r="L41" s="524"/>
      <c r="M41" s="525"/>
      <c r="N41" s="519"/>
      <c r="O41" s="507"/>
      <c r="Q41" s="519">
        <f t="shared" si="0"/>
        <v>0</v>
      </c>
      <c r="R41" s="519">
        <v>0</v>
      </c>
    </row>
    <row r="42" spans="1:18" x14ac:dyDescent="0.25">
      <c r="A42" s="504">
        <v>38</v>
      </c>
      <c r="B42" s="503">
        <v>4031</v>
      </c>
      <c r="C42" s="504" t="s">
        <v>334</v>
      </c>
      <c r="D42" s="505">
        <f>'Annual Rev &amp; Fees'!L43</f>
        <v>3454942.4699999997</v>
      </c>
      <c r="E42" s="516">
        <v>287911.87</v>
      </c>
      <c r="F42" s="521"/>
      <c r="G42" s="522"/>
      <c r="H42" s="523"/>
      <c r="I42" s="522"/>
      <c r="J42" s="517"/>
      <c r="K42" s="524"/>
      <c r="L42" s="524"/>
      <c r="M42" s="525"/>
      <c r="N42" s="519"/>
      <c r="O42" s="507"/>
      <c r="Q42" s="519">
        <f t="shared" si="0"/>
        <v>287911.87</v>
      </c>
      <c r="R42" s="519">
        <v>0</v>
      </c>
    </row>
    <row r="43" spans="1:18" x14ac:dyDescent="0.25">
      <c r="A43" s="504">
        <v>39</v>
      </c>
      <c r="B43" s="503">
        <v>4041</v>
      </c>
      <c r="C43" s="504" t="s">
        <v>335</v>
      </c>
      <c r="D43" s="505">
        <f>'Annual Rev &amp; Fees'!L44</f>
        <v>825974.84</v>
      </c>
      <c r="E43" s="516">
        <v>68831.240000000005</v>
      </c>
      <c r="F43" s="521"/>
      <c r="G43" s="522"/>
      <c r="H43" s="523"/>
      <c r="I43" s="522"/>
      <c r="J43" s="517"/>
      <c r="K43" s="524"/>
      <c r="L43" s="524"/>
      <c r="M43" s="525"/>
      <c r="N43" s="519"/>
      <c r="O43" s="507"/>
      <c r="Q43" s="519">
        <f t="shared" si="0"/>
        <v>68831.240000000005</v>
      </c>
      <c r="R43" s="519">
        <v>0</v>
      </c>
    </row>
    <row r="44" spans="1:18" x14ac:dyDescent="0.25">
      <c r="A44" s="504">
        <v>40</v>
      </c>
      <c r="B44" s="503">
        <v>4050</v>
      </c>
      <c r="C44" s="504" t="s">
        <v>336</v>
      </c>
      <c r="D44" s="505">
        <f>'Annual Rev &amp; Fees'!L45</f>
        <v>5527868.3100000005</v>
      </c>
      <c r="E44" s="516">
        <v>460655.69</v>
      </c>
      <c r="F44" s="521"/>
      <c r="G44" s="522"/>
      <c r="H44" s="523"/>
      <c r="I44" s="522"/>
      <c r="J44" s="517"/>
      <c r="K44" s="524"/>
      <c r="L44" s="524"/>
      <c r="M44" s="525"/>
      <c r="N44" s="519"/>
      <c r="O44" s="507"/>
      <c r="Q44" s="519">
        <f t="shared" si="0"/>
        <v>460655.69</v>
      </c>
      <c r="R44" s="519">
        <v>0</v>
      </c>
    </row>
    <row r="45" spans="1:18" x14ac:dyDescent="0.25">
      <c r="A45" s="504">
        <v>41</v>
      </c>
      <c r="B45" s="503">
        <v>4051</v>
      </c>
      <c r="C45" s="504" t="s">
        <v>337</v>
      </c>
      <c r="D45" s="505">
        <f>'Annual Rev &amp; Fees'!L46</f>
        <v>5448382.46</v>
      </c>
      <c r="E45" s="516">
        <v>454031.87</v>
      </c>
      <c r="F45" s="521"/>
      <c r="G45" s="522"/>
      <c r="H45" s="523"/>
      <c r="I45" s="522"/>
      <c r="J45" s="517"/>
      <c r="K45" s="524"/>
      <c r="L45" s="524"/>
      <c r="M45" s="525"/>
      <c r="N45" s="519"/>
      <c r="O45" s="507"/>
      <c r="Q45" s="519">
        <f t="shared" si="0"/>
        <v>454031.87</v>
      </c>
      <c r="R45" s="519">
        <v>0</v>
      </c>
    </row>
    <row r="46" spans="1:18" x14ac:dyDescent="0.25">
      <c r="A46" s="504">
        <v>42</v>
      </c>
      <c r="B46" s="503">
        <v>4061</v>
      </c>
      <c r="C46" s="504" t="s">
        <v>338</v>
      </c>
      <c r="D46" s="505">
        <f>'Annual Rev &amp; Fees'!L47</f>
        <v>8046218.9299999997</v>
      </c>
      <c r="E46" s="516">
        <v>670518.24</v>
      </c>
      <c r="F46" s="521"/>
      <c r="G46" s="522"/>
      <c r="H46" s="523"/>
      <c r="I46" s="522"/>
      <c r="J46" s="517"/>
      <c r="K46" s="524"/>
      <c r="L46" s="524"/>
      <c r="M46" s="525"/>
      <c r="N46" s="519"/>
      <c r="O46" s="507"/>
      <c r="Q46" s="519">
        <f t="shared" si="0"/>
        <v>670518.24</v>
      </c>
      <c r="R46" s="519">
        <v>0</v>
      </c>
    </row>
    <row r="47" spans="1:18" x14ac:dyDescent="0.25">
      <c r="A47" s="835">
        <v>43</v>
      </c>
      <c r="B47" s="838">
        <v>4080</v>
      </c>
      <c r="C47" s="835" t="s">
        <v>339</v>
      </c>
      <c r="D47" s="522">
        <f>'Annual Rev &amp; Fees'!L48</f>
        <v>0</v>
      </c>
      <c r="E47" s="516">
        <v>0</v>
      </c>
      <c r="F47" s="755"/>
      <c r="G47" s="522"/>
      <c r="H47" s="523"/>
      <c r="I47" s="522"/>
      <c r="J47" s="517"/>
      <c r="K47" s="524"/>
      <c r="L47" s="524"/>
      <c r="M47" s="525"/>
      <c r="N47" s="519"/>
      <c r="O47" s="507"/>
      <c r="Q47" s="519">
        <f t="shared" si="0"/>
        <v>0</v>
      </c>
      <c r="R47" s="519">
        <v>0</v>
      </c>
    </row>
    <row r="48" spans="1:18" x14ac:dyDescent="0.25">
      <c r="A48" s="504">
        <v>44</v>
      </c>
      <c r="B48" s="503">
        <v>4081</v>
      </c>
      <c r="C48" s="504" t="s">
        <v>340</v>
      </c>
      <c r="D48" s="505">
        <f>'Annual Rev &amp; Fees'!L49</f>
        <v>1095785.6499999999</v>
      </c>
      <c r="E48" s="516">
        <v>91315.47</v>
      </c>
      <c r="F48" s="521"/>
      <c r="G48" s="522"/>
      <c r="H48" s="523"/>
      <c r="I48" s="522"/>
      <c r="J48" s="517"/>
      <c r="K48" s="524"/>
      <c r="L48" s="524"/>
      <c r="M48" s="525"/>
      <c r="N48" s="519"/>
      <c r="O48" s="507"/>
      <c r="Q48" s="519">
        <f t="shared" si="0"/>
        <v>91315.47</v>
      </c>
      <c r="R48" s="519">
        <v>0</v>
      </c>
    </row>
    <row r="49" spans="1:18" x14ac:dyDescent="0.25">
      <c r="A49" s="504">
        <v>45</v>
      </c>
      <c r="B49" s="503">
        <v>4090</v>
      </c>
      <c r="C49" s="504" t="s">
        <v>341</v>
      </c>
      <c r="D49" s="505">
        <f>'Annual Rev &amp; Fees'!L50</f>
        <v>2706320.27</v>
      </c>
      <c r="E49" s="516">
        <v>225526.69</v>
      </c>
      <c r="F49" s="521"/>
      <c r="G49" s="522"/>
      <c r="H49" s="523"/>
      <c r="I49" s="522"/>
      <c r="J49" s="517"/>
      <c r="K49" s="524"/>
      <c r="L49" s="524"/>
      <c r="M49" s="525"/>
      <c r="N49" s="519"/>
      <c r="O49" s="507"/>
      <c r="Q49" s="519">
        <f>SUM(E49:P49)</f>
        <v>225526.69</v>
      </c>
      <c r="R49" s="519">
        <v>0</v>
      </c>
    </row>
    <row r="50" spans="1:18" x14ac:dyDescent="0.25">
      <c r="A50" s="504">
        <v>46</v>
      </c>
      <c r="B50" s="503">
        <v>4091</v>
      </c>
      <c r="C50" s="504" t="s">
        <v>342</v>
      </c>
      <c r="D50" s="505">
        <f>'Annual Rev &amp; Fees'!L51</f>
        <v>3484072.7600000002</v>
      </c>
      <c r="E50" s="516">
        <v>290339.40000000002</v>
      </c>
      <c r="F50" s="521"/>
      <c r="G50" s="522"/>
      <c r="H50" s="523"/>
      <c r="I50" s="522"/>
      <c r="J50" s="517"/>
      <c r="K50" s="524"/>
      <c r="L50" s="524"/>
      <c r="M50" s="525"/>
      <c r="N50" s="519"/>
      <c r="O50" s="507"/>
      <c r="Q50" s="519">
        <f t="shared" si="0"/>
        <v>290339.40000000002</v>
      </c>
      <c r="R50" s="519">
        <v>0</v>
      </c>
    </row>
    <row r="51" spans="1:18" x14ac:dyDescent="0.25">
      <c r="A51" s="504">
        <v>47</v>
      </c>
      <c r="B51" s="753">
        <v>4100</v>
      </c>
      <c r="C51" s="754" t="s">
        <v>343</v>
      </c>
      <c r="D51" s="522">
        <f>'Annual Rev &amp; Fees'!L52</f>
        <v>4336796.03</v>
      </c>
      <c r="E51" s="516">
        <v>361399.67</v>
      </c>
      <c r="F51" s="521"/>
      <c r="G51" s="522"/>
      <c r="H51" s="523"/>
      <c r="I51" s="522"/>
      <c r="J51" s="517"/>
      <c r="K51" s="524"/>
      <c r="L51" s="524"/>
      <c r="M51" s="525"/>
      <c r="N51" s="519"/>
      <c r="O51" s="507"/>
      <c r="Q51" s="519">
        <f t="shared" si="0"/>
        <v>361399.67</v>
      </c>
      <c r="R51" s="519">
        <v>0</v>
      </c>
    </row>
    <row r="52" spans="1:18" x14ac:dyDescent="0.25">
      <c r="A52" s="504">
        <v>48</v>
      </c>
      <c r="B52" s="753">
        <v>4102</v>
      </c>
      <c r="C52" s="754" t="s">
        <v>344</v>
      </c>
      <c r="D52" s="522">
        <f>'Annual Rev &amp; Fees'!L53</f>
        <v>1533224.67</v>
      </c>
      <c r="E52" s="516">
        <v>127768.72</v>
      </c>
      <c r="F52" s="521"/>
      <c r="G52" s="522"/>
      <c r="H52" s="523"/>
      <c r="I52" s="522"/>
      <c r="J52" s="517"/>
      <c r="K52" s="524"/>
      <c r="L52" s="524"/>
      <c r="M52" s="525"/>
      <c r="N52" s="519"/>
      <c r="O52" s="507"/>
      <c r="Q52" s="519">
        <f t="shared" si="0"/>
        <v>127768.72</v>
      </c>
      <c r="R52" s="519">
        <v>0</v>
      </c>
    </row>
    <row r="53" spans="1:18" x14ac:dyDescent="0.25">
      <c r="A53" s="504">
        <v>49</v>
      </c>
      <c r="B53" s="503">
        <v>4103</v>
      </c>
      <c r="C53" s="504" t="s">
        <v>345</v>
      </c>
      <c r="D53" s="505">
        <f>'Annual Rev &amp; Fees'!L54</f>
        <v>8649970.5700000003</v>
      </c>
      <c r="E53" s="516">
        <v>720830.88</v>
      </c>
      <c r="F53" s="521"/>
      <c r="G53" s="522"/>
      <c r="H53" s="523"/>
      <c r="I53" s="522"/>
      <c r="J53" s="521"/>
      <c r="K53" s="524"/>
      <c r="L53" s="524"/>
      <c r="M53" s="525"/>
      <c r="N53" s="519"/>
      <c r="O53" s="525"/>
      <c r="P53" s="525"/>
      <c r="Q53" s="519">
        <f t="shared" si="0"/>
        <v>720830.88</v>
      </c>
      <c r="R53" s="519">
        <v>0</v>
      </c>
    </row>
    <row r="54" spans="1:18" x14ac:dyDescent="0.25">
      <c r="A54" s="504">
        <v>50</v>
      </c>
      <c r="B54" s="503">
        <v>4111</v>
      </c>
      <c r="C54" s="504" t="s">
        <v>346</v>
      </c>
      <c r="D54" s="505">
        <f>'Annual Rev &amp; Fees'!L55</f>
        <v>2833189.7899999996</v>
      </c>
      <c r="E54" s="516">
        <v>236099.15</v>
      </c>
      <c r="F54" s="521"/>
      <c r="G54" s="522"/>
      <c r="H54" s="523"/>
      <c r="I54" s="522"/>
      <c r="J54" s="521"/>
      <c r="K54" s="524"/>
      <c r="L54" s="524"/>
      <c r="M54" s="525"/>
      <c r="N54" s="519"/>
      <c r="O54" s="507"/>
      <c r="Q54" s="519">
        <f t="shared" si="0"/>
        <v>236099.15</v>
      </c>
      <c r="R54" s="519">
        <v>0</v>
      </c>
    </row>
    <row r="55" spans="1:18" x14ac:dyDescent="0.25">
      <c r="A55" s="504">
        <v>51</v>
      </c>
      <c r="B55" s="503">
        <v>4131</v>
      </c>
      <c r="C55" s="504" t="s">
        <v>347</v>
      </c>
      <c r="D55" s="505">
        <f>'Annual Rev &amp; Fees'!L56</f>
        <v>1026019.2399999999</v>
      </c>
      <c r="E55" s="516">
        <v>85501.6</v>
      </c>
      <c r="F55" s="521"/>
      <c r="G55" s="522"/>
      <c r="H55" s="523"/>
      <c r="I55" s="522"/>
      <c r="J55" s="521"/>
      <c r="K55" s="524"/>
      <c r="L55" s="524"/>
      <c r="M55" s="525"/>
      <c r="N55" s="519"/>
      <c r="O55" s="507"/>
      <c r="Q55" s="519">
        <f t="shared" si="0"/>
        <v>85501.6</v>
      </c>
      <c r="R55" s="519">
        <v>0</v>
      </c>
    </row>
    <row r="56" spans="1:18" x14ac:dyDescent="0.25">
      <c r="E56" s="516"/>
      <c r="F56" s="521"/>
      <c r="G56" s="522"/>
      <c r="H56" s="523"/>
      <c r="I56" s="522"/>
      <c r="J56" s="521"/>
      <c r="K56" s="524"/>
      <c r="L56" s="524"/>
      <c r="M56" s="525"/>
      <c r="N56" s="519"/>
      <c r="O56" s="507"/>
      <c r="Q56" s="519"/>
      <c r="R56" s="519"/>
    </row>
    <row r="57" spans="1:18" x14ac:dyDescent="0.25">
      <c r="E57" s="520"/>
      <c r="J57" s="507"/>
      <c r="L57" s="507"/>
      <c r="R57" s="519">
        <f t="shared" ref="R57" si="1">SUM(E57:E57)</f>
        <v>0</v>
      </c>
    </row>
    <row r="58" spans="1:18" x14ac:dyDescent="0.25">
      <c r="D58" s="849">
        <f t="shared" ref="D58:I58" si="2">SUM(D5:D57)</f>
        <v>216006919.03999999</v>
      </c>
      <c r="E58" s="850">
        <f t="shared" si="2"/>
        <v>17996982.359999999</v>
      </c>
      <c r="F58" s="850">
        <f t="shared" si="2"/>
        <v>0</v>
      </c>
      <c r="G58" s="849">
        <f t="shared" si="2"/>
        <v>0</v>
      </c>
      <c r="H58" s="849">
        <f t="shared" si="2"/>
        <v>0</v>
      </c>
      <c r="I58" s="849">
        <f t="shared" si="2"/>
        <v>0</v>
      </c>
      <c r="J58" s="851">
        <f>SUM(J5:J57)</f>
        <v>0</v>
      </c>
      <c r="K58" s="851">
        <f>SUM(K5:K57)</f>
        <v>0</v>
      </c>
      <c r="L58" s="852">
        <f t="shared" ref="L58:P58" si="3">SUM(L5:L57)</f>
        <v>0</v>
      </c>
      <c r="M58" s="849">
        <f>SUM(M5:M57)</f>
        <v>0</v>
      </c>
      <c r="N58" s="849">
        <f t="shared" si="3"/>
        <v>0</v>
      </c>
      <c r="O58" s="849">
        <f t="shared" si="3"/>
        <v>0</v>
      </c>
      <c r="P58" s="852">
        <f t="shared" si="3"/>
        <v>0</v>
      </c>
      <c r="Q58" s="849">
        <f>SUM(Q5:Q57)</f>
        <v>17996982.359999999</v>
      </c>
      <c r="R58" s="853">
        <f>SUM(E58:P58)</f>
        <v>17996982.359999999</v>
      </c>
    </row>
    <row r="59" spans="1:18" x14ac:dyDescent="0.25">
      <c r="Q59" s="505">
        <f>SUM(E59:P59)</f>
        <v>0</v>
      </c>
    </row>
    <row r="60" spans="1:18" x14ac:dyDescent="0.25">
      <c r="B60" s="555">
        <v>166059.87</v>
      </c>
      <c r="C60" s="504" t="s">
        <v>489</v>
      </c>
      <c r="I60" s="532" t="s">
        <v>263</v>
      </c>
      <c r="J60" s="520">
        <f>'Annual Rev &amp; Fees'!L59</f>
        <v>216006919.03999999</v>
      </c>
      <c r="L60" s="533"/>
      <c r="Q60" s="745"/>
    </row>
    <row r="61" spans="1:18" x14ac:dyDescent="0.25">
      <c r="I61" s="532" t="s">
        <v>490</v>
      </c>
      <c r="J61" s="708">
        <f>D127-SUM(E127:P127)</f>
        <v>216006919.03999999</v>
      </c>
      <c r="L61" s="533"/>
    </row>
    <row r="62" spans="1:18" x14ac:dyDescent="0.25">
      <c r="I62" s="532" t="s">
        <v>491</v>
      </c>
      <c r="J62" s="707">
        <f>J61/Consolidated!I157</f>
        <v>18000576.586666666</v>
      </c>
      <c r="K62" s="535"/>
      <c r="L62" s="533"/>
    </row>
    <row r="63" spans="1:18" x14ac:dyDescent="0.25">
      <c r="I63" s="532" t="s">
        <v>492</v>
      </c>
      <c r="J63" s="708">
        <f>E58</f>
        <v>17996982.359999999</v>
      </c>
      <c r="L63" s="533"/>
    </row>
    <row r="64" spans="1:18" x14ac:dyDescent="0.25">
      <c r="J64" s="534">
        <f>J62-J63</f>
        <v>3594.2266666665673</v>
      </c>
      <c r="K64" s="506" t="s">
        <v>493</v>
      </c>
      <c r="L64" s="533"/>
    </row>
    <row r="65" spans="1:18" x14ac:dyDescent="0.25">
      <c r="J65" s="533"/>
      <c r="L65" s="533"/>
    </row>
    <row r="66" spans="1:18" x14ac:dyDescent="0.25">
      <c r="D66" s="529"/>
      <c r="J66" s="533"/>
      <c r="L66" s="533"/>
    </row>
    <row r="70" spans="1:18" x14ac:dyDescent="0.25">
      <c r="N70" s="508" t="s">
        <v>494</v>
      </c>
    </row>
    <row r="72" spans="1:18" ht="45" x14ac:dyDescent="0.25">
      <c r="A72" s="510" t="s">
        <v>52</v>
      </c>
      <c r="B72" s="511" t="s">
        <v>52</v>
      </c>
      <c r="C72" s="510" t="s">
        <v>52</v>
      </c>
      <c r="D72" s="512" t="s">
        <v>263</v>
      </c>
      <c r="E72" s="512" t="s">
        <v>475</v>
      </c>
      <c r="F72" s="511" t="s">
        <v>476</v>
      </c>
      <c r="G72" s="511" t="s">
        <v>477</v>
      </c>
      <c r="H72" s="511" t="s">
        <v>478</v>
      </c>
      <c r="I72" s="511" t="s">
        <v>479</v>
      </c>
      <c r="J72" s="511" t="s">
        <v>480</v>
      </c>
      <c r="K72" s="513" t="s">
        <v>481</v>
      </c>
      <c r="L72" s="511" t="s">
        <v>482</v>
      </c>
      <c r="M72" s="511" t="s">
        <v>483</v>
      </c>
      <c r="N72" s="511" t="s">
        <v>484</v>
      </c>
      <c r="O72" s="511" t="s">
        <v>485</v>
      </c>
      <c r="P72" s="514" t="s">
        <v>486</v>
      </c>
      <c r="Q72" s="511" t="s">
        <v>125</v>
      </c>
      <c r="R72" s="756" t="s">
        <v>487</v>
      </c>
    </row>
    <row r="73" spans="1:18" x14ac:dyDescent="0.25">
      <c r="A73" s="504">
        <v>1</v>
      </c>
      <c r="B73" s="515" t="s">
        <v>271</v>
      </c>
      <c r="C73" s="504" t="s">
        <v>272</v>
      </c>
      <c r="D73" s="516">
        <f>D5</f>
        <v>215256.02000000002</v>
      </c>
      <c r="E73" s="516"/>
      <c r="F73" s="547"/>
      <c r="G73" s="547"/>
      <c r="H73" s="517"/>
      <c r="I73" s="517"/>
      <c r="J73" s="517"/>
      <c r="K73" s="518"/>
      <c r="L73" s="518"/>
      <c r="M73" s="517"/>
      <c r="N73" s="517"/>
      <c r="O73" s="517"/>
      <c r="P73" s="514"/>
      <c r="Q73" s="536">
        <f>SUM(E73:P73)</f>
        <v>0</v>
      </c>
      <c r="R73" s="519">
        <f>SUM(E73:P73)</f>
        <v>0</v>
      </c>
    </row>
    <row r="74" spans="1:18" x14ac:dyDescent="0.25">
      <c r="A74" s="504">
        <v>2</v>
      </c>
      <c r="B74" s="515" t="s">
        <v>611</v>
      </c>
      <c r="C74" s="504" t="s">
        <v>612</v>
      </c>
      <c r="D74" s="516">
        <f t="shared" ref="D74:D124" si="4">D6</f>
        <v>1165374.92</v>
      </c>
      <c r="E74" s="516"/>
      <c r="F74" s="547"/>
      <c r="G74" s="547"/>
      <c r="H74" s="517"/>
      <c r="I74" s="517"/>
      <c r="J74" s="517"/>
      <c r="K74" s="518"/>
      <c r="L74" s="518"/>
      <c r="M74" s="517"/>
      <c r="N74" s="517"/>
      <c r="O74" s="517"/>
      <c r="P74" s="514"/>
      <c r="Q74" s="536">
        <f>SUM(E74:P74)</f>
        <v>0</v>
      </c>
      <c r="R74" s="519">
        <f t="shared" ref="R74:R123" si="5">SUM(E74:P74)</f>
        <v>0</v>
      </c>
    </row>
    <row r="75" spans="1:18" x14ac:dyDescent="0.25">
      <c r="A75" s="504">
        <v>3</v>
      </c>
      <c r="B75" s="515" t="s">
        <v>273</v>
      </c>
      <c r="C75" s="504" t="s">
        <v>274</v>
      </c>
      <c r="D75" s="516">
        <f t="shared" si="4"/>
        <v>892165.97</v>
      </c>
      <c r="E75" s="516"/>
      <c r="F75" s="547"/>
      <c r="G75" s="547"/>
      <c r="H75" s="517"/>
      <c r="I75" s="517"/>
      <c r="J75" s="517"/>
      <c r="K75" s="518"/>
      <c r="L75" s="518"/>
      <c r="M75" s="517"/>
      <c r="N75" s="517"/>
      <c r="O75" s="517"/>
      <c r="P75" s="514"/>
      <c r="Q75" s="536">
        <f>SUM(E75:P75)</f>
        <v>0</v>
      </c>
      <c r="R75" s="519">
        <f t="shared" si="5"/>
        <v>0</v>
      </c>
    </row>
    <row r="76" spans="1:18" x14ac:dyDescent="0.25">
      <c r="A76" s="504">
        <v>4</v>
      </c>
      <c r="B76" s="503" t="s">
        <v>275</v>
      </c>
      <c r="C76" s="504" t="s">
        <v>276</v>
      </c>
      <c r="D76" s="516">
        <f t="shared" si="4"/>
        <v>7909427.5000000009</v>
      </c>
      <c r="E76" s="516"/>
      <c r="F76" s="522"/>
      <c r="G76" s="522"/>
      <c r="H76" s="522"/>
      <c r="I76" s="521"/>
      <c r="J76" s="521"/>
      <c r="K76" s="524"/>
      <c r="L76" s="525"/>
      <c r="M76" s="525"/>
      <c r="N76" s="525"/>
      <c r="O76" s="507"/>
      <c r="Q76" s="536">
        <f>SUM(E76:P76)</f>
        <v>0</v>
      </c>
      <c r="R76" s="519">
        <f t="shared" si="5"/>
        <v>0</v>
      </c>
    </row>
    <row r="77" spans="1:18" x14ac:dyDescent="0.25">
      <c r="A77" s="504">
        <v>5</v>
      </c>
      <c r="B77" s="503" t="s">
        <v>277</v>
      </c>
      <c r="C77" s="504" t="s">
        <v>278</v>
      </c>
      <c r="D77" s="516">
        <f t="shared" si="4"/>
        <v>11996437.119999999</v>
      </c>
      <c r="E77" s="516"/>
      <c r="F77" s="522"/>
      <c r="G77" s="522"/>
      <c r="H77" s="522"/>
      <c r="I77" s="521"/>
      <c r="J77" s="521"/>
      <c r="K77" s="524"/>
      <c r="L77" s="525"/>
      <c r="M77" s="525"/>
      <c r="N77" s="525"/>
      <c r="O77" s="507"/>
      <c r="Q77" s="536">
        <f>SUM(E77:P77)</f>
        <v>0</v>
      </c>
      <c r="R77" s="519">
        <f t="shared" si="5"/>
        <v>0</v>
      </c>
    </row>
    <row r="78" spans="1:18" x14ac:dyDescent="0.25">
      <c r="A78" s="504">
        <v>6</v>
      </c>
      <c r="B78" s="503" t="s">
        <v>279</v>
      </c>
      <c r="C78" s="504" t="s">
        <v>280</v>
      </c>
      <c r="D78" s="516">
        <f t="shared" si="4"/>
        <v>1334466.3</v>
      </c>
      <c r="E78" s="516"/>
      <c r="F78" s="522"/>
      <c r="G78" s="522"/>
      <c r="H78" s="522"/>
      <c r="I78" s="521"/>
      <c r="J78" s="521"/>
      <c r="K78" s="524"/>
      <c r="L78" s="525"/>
      <c r="M78" s="525"/>
      <c r="N78" s="525"/>
      <c r="O78" s="507"/>
      <c r="Q78" s="536">
        <f t="shared" ref="Q78:Q123" si="6">SUM(E78:P78)</f>
        <v>0</v>
      </c>
      <c r="R78" s="519">
        <f t="shared" si="5"/>
        <v>0</v>
      </c>
    </row>
    <row r="79" spans="1:18" x14ac:dyDescent="0.25">
      <c r="A79" s="504">
        <v>7</v>
      </c>
      <c r="B79" s="503" t="s">
        <v>281</v>
      </c>
      <c r="C79" s="504" t="s">
        <v>377</v>
      </c>
      <c r="D79" s="516">
        <f t="shared" si="4"/>
        <v>1456769.23</v>
      </c>
      <c r="E79" s="516"/>
      <c r="F79" s="522"/>
      <c r="G79" s="522"/>
      <c r="H79" s="522"/>
      <c r="I79" s="521"/>
      <c r="J79" s="521"/>
      <c r="K79" s="524"/>
      <c r="L79" s="525"/>
      <c r="M79" s="525"/>
      <c r="N79" s="525"/>
      <c r="O79" s="507"/>
      <c r="Q79" s="536">
        <f t="shared" si="6"/>
        <v>0</v>
      </c>
      <c r="R79" s="519">
        <f t="shared" si="5"/>
        <v>0</v>
      </c>
    </row>
    <row r="80" spans="1:18" x14ac:dyDescent="0.25">
      <c r="A80" s="504">
        <v>8</v>
      </c>
      <c r="B80" s="503" t="s">
        <v>283</v>
      </c>
      <c r="C80" s="504" t="s">
        <v>284</v>
      </c>
      <c r="D80" s="516">
        <f t="shared" si="4"/>
        <v>5895629.2800000003</v>
      </c>
      <c r="E80" s="516"/>
      <c r="F80" s="522"/>
      <c r="G80" s="522"/>
      <c r="H80" s="522"/>
      <c r="I80" s="521"/>
      <c r="J80" s="521"/>
      <c r="K80" s="524"/>
      <c r="L80" s="525"/>
      <c r="M80" s="525"/>
      <c r="N80" s="525"/>
      <c r="O80" s="507"/>
      <c r="Q80" s="536">
        <f t="shared" si="6"/>
        <v>0</v>
      </c>
      <c r="R80" s="519">
        <f t="shared" si="5"/>
        <v>0</v>
      </c>
    </row>
    <row r="81" spans="1:18" x14ac:dyDescent="0.25">
      <c r="A81" s="504">
        <v>9</v>
      </c>
      <c r="B81" s="503" t="s">
        <v>285</v>
      </c>
      <c r="C81" s="504" t="s">
        <v>286</v>
      </c>
      <c r="D81" s="516">
        <f t="shared" si="4"/>
        <v>5104495.08</v>
      </c>
      <c r="E81" s="516"/>
      <c r="F81" s="522"/>
      <c r="G81" s="522"/>
      <c r="H81" s="522"/>
      <c r="I81" s="521"/>
      <c r="J81" s="521"/>
      <c r="K81" s="524"/>
      <c r="L81" s="525"/>
      <c r="M81" s="525"/>
      <c r="N81" s="525"/>
      <c r="O81" s="507"/>
      <c r="Q81" s="536">
        <f t="shared" si="6"/>
        <v>0</v>
      </c>
      <c r="R81" s="519">
        <f t="shared" si="5"/>
        <v>0</v>
      </c>
    </row>
    <row r="82" spans="1:18" x14ac:dyDescent="0.25">
      <c r="A82" s="504">
        <v>10</v>
      </c>
      <c r="B82" s="503" t="s">
        <v>287</v>
      </c>
      <c r="C82" s="504" t="s">
        <v>288</v>
      </c>
      <c r="D82" s="516">
        <f t="shared" si="4"/>
        <v>7020252.4100000001</v>
      </c>
      <c r="E82" s="516"/>
      <c r="F82" s="522"/>
      <c r="G82" s="522"/>
      <c r="H82" s="522"/>
      <c r="I82" s="521"/>
      <c r="J82" s="521"/>
      <c r="K82" s="524"/>
      <c r="L82" s="525"/>
      <c r="M82" s="525"/>
      <c r="N82" s="525"/>
      <c r="O82" s="507"/>
      <c r="Q82" s="536">
        <f t="shared" si="6"/>
        <v>0</v>
      </c>
      <c r="R82" s="519">
        <f t="shared" si="5"/>
        <v>0</v>
      </c>
    </row>
    <row r="83" spans="1:18" x14ac:dyDescent="0.25">
      <c r="A83" s="504">
        <v>11</v>
      </c>
      <c r="B83" s="503" t="s">
        <v>289</v>
      </c>
      <c r="C83" s="504" t="s">
        <v>290</v>
      </c>
      <c r="D83" s="516">
        <f t="shared" si="4"/>
        <v>11160540.139999999</v>
      </c>
      <c r="E83" s="516"/>
      <c r="F83" s="522"/>
      <c r="G83" s="522"/>
      <c r="H83" s="522"/>
      <c r="I83" s="521"/>
      <c r="J83" s="521"/>
      <c r="K83" s="524"/>
      <c r="L83" s="525"/>
      <c r="M83" s="525"/>
      <c r="N83" s="525"/>
      <c r="O83" s="507"/>
      <c r="Q83" s="536">
        <f t="shared" si="6"/>
        <v>0</v>
      </c>
      <c r="R83" s="519">
        <f t="shared" si="5"/>
        <v>0</v>
      </c>
    </row>
    <row r="84" spans="1:18" x14ac:dyDescent="0.25">
      <c r="A84" s="504">
        <v>12</v>
      </c>
      <c r="B84" s="503" t="s">
        <v>291</v>
      </c>
      <c r="C84" s="504" t="s">
        <v>292</v>
      </c>
      <c r="D84" s="516">
        <f t="shared" si="4"/>
        <v>6682474.5499999998</v>
      </c>
      <c r="E84" s="516"/>
      <c r="F84" s="522"/>
      <c r="G84" s="522"/>
      <c r="H84" s="522"/>
      <c r="I84" s="521"/>
      <c r="J84" s="521"/>
      <c r="K84" s="524"/>
      <c r="L84" s="525"/>
      <c r="M84" s="525"/>
      <c r="N84" s="525"/>
      <c r="O84" s="507"/>
      <c r="Q84" s="536">
        <f t="shared" si="6"/>
        <v>0</v>
      </c>
      <c r="R84" s="519">
        <f t="shared" si="5"/>
        <v>0</v>
      </c>
    </row>
    <row r="85" spans="1:18" x14ac:dyDescent="0.25">
      <c r="A85" s="504">
        <v>13</v>
      </c>
      <c r="B85" s="503" t="s">
        <v>293</v>
      </c>
      <c r="C85" s="504" t="s">
        <v>294</v>
      </c>
      <c r="D85" s="516">
        <f t="shared" si="4"/>
        <v>1240427.57</v>
      </c>
      <c r="E85" s="516"/>
      <c r="F85" s="522"/>
      <c r="G85" s="522"/>
      <c r="H85" s="522"/>
      <c r="I85" s="521"/>
      <c r="J85" s="521"/>
      <c r="K85" s="524"/>
      <c r="L85" s="525"/>
      <c r="M85" s="525"/>
      <c r="N85" s="525"/>
      <c r="O85" s="507"/>
      <c r="Q85" s="536">
        <f t="shared" si="6"/>
        <v>0</v>
      </c>
      <c r="R85" s="519">
        <f t="shared" si="5"/>
        <v>0</v>
      </c>
    </row>
    <row r="86" spans="1:18" x14ac:dyDescent="0.25">
      <c r="A86" s="504">
        <v>14</v>
      </c>
      <c r="B86" s="503">
        <v>3362</v>
      </c>
      <c r="C86" s="504" t="s">
        <v>373</v>
      </c>
      <c r="D86" s="516">
        <f t="shared" si="4"/>
        <v>1395380.92</v>
      </c>
      <c r="E86" s="516"/>
      <c r="F86" s="522"/>
      <c r="G86" s="522"/>
      <c r="H86" s="522"/>
      <c r="I86" s="521"/>
      <c r="J86" s="521"/>
      <c r="K86" s="524"/>
      <c r="L86" s="525"/>
      <c r="M86" s="525"/>
      <c r="N86" s="525"/>
      <c r="O86" s="507"/>
      <c r="Q86" s="536">
        <f t="shared" si="6"/>
        <v>0</v>
      </c>
      <c r="R86" s="519">
        <f t="shared" si="5"/>
        <v>0</v>
      </c>
    </row>
    <row r="87" spans="1:18" x14ac:dyDescent="0.25">
      <c r="A87" s="504">
        <v>15</v>
      </c>
      <c r="B87" s="503" t="s">
        <v>295</v>
      </c>
      <c r="C87" s="504" t="s">
        <v>296</v>
      </c>
      <c r="D87" s="516">
        <f t="shared" si="4"/>
        <v>9483811.7899999991</v>
      </c>
      <c r="E87" s="516"/>
      <c r="F87" s="522"/>
      <c r="G87" s="522"/>
      <c r="H87" s="522"/>
      <c r="I87" s="521"/>
      <c r="J87" s="521"/>
      <c r="K87" s="524"/>
      <c r="L87" s="525"/>
      <c r="M87" s="525"/>
      <c r="N87" s="525"/>
      <c r="O87" s="507"/>
      <c r="Q87" s="536">
        <f t="shared" si="6"/>
        <v>0</v>
      </c>
      <c r="R87" s="519">
        <f t="shared" si="5"/>
        <v>0</v>
      </c>
    </row>
    <row r="88" spans="1:18" x14ac:dyDescent="0.25">
      <c r="A88" s="504">
        <v>16</v>
      </c>
      <c r="B88" s="503" t="s">
        <v>297</v>
      </c>
      <c r="C88" s="504" t="s">
        <v>298</v>
      </c>
      <c r="D88" s="516">
        <f t="shared" si="4"/>
        <v>2384946.87</v>
      </c>
      <c r="E88" s="516"/>
      <c r="F88" s="522"/>
      <c r="G88" s="522"/>
      <c r="H88" s="522"/>
      <c r="I88" s="521"/>
      <c r="J88" s="521"/>
      <c r="K88" s="524"/>
      <c r="L88" s="525"/>
      <c r="M88" s="525"/>
      <c r="N88" s="525"/>
      <c r="O88" s="507"/>
      <c r="Q88" s="536">
        <f t="shared" si="6"/>
        <v>0</v>
      </c>
      <c r="R88" s="519">
        <f t="shared" si="5"/>
        <v>0</v>
      </c>
    </row>
    <row r="89" spans="1:18" x14ac:dyDescent="0.25">
      <c r="A89" s="504">
        <v>17</v>
      </c>
      <c r="B89" s="503" t="s">
        <v>299</v>
      </c>
      <c r="C89" s="504" t="s">
        <v>300</v>
      </c>
      <c r="D89" s="516">
        <f t="shared" si="4"/>
        <v>0</v>
      </c>
      <c r="E89" s="516"/>
      <c r="F89" s="522"/>
      <c r="G89" s="522"/>
      <c r="H89" s="522"/>
      <c r="I89" s="521"/>
      <c r="J89" s="521"/>
      <c r="K89" s="524"/>
      <c r="L89" s="525"/>
      <c r="M89" s="525"/>
      <c r="N89" s="525"/>
      <c r="O89" s="507"/>
      <c r="Q89" s="536">
        <f t="shared" si="6"/>
        <v>0</v>
      </c>
      <c r="R89" s="519">
        <f t="shared" si="5"/>
        <v>0</v>
      </c>
    </row>
    <row r="90" spans="1:18" x14ac:dyDescent="0.25">
      <c r="A90" s="504">
        <v>18</v>
      </c>
      <c r="B90" s="503" t="s">
        <v>301</v>
      </c>
      <c r="C90" s="504" t="s">
        <v>302</v>
      </c>
      <c r="D90" s="516">
        <f t="shared" si="4"/>
        <v>1691865.55</v>
      </c>
      <c r="E90" s="516"/>
      <c r="F90" s="522"/>
      <c r="G90" s="522"/>
      <c r="H90" s="522"/>
      <c r="I90" s="521"/>
      <c r="J90" s="521"/>
      <c r="K90" s="524"/>
      <c r="L90" s="525"/>
      <c r="M90" s="525"/>
      <c r="N90" s="525"/>
      <c r="O90" s="507"/>
      <c r="Q90" s="536">
        <f t="shared" si="6"/>
        <v>0</v>
      </c>
      <c r="R90" s="519">
        <f t="shared" si="5"/>
        <v>0</v>
      </c>
    </row>
    <row r="91" spans="1:18" x14ac:dyDescent="0.25">
      <c r="A91" s="504">
        <v>19</v>
      </c>
      <c r="B91" s="503" t="s">
        <v>303</v>
      </c>
      <c r="C91" s="504" t="s">
        <v>304</v>
      </c>
      <c r="D91" s="516">
        <f t="shared" si="4"/>
        <v>4714570.79</v>
      </c>
      <c r="E91" s="516"/>
      <c r="F91" s="522"/>
      <c r="G91" s="522"/>
      <c r="H91" s="522"/>
      <c r="I91" s="521"/>
      <c r="J91" s="521"/>
      <c r="K91" s="524"/>
      <c r="L91" s="525"/>
      <c r="M91" s="525"/>
      <c r="N91" s="525"/>
      <c r="O91" s="507"/>
      <c r="Q91" s="536">
        <f t="shared" si="6"/>
        <v>0</v>
      </c>
      <c r="R91" s="519">
        <f t="shared" si="5"/>
        <v>0</v>
      </c>
    </row>
    <row r="92" spans="1:18" x14ac:dyDescent="0.25">
      <c r="A92" s="504">
        <v>20</v>
      </c>
      <c r="B92" s="503" t="s">
        <v>305</v>
      </c>
      <c r="C92" s="504" t="s">
        <v>306</v>
      </c>
      <c r="D92" s="516">
        <f t="shared" si="4"/>
        <v>6613690.4499999993</v>
      </c>
      <c r="E92" s="516"/>
      <c r="F92" s="522"/>
      <c r="G92" s="522"/>
      <c r="H92" s="522"/>
      <c r="I92" s="521"/>
      <c r="J92" s="521"/>
      <c r="K92" s="524"/>
      <c r="L92" s="525"/>
      <c r="M92" s="525"/>
      <c r="N92" s="525"/>
      <c r="O92" s="507"/>
      <c r="Q92" s="536">
        <f t="shared" si="6"/>
        <v>0</v>
      </c>
      <c r="R92" s="519">
        <f t="shared" si="5"/>
        <v>0</v>
      </c>
    </row>
    <row r="93" spans="1:18" x14ac:dyDescent="0.25">
      <c r="A93" s="504">
        <v>21</v>
      </c>
      <c r="B93" s="503" t="s">
        <v>307</v>
      </c>
      <c r="C93" s="504" t="s">
        <v>308</v>
      </c>
      <c r="D93" s="516">
        <f t="shared" si="4"/>
        <v>988463.89</v>
      </c>
      <c r="E93" s="516"/>
      <c r="F93" s="522"/>
      <c r="G93" s="522"/>
      <c r="H93" s="522"/>
      <c r="I93" s="521"/>
      <c r="J93" s="521"/>
      <c r="K93" s="524"/>
      <c r="L93" s="525"/>
      <c r="M93" s="525"/>
      <c r="N93" s="525"/>
      <c r="O93" s="507"/>
      <c r="Q93" s="536">
        <f t="shared" si="6"/>
        <v>0</v>
      </c>
      <c r="R93" s="519">
        <f t="shared" si="5"/>
        <v>0</v>
      </c>
    </row>
    <row r="94" spans="1:18" x14ac:dyDescent="0.25">
      <c r="A94" s="504">
        <v>22</v>
      </c>
      <c r="B94" s="503" t="s">
        <v>309</v>
      </c>
      <c r="C94" s="504" t="s">
        <v>310</v>
      </c>
      <c r="D94" s="516">
        <f t="shared" si="4"/>
        <v>1304023.4400000002</v>
      </c>
      <c r="E94" s="516"/>
      <c r="F94" s="522"/>
      <c r="G94" s="522"/>
      <c r="H94" s="522"/>
      <c r="I94" s="521"/>
      <c r="J94" s="521"/>
      <c r="K94" s="524"/>
      <c r="L94" s="525"/>
      <c r="M94" s="525"/>
      <c r="N94" s="525"/>
      <c r="O94" s="507"/>
      <c r="Q94" s="536">
        <f t="shared" si="6"/>
        <v>0</v>
      </c>
      <c r="R94" s="519">
        <f t="shared" si="5"/>
        <v>0</v>
      </c>
    </row>
    <row r="95" spans="1:18" x14ac:dyDescent="0.25">
      <c r="A95" s="504">
        <v>23</v>
      </c>
      <c r="B95" s="503" t="s">
        <v>311</v>
      </c>
      <c r="C95" s="504" t="s">
        <v>312</v>
      </c>
      <c r="D95" s="516">
        <f t="shared" si="4"/>
        <v>3694318.81</v>
      </c>
      <c r="E95" s="516"/>
      <c r="F95" s="522"/>
      <c r="G95" s="522"/>
      <c r="H95" s="522"/>
      <c r="I95" s="521"/>
      <c r="J95" s="521"/>
      <c r="K95" s="524"/>
      <c r="L95" s="525"/>
      <c r="M95" s="525"/>
      <c r="N95" s="525"/>
      <c r="O95" s="507"/>
      <c r="Q95" s="536">
        <f t="shared" si="6"/>
        <v>0</v>
      </c>
      <c r="R95" s="519">
        <f t="shared" si="5"/>
        <v>0</v>
      </c>
    </row>
    <row r="96" spans="1:18" x14ac:dyDescent="0.25">
      <c r="A96" s="504">
        <v>24</v>
      </c>
      <c r="B96" s="503" t="s">
        <v>313</v>
      </c>
      <c r="C96" s="504" t="s">
        <v>314</v>
      </c>
      <c r="D96" s="516">
        <f t="shared" si="4"/>
        <v>3561468.0999999996</v>
      </c>
      <c r="E96" s="516"/>
      <c r="F96" s="522"/>
      <c r="G96" s="522"/>
      <c r="H96" s="522"/>
      <c r="I96" s="521"/>
      <c r="J96" s="521"/>
      <c r="K96" s="524"/>
      <c r="L96" s="525"/>
      <c r="M96" s="525"/>
      <c r="N96" s="525"/>
      <c r="O96" s="507"/>
      <c r="Q96" s="536">
        <f t="shared" si="6"/>
        <v>0</v>
      </c>
      <c r="R96" s="519">
        <f t="shared" si="5"/>
        <v>0</v>
      </c>
    </row>
    <row r="97" spans="1:18" x14ac:dyDescent="0.25">
      <c r="A97" s="504">
        <v>25</v>
      </c>
      <c r="B97" s="503" t="s">
        <v>315</v>
      </c>
      <c r="C97" s="504" t="s">
        <v>316</v>
      </c>
      <c r="D97" s="516">
        <f t="shared" si="4"/>
        <v>5451939.6599999992</v>
      </c>
      <c r="E97" s="516"/>
      <c r="F97" s="522"/>
      <c r="G97" s="522"/>
      <c r="H97" s="522"/>
      <c r="I97" s="521"/>
      <c r="J97" s="521"/>
      <c r="K97" s="524"/>
      <c r="L97" s="525"/>
      <c r="M97" s="525"/>
      <c r="N97" s="525"/>
      <c r="O97" s="507"/>
      <c r="Q97" s="536">
        <f t="shared" si="6"/>
        <v>0</v>
      </c>
      <c r="R97" s="519">
        <f t="shared" si="5"/>
        <v>0</v>
      </c>
    </row>
    <row r="98" spans="1:18" x14ac:dyDescent="0.25">
      <c r="A98" s="504">
        <v>26</v>
      </c>
      <c r="B98" s="503" t="s">
        <v>317</v>
      </c>
      <c r="C98" s="504" t="s">
        <v>318</v>
      </c>
      <c r="D98" s="516">
        <f t="shared" si="4"/>
        <v>8910411.290000001</v>
      </c>
      <c r="E98" s="516"/>
      <c r="F98" s="522"/>
      <c r="G98" s="522"/>
      <c r="H98" s="522"/>
      <c r="I98" s="521"/>
      <c r="J98" s="521"/>
      <c r="K98" s="524"/>
      <c r="L98" s="525"/>
      <c r="M98" s="525"/>
      <c r="N98" s="525"/>
      <c r="O98" s="507"/>
      <c r="Q98" s="536">
        <f t="shared" si="6"/>
        <v>0</v>
      </c>
      <c r="R98" s="519">
        <f t="shared" si="5"/>
        <v>0</v>
      </c>
    </row>
    <row r="99" spans="1:18" x14ac:dyDescent="0.25">
      <c r="A99" s="504">
        <v>27</v>
      </c>
      <c r="B99" s="503">
        <v>3441</v>
      </c>
      <c r="C99" s="504" t="s">
        <v>319</v>
      </c>
      <c r="D99" s="516">
        <f t="shared" si="4"/>
        <v>4742327.96</v>
      </c>
      <c r="E99" s="516"/>
      <c r="F99" s="522"/>
      <c r="G99" s="522"/>
      <c r="H99" s="522"/>
      <c r="I99" s="521"/>
      <c r="J99" s="521"/>
      <c r="K99" s="524"/>
      <c r="L99" s="525"/>
      <c r="M99" s="525"/>
      <c r="N99" s="525"/>
      <c r="O99" s="507"/>
      <c r="Q99" s="536">
        <f t="shared" si="6"/>
        <v>0</v>
      </c>
      <c r="R99" s="519">
        <f t="shared" si="5"/>
        <v>0</v>
      </c>
    </row>
    <row r="100" spans="1:18" x14ac:dyDescent="0.25">
      <c r="A100" s="504">
        <v>28</v>
      </c>
      <c r="B100" s="503">
        <v>3924</v>
      </c>
      <c r="C100" s="504" t="s">
        <v>320</v>
      </c>
      <c r="D100" s="516">
        <f t="shared" si="4"/>
        <v>3682119.7399999998</v>
      </c>
      <c r="E100" s="516"/>
      <c r="F100" s="522"/>
      <c r="G100" s="522"/>
      <c r="H100" s="522"/>
      <c r="I100" s="521"/>
      <c r="J100" s="521"/>
      <c r="K100" s="524"/>
      <c r="L100" s="525"/>
      <c r="M100" s="525"/>
      <c r="N100" s="525"/>
      <c r="O100" s="507"/>
      <c r="Q100" s="536">
        <f t="shared" si="6"/>
        <v>0</v>
      </c>
      <c r="R100" s="519">
        <f t="shared" si="5"/>
        <v>0</v>
      </c>
    </row>
    <row r="101" spans="1:18" x14ac:dyDescent="0.25">
      <c r="A101" s="504">
        <v>29</v>
      </c>
      <c r="B101" s="503" t="s">
        <v>321</v>
      </c>
      <c r="C101" s="504" t="s">
        <v>322</v>
      </c>
      <c r="D101" s="516">
        <f t="shared" si="4"/>
        <v>1991308.5800000003</v>
      </c>
      <c r="E101" s="516"/>
      <c r="F101" s="522"/>
      <c r="G101" s="522"/>
      <c r="H101" s="522"/>
      <c r="I101" s="521"/>
      <c r="J101" s="521"/>
      <c r="K101" s="524"/>
      <c r="L101" s="525"/>
      <c r="M101" s="525"/>
      <c r="N101" s="525"/>
      <c r="O101" s="507"/>
      <c r="Q101" s="536">
        <f t="shared" si="6"/>
        <v>0</v>
      </c>
      <c r="R101" s="519">
        <f t="shared" si="5"/>
        <v>0</v>
      </c>
    </row>
    <row r="102" spans="1:18" x14ac:dyDescent="0.25">
      <c r="A102" s="504">
        <v>30</v>
      </c>
      <c r="B102" s="503" t="s">
        <v>323</v>
      </c>
      <c r="C102" s="504" t="s">
        <v>324</v>
      </c>
      <c r="D102" s="516">
        <f t="shared" si="4"/>
        <v>0</v>
      </c>
      <c r="E102" s="516"/>
      <c r="F102" s="522"/>
      <c r="G102" s="522"/>
      <c r="H102" s="522"/>
      <c r="I102" s="521"/>
      <c r="J102" s="521"/>
      <c r="K102" s="524"/>
      <c r="L102" s="525"/>
      <c r="M102" s="525"/>
      <c r="N102" s="525"/>
      <c r="O102" s="507"/>
      <c r="Q102" s="536">
        <f t="shared" si="6"/>
        <v>0</v>
      </c>
      <c r="R102" s="519">
        <f t="shared" si="5"/>
        <v>0</v>
      </c>
    </row>
    <row r="103" spans="1:18" x14ac:dyDescent="0.25">
      <c r="A103" s="504">
        <v>31</v>
      </c>
      <c r="B103" s="503" t="s">
        <v>325</v>
      </c>
      <c r="C103" s="504" t="s">
        <v>488</v>
      </c>
      <c r="D103" s="516">
        <f t="shared" si="4"/>
        <v>5866600.1700000009</v>
      </c>
      <c r="E103" s="516"/>
      <c r="F103" s="522"/>
      <c r="G103" s="522"/>
      <c r="H103" s="522"/>
      <c r="I103" s="521"/>
      <c r="J103" s="521"/>
      <c r="K103" s="524"/>
      <c r="L103" s="525"/>
      <c r="M103" s="525"/>
      <c r="N103" s="525"/>
      <c r="O103" s="507"/>
      <c r="Q103" s="536">
        <f>SUM(E103:P103)</f>
        <v>0</v>
      </c>
      <c r="R103" s="519">
        <f t="shared" si="5"/>
        <v>0</v>
      </c>
    </row>
    <row r="104" spans="1:18" x14ac:dyDescent="0.25">
      <c r="A104" s="504">
        <v>32</v>
      </c>
      <c r="B104" s="503" t="s">
        <v>327</v>
      </c>
      <c r="C104" s="504" t="s">
        <v>328</v>
      </c>
      <c r="D104" s="516">
        <f t="shared" si="4"/>
        <v>5621701.7200000007</v>
      </c>
      <c r="E104" s="516"/>
      <c r="F104" s="522"/>
      <c r="G104" s="522"/>
      <c r="H104" s="522"/>
      <c r="I104" s="521"/>
      <c r="J104" s="521"/>
      <c r="K104" s="524"/>
      <c r="L104" s="525"/>
      <c r="M104" s="525"/>
      <c r="N104" s="525"/>
      <c r="O104" s="507"/>
      <c r="Q104" s="536">
        <f t="shared" si="6"/>
        <v>0</v>
      </c>
      <c r="R104" s="519">
        <f t="shared" si="5"/>
        <v>0</v>
      </c>
    </row>
    <row r="105" spans="1:18" x14ac:dyDescent="0.25">
      <c r="A105" s="504">
        <v>33</v>
      </c>
      <c r="B105" s="503">
        <v>4002</v>
      </c>
      <c r="C105" s="504" t="s">
        <v>329</v>
      </c>
      <c r="D105" s="516">
        <f t="shared" si="4"/>
        <v>7722106.9899999993</v>
      </c>
      <c r="E105" s="516"/>
      <c r="F105" s="522"/>
      <c r="G105" s="522"/>
      <c r="H105" s="522"/>
      <c r="I105" s="521"/>
      <c r="J105" s="521"/>
      <c r="K105" s="524"/>
      <c r="L105" s="525"/>
      <c r="M105" s="525"/>
      <c r="N105" s="525"/>
      <c r="O105" s="507"/>
      <c r="Q105" s="536">
        <f t="shared" si="6"/>
        <v>0</v>
      </c>
      <c r="R105" s="519">
        <f t="shared" si="5"/>
        <v>0</v>
      </c>
    </row>
    <row r="106" spans="1:18" x14ac:dyDescent="0.25">
      <c r="A106" s="504">
        <v>34</v>
      </c>
      <c r="B106" s="503">
        <v>4012</v>
      </c>
      <c r="C106" s="504" t="s">
        <v>330</v>
      </c>
      <c r="D106" s="516">
        <f t="shared" si="4"/>
        <v>0</v>
      </c>
      <c r="E106" s="516"/>
      <c r="F106" s="522"/>
      <c r="G106" s="522"/>
      <c r="H106" s="522"/>
      <c r="I106" s="521"/>
      <c r="J106" s="521"/>
      <c r="K106" s="524"/>
      <c r="L106" s="525"/>
      <c r="M106" s="525"/>
      <c r="N106" s="525"/>
      <c r="O106" s="507"/>
      <c r="Q106" s="536">
        <f t="shared" si="6"/>
        <v>0</v>
      </c>
      <c r="R106" s="519">
        <f t="shared" si="5"/>
        <v>0</v>
      </c>
    </row>
    <row r="107" spans="1:18" x14ac:dyDescent="0.25">
      <c r="A107" s="504">
        <v>35</v>
      </c>
      <c r="B107" s="503">
        <v>4013</v>
      </c>
      <c r="C107" s="504" t="s">
        <v>331</v>
      </c>
      <c r="D107" s="516">
        <f t="shared" si="4"/>
        <v>14123437.01</v>
      </c>
      <c r="E107" s="516"/>
      <c r="F107" s="522"/>
      <c r="G107" s="522"/>
      <c r="H107" s="522"/>
      <c r="I107" s="521"/>
      <c r="J107" s="521"/>
      <c r="K107" s="524"/>
      <c r="L107" s="525"/>
      <c r="M107" s="525"/>
      <c r="N107" s="525"/>
      <c r="O107" s="507"/>
      <c r="Q107" s="536">
        <f t="shared" si="6"/>
        <v>0</v>
      </c>
      <c r="R107" s="519">
        <f t="shared" si="5"/>
        <v>0</v>
      </c>
    </row>
    <row r="108" spans="1:18" x14ac:dyDescent="0.25">
      <c r="A108" s="504">
        <v>36</v>
      </c>
      <c r="B108" s="503">
        <v>4020</v>
      </c>
      <c r="C108" s="504" t="s">
        <v>332</v>
      </c>
      <c r="D108" s="516">
        <f t="shared" si="4"/>
        <v>11019943.229999999</v>
      </c>
      <c r="E108" s="516"/>
      <c r="F108" s="522"/>
      <c r="G108" s="522"/>
      <c r="H108" s="522"/>
      <c r="I108" s="521"/>
      <c r="J108" s="521"/>
      <c r="K108" s="524"/>
      <c r="L108" s="525"/>
      <c r="M108" s="525"/>
      <c r="N108" s="525"/>
      <c r="O108" s="507"/>
      <c r="Q108" s="536">
        <f t="shared" si="6"/>
        <v>0</v>
      </c>
      <c r="R108" s="519">
        <f t="shared" si="5"/>
        <v>0</v>
      </c>
    </row>
    <row r="109" spans="1:18" x14ac:dyDescent="0.25">
      <c r="A109" s="504">
        <v>37</v>
      </c>
      <c r="B109" s="503">
        <v>4030</v>
      </c>
      <c r="C109" s="504" t="s">
        <v>333</v>
      </c>
      <c r="D109" s="516">
        <f t="shared" si="4"/>
        <v>0</v>
      </c>
      <c r="E109" s="516"/>
      <c r="F109" s="522"/>
      <c r="G109" s="522"/>
      <c r="H109" s="522"/>
      <c r="I109" s="521"/>
      <c r="J109" s="521"/>
      <c r="K109" s="524"/>
      <c r="L109" s="525"/>
      <c r="M109" s="525"/>
      <c r="N109" s="525"/>
      <c r="O109" s="507"/>
      <c r="Q109" s="536">
        <f t="shared" si="6"/>
        <v>0</v>
      </c>
      <c r="R109" s="519">
        <f t="shared" si="5"/>
        <v>0</v>
      </c>
    </row>
    <row r="110" spans="1:18" x14ac:dyDescent="0.25">
      <c r="A110" s="504">
        <v>38</v>
      </c>
      <c r="B110" s="503">
        <v>4031</v>
      </c>
      <c r="C110" s="504" t="s">
        <v>334</v>
      </c>
      <c r="D110" s="516">
        <f t="shared" si="4"/>
        <v>3454942.4699999997</v>
      </c>
      <c r="E110" s="516"/>
      <c r="F110" s="522"/>
      <c r="G110" s="522"/>
      <c r="H110" s="522"/>
      <c r="I110" s="521"/>
      <c r="J110" s="521"/>
      <c r="K110" s="524"/>
      <c r="L110" s="525"/>
      <c r="M110" s="525"/>
      <c r="N110" s="525"/>
      <c r="O110" s="507"/>
      <c r="Q110" s="536">
        <f t="shared" si="6"/>
        <v>0</v>
      </c>
      <c r="R110" s="519">
        <f t="shared" si="5"/>
        <v>0</v>
      </c>
    </row>
    <row r="111" spans="1:18" x14ac:dyDescent="0.25">
      <c r="A111" s="504">
        <v>39</v>
      </c>
      <c r="B111" s="503">
        <v>4041</v>
      </c>
      <c r="C111" s="504" t="s">
        <v>335</v>
      </c>
      <c r="D111" s="516">
        <f t="shared" si="4"/>
        <v>825974.84</v>
      </c>
      <c r="E111" s="516"/>
      <c r="F111" s="522"/>
      <c r="G111" s="522"/>
      <c r="H111" s="522"/>
      <c r="I111" s="521"/>
      <c r="J111" s="521"/>
      <c r="K111" s="524"/>
      <c r="L111" s="525"/>
      <c r="M111" s="525"/>
      <c r="N111" s="525"/>
      <c r="O111" s="507"/>
      <c r="Q111" s="536">
        <f t="shared" si="6"/>
        <v>0</v>
      </c>
      <c r="R111" s="519">
        <f t="shared" si="5"/>
        <v>0</v>
      </c>
    </row>
    <row r="112" spans="1:18" x14ac:dyDescent="0.25">
      <c r="A112" s="504">
        <v>40</v>
      </c>
      <c r="B112" s="503">
        <v>4050</v>
      </c>
      <c r="C112" s="504" t="s">
        <v>336</v>
      </c>
      <c r="D112" s="516">
        <f t="shared" si="4"/>
        <v>5527868.3100000005</v>
      </c>
      <c r="E112" s="516"/>
      <c r="F112" s="522"/>
      <c r="G112" s="522"/>
      <c r="H112" s="522"/>
      <c r="I112" s="521"/>
      <c r="J112" s="521"/>
      <c r="K112" s="524"/>
      <c r="L112" s="525"/>
      <c r="M112" s="525"/>
      <c r="N112" s="525"/>
      <c r="O112" s="507"/>
      <c r="Q112" s="536">
        <f t="shared" si="6"/>
        <v>0</v>
      </c>
      <c r="R112" s="519">
        <f t="shared" si="5"/>
        <v>0</v>
      </c>
    </row>
    <row r="113" spans="1:18" x14ac:dyDescent="0.25">
      <c r="A113" s="504">
        <v>41</v>
      </c>
      <c r="B113" s="503">
        <v>4051</v>
      </c>
      <c r="C113" s="504" t="s">
        <v>337</v>
      </c>
      <c r="D113" s="516">
        <f t="shared" si="4"/>
        <v>5448382.46</v>
      </c>
      <c r="E113" s="516"/>
      <c r="F113" s="522"/>
      <c r="G113" s="522"/>
      <c r="H113" s="522"/>
      <c r="I113" s="521"/>
      <c r="J113" s="521"/>
      <c r="K113" s="524"/>
      <c r="L113" s="525"/>
      <c r="M113" s="525"/>
      <c r="N113" s="525"/>
      <c r="O113" s="507"/>
      <c r="Q113" s="536">
        <f t="shared" si="6"/>
        <v>0</v>
      </c>
      <c r="R113" s="519">
        <f t="shared" si="5"/>
        <v>0</v>
      </c>
    </row>
    <row r="114" spans="1:18" x14ac:dyDescent="0.25">
      <c r="A114" s="504">
        <v>42</v>
      </c>
      <c r="B114" s="503">
        <v>4061</v>
      </c>
      <c r="C114" s="504" t="s">
        <v>338</v>
      </c>
      <c r="D114" s="516">
        <f t="shared" si="4"/>
        <v>8046218.9299999997</v>
      </c>
      <c r="E114" s="516"/>
      <c r="F114" s="522"/>
      <c r="G114" s="522"/>
      <c r="H114" s="522"/>
      <c r="I114" s="521"/>
      <c r="J114" s="521"/>
      <c r="K114" s="524"/>
      <c r="L114" s="525"/>
      <c r="M114" s="525"/>
      <c r="N114" s="525"/>
      <c r="O114" s="507"/>
      <c r="Q114" s="536">
        <f t="shared" si="6"/>
        <v>0</v>
      </c>
      <c r="R114" s="519">
        <f t="shared" si="5"/>
        <v>0</v>
      </c>
    </row>
    <row r="115" spans="1:18" x14ac:dyDescent="0.25">
      <c r="A115" s="504">
        <v>43</v>
      </c>
      <c r="B115" s="503">
        <v>4080</v>
      </c>
      <c r="C115" s="504" t="s">
        <v>339</v>
      </c>
      <c r="D115" s="516">
        <f t="shared" si="4"/>
        <v>0</v>
      </c>
      <c r="E115" s="516"/>
      <c r="F115" s="522"/>
      <c r="G115" s="522"/>
      <c r="H115" s="522"/>
      <c r="I115" s="521"/>
      <c r="J115" s="521"/>
      <c r="K115" s="524"/>
      <c r="L115" s="525"/>
      <c r="M115" s="525"/>
      <c r="N115" s="525"/>
      <c r="O115" s="507"/>
      <c r="Q115" s="536">
        <f>SUM(E115:P115)</f>
        <v>0</v>
      </c>
      <c r="R115" s="519">
        <f t="shared" si="5"/>
        <v>0</v>
      </c>
    </row>
    <row r="116" spans="1:18" x14ac:dyDescent="0.25">
      <c r="A116" s="504">
        <v>44</v>
      </c>
      <c r="B116" s="503">
        <v>4081</v>
      </c>
      <c r="C116" s="504" t="s">
        <v>340</v>
      </c>
      <c r="D116" s="516">
        <f t="shared" si="4"/>
        <v>1095785.6499999999</v>
      </c>
      <c r="E116" s="516"/>
      <c r="F116" s="522"/>
      <c r="G116" s="522"/>
      <c r="H116" s="522"/>
      <c r="I116" s="521"/>
      <c r="J116" s="521"/>
      <c r="K116" s="524"/>
      <c r="L116" s="525"/>
      <c r="M116" s="525"/>
      <c r="N116" s="525"/>
      <c r="O116" s="507"/>
      <c r="Q116" s="536">
        <f t="shared" si="6"/>
        <v>0</v>
      </c>
      <c r="R116" s="519">
        <f t="shared" si="5"/>
        <v>0</v>
      </c>
    </row>
    <row r="117" spans="1:18" x14ac:dyDescent="0.25">
      <c r="A117" s="504">
        <v>45</v>
      </c>
      <c r="B117" s="503">
        <v>4090</v>
      </c>
      <c r="C117" s="504" t="s">
        <v>341</v>
      </c>
      <c r="D117" s="516">
        <f t="shared" si="4"/>
        <v>2706320.27</v>
      </c>
      <c r="E117" s="516"/>
      <c r="F117" s="522"/>
      <c r="G117" s="522"/>
      <c r="H117" s="522"/>
      <c r="I117" s="521"/>
      <c r="J117" s="521"/>
      <c r="K117" s="524"/>
      <c r="L117" s="525"/>
      <c r="M117" s="525"/>
      <c r="N117" s="525"/>
      <c r="O117" s="507"/>
      <c r="Q117" s="536">
        <f t="shared" si="6"/>
        <v>0</v>
      </c>
      <c r="R117" s="519">
        <f t="shared" si="5"/>
        <v>0</v>
      </c>
    </row>
    <row r="118" spans="1:18" x14ac:dyDescent="0.25">
      <c r="A118" s="504">
        <v>46</v>
      </c>
      <c r="B118" s="503">
        <v>4091</v>
      </c>
      <c r="C118" s="504" t="s">
        <v>342</v>
      </c>
      <c r="D118" s="516">
        <f t="shared" si="4"/>
        <v>3484072.7600000002</v>
      </c>
      <c r="E118" s="516"/>
      <c r="F118" s="522"/>
      <c r="G118" s="522"/>
      <c r="H118" s="522"/>
      <c r="I118" s="521"/>
      <c r="J118" s="521"/>
      <c r="K118" s="524"/>
      <c r="L118" s="525"/>
      <c r="M118" s="525"/>
      <c r="N118" s="525"/>
      <c r="O118" s="507"/>
      <c r="Q118" s="536">
        <f t="shared" si="6"/>
        <v>0</v>
      </c>
      <c r="R118" s="519">
        <f t="shared" si="5"/>
        <v>0</v>
      </c>
    </row>
    <row r="119" spans="1:18" x14ac:dyDescent="0.25">
      <c r="A119" s="504">
        <v>47</v>
      </c>
      <c r="B119" s="503">
        <v>4100</v>
      </c>
      <c r="C119" s="504" t="s">
        <v>343</v>
      </c>
      <c r="D119" s="516">
        <f t="shared" si="4"/>
        <v>4336796.03</v>
      </c>
      <c r="E119" s="516"/>
      <c r="F119" s="522"/>
      <c r="G119" s="522"/>
      <c r="H119" s="522"/>
      <c r="I119" s="521"/>
      <c r="J119" s="521"/>
      <c r="K119" s="524"/>
      <c r="L119" s="525"/>
      <c r="M119" s="525"/>
      <c r="N119" s="525"/>
      <c r="O119" s="507"/>
      <c r="Q119" s="536">
        <f t="shared" si="6"/>
        <v>0</v>
      </c>
      <c r="R119" s="519">
        <f t="shared" si="5"/>
        <v>0</v>
      </c>
    </row>
    <row r="120" spans="1:18" x14ac:dyDescent="0.25">
      <c r="A120" s="504">
        <v>48</v>
      </c>
      <c r="B120" s="503">
        <v>4102</v>
      </c>
      <c r="C120" s="504" t="s">
        <v>344</v>
      </c>
      <c r="D120" s="516">
        <f t="shared" si="4"/>
        <v>1533224.67</v>
      </c>
      <c r="E120" s="516"/>
      <c r="F120" s="522"/>
      <c r="G120" s="522"/>
      <c r="H120" s="522"/>
      <c r="I120" s="521"/>
      <c r="J120" s="521"/>
      <c r="K120" s="524"/>
      <c r="L120" s="525"/>
      <c r="M120" s="525"/>
      <c r="N120" s="525"/>
      <c r="O120" s="507"/>
      <c r="Q120" s="536">
        <f t="shared" si="6"/>
        <v>0</v>
      </c>
      <c r="R120" s="519">
        <f t="shared" si="5"/>
        <v>0</v>
      </c>
    </row>
    <row r="121" spans="1:18" x14ac:dyDescent="0.25">
      <c r="A121" s="504">
        <v>49</v>
      </c>
      <c r="B121" s="503">
        <v>4103</v>
      </c>
      <c r="C121" s="504" t="s">
        <v>345</v>
      </c>
      <c r="D121" s="516">
        <f t="shared" si="4"/>
        <v>8649970.5700000003</v>
      </c>
      <c r="E121" s="516"/>
      <c r="F121" s="522"/>
      <c r="G121" s="522"/>
      <c r="H121" s="522"/>
      <c r="I121" s="521"/>
      <c r="J121" s="521"/>
      <c r="K121" s="524"/>
      <c r="L121" s="525"/>
      <c r="M121" s="525"/>
      <c r="N121" s="525"/>
      <c r="O121" s="507"/>
      <c r="Q121" s="519">
        <f t="shared" si="6"/>
        <v>0</v>
      </c>
      <c r="R121" s="519">
        <f t="shared" si="5"/>
        <v>0</v>
      </c>
    </row>
    <row r="122" spans="1:18" x14ac:dyDescent="0.25">
      <c r="A122" s="504">
        <v>50</v>
      </c>
      <c r="B122" s="503">
        <v>4111</v>
      </c>
      <c r="C122" s="504" t="s">
        <v>346</v>
      </c>
      <c r="D122" s="516">
        <f t="shared" si="4"/>
        <v>2833189.7899999996</v>
      </c>
      <c r="E122" s="516"/>
      <c r="F122" s="522"/>
      <c r="G122" s="522"/>
      <c r="H122" s="522"/>
      <c r="I122" s="521"/>
      <c r="J122" s="521"/>
      <c r="K122" s="524"/>
      <c r="L122" s="525"/>
      <c r="M122" s="525"/>
      <c r="N122" s="525"/>
      <c r="O122" s="507"/>
      <c r="Q122" s="519">
        <f t="shared" si="6"/>
        <v>0</v>
      </c>
      <c r="R122" s="519">
        <f t="shared" si="5"/>
        <v>0</v>
      </c>
    </row>
    <row r="123" spans="1:18" x14ac:dyDescent="0.25">
      <c r="A123" s="504">
        <v>51</v>
      </c>
      <c r="B123" s="503">
        <v>4131</v>
      </c>
      <c r="C123" s="504" t="s">
        <v>347</v>
      </c>
      <c r="D123" s="516">
        <f t="shared" si="4"/>
        <v>1026019.2399999999</v>
      </c>
      <c r="E123" s="516"/>
      <c r="F123" s="522"/>
      <c r="G123" s="522"/>
      <c r="H123" s="522"/>
      <c r="I123" s="521"/>
      <c r="J123" s="521"/>
      <c r="K123" s="524"/>
      <c r="L123" s="525"/>
      <c r="M123" s="525"/>
      <c r="N123" s="525"/>
      <c r="O123" s="507"/>
      <c r="Q123" s="519">
        <f t="shared" si="6"/>
        <v>0</v>
      </c>
      <c r="R123" s="519">
        <f t="shared" si="5"/>
        <v>0</v>
      </c>
    </row>
    <row r="124" spans="1:18" x14ac:dyDescent="0.25">
      <c r="A124" s="504">
        <v>52</v>
      </c>
      <c r="B124" s="503">
        <v>4141</v>
      </c>
      <c r="C124" s="504" t="s">
        <v>659</v>
      </c>
      <c r="D124" s="516">
        <f t="shared" si="4"/>
        <v>0</v>
      </c>
      <c r="E124" s="516"/>
      <c r="F124" s="522"/>
      <c r="G124" s="522"/>
      <c r="H124" s="522"/>
      <c r="I124" s="521"/>
      <c r="J124" s="521"/>
      <c r="K124" s="524"/>
      <c r="L124" s="525"/>
      <c r="M124" s="525"/>
      <c r="N124" s="525"/>
      <c r="O124" s="507"/>
      <c r="Q124" s="519"/>
      <c r="R124" s="519"/>
    </row>
    <row r="125" spans="1:18" x14ac:dyDescent="0.25">
      <c r="E125" s="520"/>
    </row>
    <row r="126" spans="1:18" x14ac:dyDescent="0.25">
      <c r="E126" s="520"/>
    </row>
    <row r="127" spans="1:18" x14ac:dyDescent="0.25">
      <c r="D127" s="505">
        <f>SUM(D73:D125)</f>
        <v>216006919.03999999</v>
      </c>
      <c r="E127" s="505">
        <f>SUM(E73:E125)</f>
        <v>0</v>
      </c>
      <c r="F127" s="505">
        <f t="shared" ref="F127:P127" si="7">SUM(F73:F125)</f>
        <v>0</v>
      </c>
      <c r="G127" s="505">
        <f t="shared" si="7"/>
        <v>0</v>
      </c>
      <c r="H127" s="505">
        <f t="shared" si="7"/>
        <v>0</v>
      </c>
      <c r="I127" s="505">
        <f t="shared" si="7"/>
        <v>0</v>
      </c>
      <c r="J127" s="505">
        <f t="shared" si="7"/>
        <v>0</v>
      </c>
      <c r="K127" s="505">
        <f t="shared" si="7"/>
        <v>0</v>
      </c>
      <c r="L127" s="505">
        <f t="shared" si="7"/>
        <v>0</v>
      </c>
      <c r="M127" s="505">
        <f t="shared" si="7"/>
        <v>0</v>
      </c>
      <c r="N127" s="505">
        <f t="shared" si="7"/>
        <v>0</v>
      </c>
      <c r="O127" s="505">
        <f t="shared" si="7"/>
        <v>0</v>
      </c>
      <c r="P127" s="505">
        <f t="shared" si="7"/>
        <v>0</v>
      </c>
      <c r="Q127" s="505">
        <f>SUM(Q73:Q125)</f>
        <v>0</v>
      </c>
      <c r="R127" s="505">
        <f>SUM(R73:R125)</f>
        <v>0</v>
      </c>
    </row>
    <row r="129" spans="5:5" x14ac:dyDescent="0.25">
      <c r="E129" s="531">
        <f>E58-E127</f>
        <v>17996982.359999999</v>
      </c>
    </row>
    <row r="130" spans="5:5" x14ac:dyDescent="0.25">
      <c r="E130" s="520"/>
    </row>
  </sheetData>
  <pageMargins left="0.7" right="0.7" top="0.75" bottom="0.75" header="0.3" footer="0.3"/>
  <pageSetup scale="44" fitToHeight="0" orientation="landscape" r:id="rId1"/>
  <ignoredErrors>
    <ignoredError sqref="Q74:Q123 Q5:Q7 Q8:Q46 Q48:Q55 R73:R123"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408B8-2729-432C-8529-62A97B1A604B}">
  <dimension ref="A1:Z180"/>
  <sheetViews>
    <sheetView topLeftCell="A120" zoomScaleNormal="100" workbookViewId="0">
      <selection activeCell="I150" sqref="I150"/>
    </sheetView>
  </sheetViews>
  <sheetFormatPr defaultColWidth="9.140625" defaultRowHeight="15.75" x14ac:dyDescent="0.25"/>
  <cols>
    <col min="1" max="1" width="10.28515625" style="402" customWidth="1"/>
    <col min="2" max="2" width="30.28515625" style="354" bestFit="1" customWidth="1"/>
    <col min="3" max="3" width="14" style="354" customWidth="1"/>
    <col min="4" max="4" width="11.5703125" style="354" customWidth="1"/>
    <col min="5" max="5" width="14" style="354" customWidth="1"/>
    <col min="6" max="6" width="18.140625" style="354" customWidth="1"/>
    <col min="7" max="7" width="7.42578125" style="354" customWidth="1"/>
    <col min="8" max="8" width="15.7109375" style="354" customWidth="1"/>
    <col min="9" max="9" width="23.7109375" style="354" customWidth="1"/>
    <col min="10" max="10" width="12.7109375" style="354" bestFit="1" customWidth="1"/>
    <col min="11" max="11" width="16.85546875" style="354" bestFit="1" customWidth="1"/>
    <col min="12" max="12" width="15.7109375" style="354" bestFit="1" customWidth="1"/>
    <col min="13" max="21" width="9.140625" style="354"/>
    <col min="22" max="22" width="12.85546875" style="354" customWidth="1"/>
    <col min="23" max="23" width="9.140625" style="354"/>
    <col min="24" max="24" width="12.85546875" style="354" customWidth="1"/>
    <col min="25" max="25" width="14.140625" style="354" customWidth="1"/>
    <col min="26" max="16384" width="9.140625" style="354"/>
  </cols>
  <sheetData>
    <row r="1" spans="1:12" ht="16.5" thickBot="1" x14ac:dyDescent="0.3">
      <c r="A1" s="353"/>
      <c r="B1" s="875" t="s">
        <v>0</v>
      </c>
      <c r="C1" s="876"/>
      <c r="D1" s="876"/>
      <c r="E1" s="876"/>
      <c r="F1" s="876"/>
      <c r="G1" s="876"/>
      <c r="H1" s="876"/>
      <c r="I1" s="876"/>
    </row>
    <row r="2" spans="1:12" ht="21" x14ac:dyDescent="0.35">
      <c r="A2" s="355" t="s">
        <v>393</v>
      </c>
      <c r="B2" s="356"/>
      <c r="C2" s="356"/>
      <c r="D2" s="356"/>
      <c r="E2" s="356"/>
      <c r="F2" s="356"/>
      <c r="G2" s="356"/>
      <c r="H2" s="356"/>
      <c r="I2" s="356"/>
    </row>
    <row r="3" spans="1:12" x14ac:dyDescent="0.25">
      <c r="A3" s="882" t="s">
        <v>653</v>
      </c>
      <c r="B3" s="882"/>
      <c r="C3" s="882"/>
      <c r="D3" s="882"/>
      <c r="E3" s="882"/>
      <c r="F3" s="882"/>
      <c r="G3" s="882"/>
      <c r="H3" s="882"/>
      <c r="I3" s="882"/>
      <c r="J3" s="882"/>
    </row>
    <row r="4" spans="1:12" x14ac:dyDescent="0.25">
      <c r="A4" s="877" t="s">
        <v>2</v>
      </c>
      <c r="B4" s="877"/>
      <c r="C4" s="878" t="s">
        <v>179</v>
      </c>
      <c r="D4" s="878"/>
      <c r="E4" s="878"/>
      <c r="F4" s="358"/>
      <c r="G4" s="359"/>
      <c r="H4" s="740">
        <v>46204</v>
      </c>
      <c r="I4" s="359"/>
    </row>
    <row r="5" spans="1:12" ht="12" customHeight="1" thickBot="1" x14ac:dyDescent="0.3">
      <c r="A5" s="360"/>
      <c r="B5" s="360"/>
      <c r="C5" s="361"/>
      <c r="D5" s="361"/>
      <c r="E5" s="361"/>
      <c r="F5" s="362"/>
      <c r="G5" s="362"/>
      <c r="H5" s="362"/>
      <c r="I5" s="362"/>
    </row>
    <row r="6" spans="1:12" ht="12" customHeight="1" x14ac:dyDescent="0.25">
      <c r="A6" s="363"/>
      <c r="B6" s="363"/>
      <c r="C6" s="364"/>
      <c r="D6" s="364"/>
      <c r="E6" s="364"/>
      <c r="F6" s="359"/>
      <c r="G6" s="359"/>
      <c r="H6" s="359"/>
      <c r="I6" s="359"/>
    </row>
    <row r="7" spans="1:12" x14ac:dyDescent="0.25">
      <c r="A7" s="354" t="s">
        <v>3</v>
      </c>
      <c r="B7" s="679"/>
      <c r="C7" s="679"/>
      <c r="D7" s="679"/>
      <c r="E7" s="679"/>
      <c r="F7" s="679"/>
      <c r="G7" s="679"/>
      <c r="H7" s="679"/>
      <c r="I7" s="679"/>
    </row>
    <row r="8" spans="1:12" x14ac:dyDescent="0.25">
      <c r="A8" s="365"/>
      <c r="B8" s="366" t="s">
        <v>394</v>
      </c>
      <c r="C8" s="367">
        <v>5372.6</v>
      </c>
      <c r="D8" s="368"/>
      <c r="E8" s="369"/>
      <c r="F8" s="365"/>
      <c r="G8" s="366" t="s">
        <v>395</v>
      </c>
      <c r="H8" s="370">
        <v>1.0355000000000001</v>
      </c>
      <c r="I8" s="371"/>
    </row>
    <row r="9" spans="1:12" x14ac:dyDescent="0.25">
      <c r="A9" s="365"/>
      <c r="B9" s="366"/>
      <c r="C9" s="367"/>
      <c r="D9" s="368"/>
      <c r="E9" s="369"/>
      <c r="F9" s="365"/>
      <c r="G9" s="366" t="s">
        <v>396</v>
      </c>
      <c r="H9" s="370">
        <v>1</v>
      </c>
      <c r="I9" s="371"/>
    </row>
    <row r="10" spans="1:12" x14ac:dyDescent="0.25">
      <c r="A10" s="372"/>
      <c r="B10" s="372"/>
      <c r="C10" s="373"/>
      <c r="D10" s="373"/>
      <c r="E10" s="373"/>
      <c r="F10" s="374"/>
      <c r="G10" s="374"/>
      <c r="H10" s="375"/>
      <c r="I10" s="376" t="s">
        <v>7</v>
      </c>
    </row>
    <row r="11" spans="1:12" x14ac:dyDescent="0.25">
      <c r="A11" s="372"/>
      <c r="B11" s="372"/>
      <c r="C11" s="377" t="s">
        <v>632</v>
      </c>
      <c r="D11" s="434" t="s">
        <v>633</v>
      </c>
      <c r="E11" s="378" t="s">
        <v>125</v>
      </c>
      <c r="F11" s="879" t="s">
        <v>8</v>
      </c>
      <c r="G11" s="879"/>
      <c r="H11" s="375" t="s">
        <v>9</v>
      </c>
      <c r="I11" s="379" t="s">
        <v>10</v>
      </c>
    </row>
    <row r="12" spans="1:12" x14ac:dyDescent="0.25">
      <c r="A12" s="880" t="s">
        <v>8</v>
      </c>
      <c r="B12" s="880"/>
      <c r="C12" s="380" t="s">
        <v>54</v>
      </c>
      <c r="D12" s="380" t="s">
        <v>54</v>
      </c>
      <c r="E12" s="381" t="s">
        <v>54</v>
      </c>
      <c r="F12" s="881" t="s">
        <v>12</v>
      </c>
      <c r="G12" s="881"/>
      <c r="H12" s="382" t="s">
        <v>13</v>
      </c>
      <c r="I12" s="383" t="s">
        <v>14</v>
      </c>
    </row>
    <row r="13" spans="1:12" x14ac:dyDescent="0.25">
      <c r="A13" s="870" t="s">
        <v>15</v>
      </c>
      <c r="B13" s="870"/>
      <c r="C13" s="384"/>
      <c r="D13" s="384"/>
      <c r="E13" s="385" t="s">
        <v>16</v>
      </c>
      <c r="F13" s="871" t="s">
        <v>17</v>
      </c>
      <c r="G13" s="871"/>
      <c r="H13" s="386" t="s">
        <v>18</v>
      </c>
      <c r="I13" s="387" t="s">
        <v>19</v>
      </c>
    </row>
    <row r="14" spans="1:12" x14ac:dyDescent="0.25">
      <c r="A14" s="872" t="s">
        <v>20</v>
      </c>
      <c r="B14" s="872"/>
      <c r="C14" s="388">
        <f>SUM('0040:4141'!C12)</f>
        <v>1934.19</v>
      </c>
      <c r="D14" s="388">
        <f>SUM('0040:4141'!D12)</f>
        <v>1868.49</v>
      </c>
      <c r="E14" s="395">
        <f>SUM('0040:4141'!E12)</f>
        <v>3802.68</v>
      </c>
      <c r="F14" s="873">
        <v>1.1080000000000001</v>
      </c>
      <c r="G14" s="873"/>
      <c r="H14" s="390">
        <f>SUM('0040:4141'!I12)</f>
        <v>4213.3693999999996</v>
      </c>
      <c r="I14" s="549">
        <f>SUM('0040:4141'!J12)</f>
        <v>23440353.02</v>
      </c>
      <c r="L14" s="455"/>
    </row>
    <row r="15" spans="1:12" x14ac:dyDescent="0.25">
      <c r="A15" s="874" t="s">
        <v>21</v>
      </c>
      <c r="B15" s="874"/>
      <c r="C15" s="392">
        <f>SUM('0040:4141'!C13)</f>
        <v>305</v>
      </c>
      <c r="D15" s="392">
        <f>SUM('0040:4141'!D13)</f>
        <v>331.87</v>
      </c>
      <c r="E15" s="389">
        <f>SUM('0040:4141'!E13)</f>
        <v>636.86999999999989</v>
      </c>
      <c r="F15" s="873">
        <v>1.1080000000000001</v>
      </c>
      <c r="G15" s="873"/>
      <c r="H15" s="390">
        <f>SUM('0040:4141'!I13)</f>
        <v>705.65190000000007</v>
      </c>
      <c r="I15" s="549">
        <f>SUM('0040:4141'!J13)</f>
        <v>3925772.48</v>
      </c>
      <c r="L15" s="455"/>
    </row>
    <row r="16" spans="1:12" x14ac:dyDescent="0.25">
      <c r="A16" s="874" t="s">
        <v>22</v>
      </c>
      <c r="B16" s="874"/>
      <c r="C16" s="392">
        <f>SUM('0040:4141'!C14)</f>
        <v>3241.36</v>
      </c>
      <c r="D16" s="392">
        <f>SUM('0040:4141'!D14)</f>
        <v>3189.1200000000008</v>
      </c>
      <c r="E16" s="389">
        <f>SUM('0040:4141'!E14)</f>
        <v>6430.48</v>
      </c>
      <c r="F16" s="873">
        <v>1</v>
      </c>
      <c r="G16" s="873"/>
      <c r="H16" s="390">
        <f>SUM('0040:4141'!I14)</f>
        <v>6430.48</v>
      </c>
      <c r="I16" s="549">
        <f>SUM('0040:4141'!J14)</f>
        <v>35774864.950000003</v>
      </c>
      <c r="L16" s="455"/>
    </row>
    <row r="17" spans="1:12" x14ac:dyDescent="0.25">
      <c r="A17" s="874" t="s">
        <v>23</v>
      </c>
      <c r="B17" s="874"/>
      <c r="C17" s="392">
        <f>SUM('0040:4141'!C15)</f>
        <v>638.86999999999989</v>
      </c>
      <c r="D17" s="392">
        <f>SUM('0040:4141'!D15)</f>
        <v>629.75999999999988</v>
      </c>
      <c r="E17" s="389">
        <f>SUM('0040:4141'!E15)</f>
        <v>1268.6299999999999</v>
      </c>
      <c r="F17" s="873">
        <v>1</v>
      </c>
      <c r="G17" s="873"/>
      <c r="H17" s="390">
        <f>SUM('0040:4141'!I15)</f>
        <v>1268.6299999999999</v>
      </c>
      <c r="I17" s="549">
        <f>SUM('0040:4141'!J15)</f>
        <v>7057803.8999999994</v>
      </c>
      <c r="L17" s="455"/>
    </row>
    <row r="18" spans="1:12" x14ac:dyDescent="0.25">
      <c r="A18" s="874" t="s">
        <v>24</v>
      </c>
      <c r="B18" s="874"/>
      <c r="C18" s="392">
        <f>SUM('0040:4141'!C16)</f>
        <v>2167.9199999999996</v>
      </c>
      <c r="D18" s="392">
        <f>SUM('0040:4141'!D16)</f>
        <v>2195.3199999999997</v>
      </c>
      <c r="E18" s="389">
        <f>SUM('0040:4141'!E16)</f>
        <v>4363.2400000000007</v>
      </c>
      <c r="F18" s="873">
        <v>0.97199999999999998</v>
      </c>
      <c r="G18" s="873"/>
      <c r="H18" s="390">
        <f>SUM('0040:4141'!I16)</f>
        <v>4241.0692000000008</v>
      </c>
      <c r="I18" s="549">
        <f>SUM('0040:4141'!J16)</f>
        <v>23594456.07</v>
      </c>
      <c r="L18" s="455"/>
    </row>
    <row r="19" spans="1:12" x14ac:dyDescent="0.25">
      <c r="A19" s="874" t="s">
        <v>25</v>
      </c>
      <c r="B19" s="874"/>
      <c r="C19" s="392">
        <f>SUM('0040:4141'!C17)</f>
        <v>657.85</v>
      </c>
      <c r="D19" s="392">
        <f>SUM('0040:4141'!D17)</f>
        <v>669</v>
      </c>
      <c r="E19" s="389">
        <f>SUM('0040:4141'!E17)</f>
        <v>1326.8500000000001</v>
      </c>
      <c r="F19" s="873">
        <v>0.97199999999999998</v>
      </c>
      <c r="G19" s="873"/>
      <c r="H19" s="390">
        <f>SUM('0040:4141'!I17)</f>
        <v>1289.6980999999998</v>
      </c>
      <c r="I19" s="549">
        <f>SUM('0040:4141'!J17)</f>
        <v>7175012.6399999987</v>
      </c>
      <c r="L19" s="455"/>
    </row>
    <row r="20" spans="1:12" x14ac:dyDescent="0.25">
      <c r="A20" s="874" t="s">
        <v>397</v>
      </c>
      <c r="B20" s="874"/>
      <c r="C20" s="392">
        <f>SUM('0040:4141'!C18)</f>
        <v>99</v>
      </c>
      <c r="D20" s="392">
        <f>SUM('0040:4141'!D18)</f>
        <v>89.44</v>
      </c>
      <c r="E20" s="389">
        <f>SUM('0040:4141'!E18)</f>
        <v>188.44</v>
      </c>
      <c r="F20" s="873">
        <v>3.609</v>
      </c>
      <c r="G20" s="873"/>
      <c r="H20" s="390">
        <f>SUM('0040:4141'!I18)</f>
        <v>680.07999999999993</v>
      </c>
      <c r="I20" s="549">
        <f>SUM('0040:4141'!J18)</f>
        <v>3783507.63</v>
      </c>
      <c r="L20" s="455"/>
    </row>
    <row r="21" spans="1:12" x14ac:dyDescent="0.25">
      <c r="A21" s="874" t="s">
        <v>398</v>
      </c>
      <c r="B21" s="874"/>
      <c r="C21" s="392">
        <f>SUM('0040:4141'!C19)</f>
        <v>70</v>
      </c>
      <c r="D21" s="392">
        <f>SUM('0040:4141'!D19)</f>
        <v>64.5</v>
      </c>
      <c r="E21" s="389">
        <f>SUM('0040:4141'!E19)</f>
        <v>134.5</v>
      </c>
      <c r="F21" s="873">
        <v>3.609</v>
      </c>
      <c r="G21" s="873"/>
      <c r="H21" s="390">
        <f>SUM('0040:4141'!I19)</f>
        <v>485.41049999999996</v>
      </c>
      <c r="I21" s="549">
        <f>SUM('0040:4141'!J19)</f>
        <v>2700497.48</v>
      </c>
      <c r="L21" s="455"/>
    </row>
    <row r="22" spans="1:12" x14ac:dyDescent="0.25">
      <c r="A22" s="874" t="s">
        <v>399</v>
      </c>
      <c r="B22" s="874"/>
      <c r="C22" s="392">
        <f>SUM('0040:4141'!C20)</f>
        <v>74.849999999999994</v>
      </c>
      <c r="D22" s="392">
        <f>SUM('0040:4141'!D20)</f>
        <v>72.41</v>
      </c>
      <c r="E22" s="389">
        <f>SUM('0040:4141'!E20)</f>
        <v>147.26</v>
      </c>
      <c r="F22" s="873">
        <v>3.609</v>
      </c>
      <c r="G22" s="873"/>
      <c r="H22" s="390">
        <f>SUM('0040:4141'!I20)</f>
        <v>531.46139999999991</v>
      </c>
      <c r="I22" s="549">
        <f>SUM('0040:4141'!J20)</f>
        <v>2956693.7199999997</v>
      </c>
      <c r="L22" s="455"/>
    </row>
    <row r="23" spans="1:12" x14ac:dyDescent="0.25">
      <c r="A23" s="874" t="s">
        <v>400</v>
      </c>
      <c r="B23" s="874"/>
      <c r="C23" s="392">
        <f>SUM('0040:4141'!C21)</f>
        <v>49.5</v>
      </c>
      <c r="D23" s="392">
        <f>SUM('0040:4141'!D21)</f>
        <v>67.47</v>
      </c>
      <c r="E23" s="389">
        <f>SUM('0040:4141'!E21)</f>
        <v>116.97</v>
      </c>
      <c r="F23" s="873">
        <v>6.0640000000000001</v>
      </c>
      <c r="G23" s="873"/>
      <c r="H23" s="390">
        <f>SUM('0040:4141'!I21)</f>
        <v>709.30610000000001</v>
      </c>
      <c r="I23" s="549">
        <f>SUM('0040:4141'!J21)</f>
        <v>3946101.9899999998</v>
      </c>
      <c r="L23" s="455"/>
    </row>
    <row r="24" spans="1:12" x14ac:dyDescent="0.25">
      <c r="A24" s="874" t="s">
        <v>401</v>
      </c>
      <c r="B24" s="874"/>
      <c r="C24" s="392">
        <f>SUM('0040:4141'!C22)</f>
        <v>64.5</v>
      </c>
      <c r="D24" s="392">
        <f>SUM('0040:4141'!D22)</f>
        <v>71</v>
      </c>
      <c r="E24" s="389">
        <f>SUM('0040:4141'!E22)</f>
        <v>135.5</v>
      </c>
      <c r="F24" s="873">
        <v>6.0640000000000001</v>
      </c>
      <c r="G24" s="873"/>
      <c r="H24" s="390">
        <f>SUM('0040:4141'!I22)</f>
        <v>821.67200000000003</v>
      </c>
      <c r="I24" s="549">
        <f>SUM('0040:4141'!J22)</f>
        <v>4571230.2700000005</v>
      </c>
      <c r="L24" s="455"/>
    </row>
    <row r="25" spans="1:12" x14ac:dyDescent="0.25">
      <c r="A25" s="874" t="s">
        <v>402</v>
      </c>
      <c r="B25" s="874"/>
      <c r="C25" s="392">
        <f>SUM('0040:4141'!C23)</f>
        <v>45</v>
      </c>
      <c r="D25" s="392">
        <f>SUM('0040:4141'!D23)</f>
        <v>45.55</v>
      </c>
      <c r="E25" s="389">
        <f>SUM('0040:4141'!E23)</f>
        <v>90.55</v>
      </c>
      <c r="F25" s="873">
        <v>6.0640000000000001</v>
      </c>
      <c r="G25" s="873"/>
      <c r="H25" s="390">
        <f>SUM('0040:4141'!I23)</f>
        <v>549.09519999999998</v>
      </c>
      <c r="I25" s="549">
        <f>SUM('0040:4141'!J23)</f>
        <v>3054796.3200000003</v>
      </c>
      <c r="L25" s="455"/>
    </row>
    <row r="26" spans="1:12" x14ac:dyDescent="0.25">
      <c r="A26" s="874" t="s">
        <v>403</v>
      </c>
      <c r="B26" s="874"/>
      <c r="C26" s="392">
        <f>SUM('0040:4141'!C24)</f>
        <v>514.78</v>
      </c>
      <c r="D26" s="392">
        <f>SUM('0040:4141'!D24)</f>
        <v>506.59</v>
      </c>
      <c r="E26" s="389">
        <f>SUM('0040:4141'!E24)</f>
        <v>1021.3700000000001</v>
      </c>
      <c r="F26" s="873">
        <v>1.165</v>
      </c>
      <c r="G26" s="873"/>
      <c r="H26" s="390">
        <f>SUM('0040:4141'!I24)</f>
        <v>1189.8963999999999</v>
      </c>
      <c r="I26" s="549">
        <f>SUM('0040:4141'!J24)</f>
        <v>6619783.1300000027</v>
      </c>
      <c r="L26" s="455"/>
    </row>
    <row r="27" spans="1:12" x14ac:dyDescent="0.25">
      <c r="A27" s="874" t="s">
        <v>404</v>
      </c>
      <c r="B27" s="874"/>
      <c r="C27" s="392">
        <f>SUM('0040:4141'!C25)</f>
        <v>270.77</v>
      </c>
      <c r="D27" s="392">
        <f>SUM('0040:4141'!D25)</f>
        <v>275.16999999999996</v>
      </c>
      <c r="E27" s="389">
        <f>SUM('0040:4141'!E25)</f>
        <v>545.94000000000005</v>
      </c>
      <c r="F27" s="873">
        <v>1.165</v>
      </c>
      <c r="G27" s="873"/>
      <c r="H27" s="390">
        <f>SUM('0040:4141'!I25)</f>
        <v>636.0209000000001</v>
      </c>
      <c r="I27" s="549">
        <f>SUM('0040:4141'!J25)</f>
        <v>3538392.44</v>
      </c>
      <c r="L27" s="455"/>
    </row>
    <row r="28" spans="1:12" x14ac:dyDescent="0.25">
      <c r="A28" s="874" t="s">
        <v>405</v>
      </c>
      <c r="B28" s="874"/>
      <c r="C28" s="392">
        <f>SUM('0040:4141'!C26)</f>
        <v>149.35</v>
      </c>
      <c r="D28" s="392">
        <f>SUM('0040:4141'!D26)</f>
        <v>157.73000000000002</v>
      </c>
      <c r="E28" s="389">
        <f>SUM('0040:4141'!E26)</f>
        <v>307.08000000000004</v>
      </c>
      <c r="F28" s="873">
        <v>1.165</v>
      </c>
      <c r="G28" s="873"/>
      <c r="H28" s="390">
        <f>SUM('0040:4141'!I26)</f>
        <v>357.74849999999998</v>
      </c>
      <c r="I28" s="549">
        <f>SUM('0040:4141'!J26)</f>
        <v>1990272.0100000002</v>
      </c>
      <c r="L28" s="455"/>
    </row>
    <row r="29" spans="1:12" x14ac:dyDescent="0.25">
      <c r="A29" s="874" t="s">
        <v>406</v>
      </c>
      <c r="B29" s="874"/>
      <c r="C29" s="392">
        <f>SUM('0040:4141'!C27)</f>
        <v>307.3</v>
      </c>
      <c r="D29" s="392">
        <f>SUM('0040:4141'!D27)</f>
        <v>298.26000000000005</v>
      </c>
      <c r="E29" s="389">
        <f>SUM('0040:4141'!E27)</f>
        <v>605.56000000000006</v>
      </c>
      <c r="F29" s="873">
        <v>1.081</v>
      </c>
      <c r="G29" s="873"/>
      <c r="H29" s="390">
        <f>SUM('0040:4141'!I27)</f>
        <v>654.61039999999991</v>
      </c>
      <c r="I29" s="549">
        <f>SUM('0040:4141'!J27)</f>
        <v>3641811.9100000006</v>
      </c>
      <c r="L29" s="455"/>
    </row>
    <row r="30" spans="1:12" x14ac:dyDescent="0.25">
      <c r="A30" s="883" t="s">
        <v>407</v>
      </c>
      <c r="B30" s="884"/>
      <c r="C30" s="394">
        <f>SUM(C14:C29)</f>
        <v>10590.240000000002</v>
      </c>
      <c r="D30" s="394">
        <f>SUM(D14:D29)</f>
        <v>10531.68</v>
      </c>
      <c r="E30" s="395">
        <f>SUM(E14:E29)</f>
        <v>21121.919999999995</v>
      </c>
      <c r="F30" s="886"/>
      <c r="G30" s="886"/>
      <c r="H30" s="396">
        <f>SUM('0040:4141'!I28)</f>
        <v>24764.2</v>
      </c>
      <c r="I30" s="550">
        <f>SUM('0040:4141'!J28)</f>
        <v>137771349.96000001</v>
      </c>
      <c r="K30" s="704">
        <v>138948443.70999998</v>
      </c>
    </row>
    <row r="31" spans="1:12" x14ac:dyDescent="0.25">
      <c r="A31" s="357" t="s">
        <v>408</v>
      </c>
      <c r="B31" s="397"/>
      <c r="C31" s="392">
        <f>SUM('0040:4141'!C29)</f>
        <v>0</v>
      </c>
      <c r="D31" s="392">
        <f>SUM('0040:4141'!D29)</f>
        <v>0</v>
      </c>
      <c r="E31" s="389">
        <f>IF(D$30=0,C31*2,C31+D31)</f>
        <v>0</v>
      </c>
      <c r="F31" s="873">
        <v>0</v>
      </c>
      <c r="G31" s="873"/>
      <c r="H31" s="549">
        <f t="shared" ref="H31" si="0">ROUND(E31*F31,4)</f>
        <v>0</v>
      </c>
      <c r="I31" s="391"/>
    </row>
    <row r="32" spans="1:12" x14ac:dyDescent="0.25">
      <c r="A32" s="883" t="s">
        <v>409</v>
      </c>
      <c r="B32" s="884"/>
      <c r="C32" s="398">
        <f>SUM(C30:C31)</f>
        <v>10590.240000000002</v>
      </c>
      <c r="D32" s="398">
        <f>SUM(D30:D31)</f>
        <v>10531.68</v>
      </c>
      <c r="E32" s="398">
        <f>SUM(E30:E31)</f>
        <v>21121.919999999995</v>
      </c>
      <c r="F32" s="399"/>
      <c r="G32" s="399"/>
      <c r="H32" s="390"/>
      <c r="I32" s="549">
        <f>SUM('0040:4141'!J30)</f>
        <v>0</v>
      </c>
      <c r="K32" s="455"/>
    </row>
    <row r="33" spans="1:9" x14ac:dyDescent="0.25">
      <c r="A33" s="400"/>
      <c r="B33" s="400"/>
      <c r="C33" s="391"/>
      <c r="D33" s="391"/>
      <c r="E33" s="391"/>
      <c r="F33" s="399"/>
      <c r="G33" s="399"/>
      <c r="H33" s="390"/>
      <c r="I33" s="391"/>
    </row>
    <row r="34" spans="1:9" x14ac:dyDescent="0.25">
      <c r="A34" s="401" t="s">
        <v>37</v>
      </c>
      <c r="B34" s="400"/>
      <c r="C34" s="391"/>
      <c r="D34" s="391"/>
      <c r="E34" s="391"/>
      <c r="F34" s="399"/>
      <c r="G34" s="399"/>
      <c r="H34" s="390"/>
      <c r="I34" s="391"/>
    </row>
    <row r="35" spans="1:9" hidden="1" x14ac:dyDescent="0.25">
      <c r="A35" s="401"/>
      <c r="B35" s="400"/>
      <c r="C35" s="391"/>
      <c r="D35" s="391"/>
      <c r="E35" s="391"/>
      <c r="F35" s="399"/>
      <c r="G35" s="399"/>
      <c r="H35" s="390"/>
      <c r="I35" s="391"/>
    </row>
    <row r="36" spans="1:9" hidden="1" x14ac:dyDescent="0.25">
      <c r="A36" s="354"/>
      <c r="B36" s="402"/>
      <c r="C36" s="402"/>
      <c r="D36" s="402"/>
      <c r="E36" s="402"/>
      <c r="F36" s="402"/>
      <c r="G36" s="402"/>
      <c r="H36" s="402"/>
      <c r="I36" s="403" t="s">
        <v>410</v>
      </c>
    </row>
    <row r="37" spans="1:9" hidden="1" x14ac:dyDescent="0.25">
      <c r="A37" s="400"/>
      <c r="B37" s="400"/>
      <c r="C37" s="377" t="str">
        <f>C11</f>
        <v>Oct 2025</v>
      </c>
      <c r="D37" s="377" t="str">
        <f>D11</f>
        <v>Feb 2026</v>
      </c>
      <c r="E37" s="378" t="s">
        <v>125</v>
      </c>
      <c r="F37" s="399"/>
      <c r="G37" s="399"/>
      <c r="H37" s="404"/>
      <c r="I37" s="405" t="s">
        <v>10</v>
      </c>
    </row>
    <row r="38" spans="1:9" hidden="1" x14ac:dyDescent="0.25">
      <c r="A38" s="880" t="s">
        <v>411</v>
      </c>
      <c r="B38" s="880"/>
      <c r="C38" s="406" t="s">
        <v>54</v>
      </c>
      <c r="D38" s="406" t="s">
        <v>54</v>
      </c>
      <c r="E38" s="381" t="s">
        <v>54</v>
      </c>
      <c r="F38" s="407"/>
      <c r="G38" s="407"/>
      <c r="H38" s="407"/>
      <c r="I38" s="408" t="s">
        <v>412</v>
      </c>
    </row>
    <row r="39" spans="1:9" hidden="1" x14ac:dyDescent="0.25">
      <c r="A39" s="872" t="s">
        <v>93</v>
      </c>
      <c r="B39" s="872"/>
      <c r="C39" s="409">
        <v>0</v>
      </c>
      <c r="D39" s="409">
        <v>0</v>
      </c>
      <c r="E39" s="395">
        <f>+C39+D39</f>
        <v>0</v>
      </c>
      <c r="F39" s="410"/>
      <c r="G39" s="410"/>
      <c r="H39" s="410"/>
      <c r="I39" s="394"/>
    </row>
    <row r="40" spans="1:9" hidden="1" x14ac:dyDescent="0.25">
      <c r="A40" s="874" t="s">
        <v>94</v>
      </c>
      <c r="B40" s="874"/>
      <c r="C40" s="411">
        <v>0</v>
      </c>
      <c r="D40" s="411">
        <v>0</v>
      </c>
      <c r="E40" s="389">
        <f t="shared" ref="E40:E44" si="1">+C40+D40</f>
        <v>0</v>
      </c>
      <c r="F40" s="412"/>
      <c r="G40" s="412"/>
      <c r="H40" s="412"/>
      <c r="I40" s="391"/>
    </row>
    <row r="41" spans="1:9" hidden="1" x14ac:dyDescent="0.25">
      <c r="A41" s="885" t="s">
        <v>95</v>
      </c>
      <c r="B41" s="885"/>
      <c r="C41" s="411">
        <v>0</v>
      </c>
      <c r="D41" s="411">
        <v>0</v>
      </c>
      <c r="E41" s="389">
        <f t="shared" si="1"/>
        <v>0</v>
      </c>
      <c r="F41" s="412"/>
      <c r="G41" s="412"/>
      <c r="H41" s="412"/>
      <c r="I41" s="391"/>
    </row>
    <row r="42" spans="1:9" hidden="1" x14ac:dyDescent="0.25">
      <c r="A42" s="874" t="s">
        <v>96</v>
      </c>
      <c r="B42" s="874"/>
      <c r="C42" s="411">
        <v>0</v>
      </c>
      <c r="D42" s="411">
        <v>0</v>
      </c>
      <c r="E42" s="389">
        <f t="shared" si="1"/>
        <v>0</v>
      </c>
      <c r="F42" s="412"/>
      <c r="G42" s="412"/>
      <c r="H42" s="412"/>
      <c r="I42" s="391"/>
    </row>
    <row r="43" spans="1:9" hidden="1" x14ac:dyDescent="0.25">
      <c r="A43" s="874" t="s">
        <v>97</v>
      </c>
      <c r="B43" s="874"/>
      <c r="C43" s="411">
        <v>0</v>
      </c>
      <c r="D43" s="411">
        <v>0</v>
      </c>
      <c r="E43" s="389">
        <f t="shared" si="1"/>
        <v>0</v>
      </c>
      <c r="F43" s="412"/>
      <c r="G43" s="412"/>
      <c r="H43" s="412"/>
      <c r="I43" s="391"/>
    </row>
    <row r="44" spans="1:9" hidden="1" x14ac:dyDescent="0.25">
      <c r="A44" s="874" t="s">
        <v>41</v>
      </c>
      <c r="B44" s="874"/>
      <c r="C44" s="413">
        <v>0</v>
      </c>
      <c r="D44" s="413">
        <v>0</v>
      </c>
      <c r="E44" s="414">
        <f t="shared" si="1"/>
        <v>0</v>
      </c>
      <c r="F44" s="412"/>
      <c r="G44" s="412"/>
      <c r="H44" s="412"/>
      <c r="I44" s="415"/>
    </row>
    <row r="45" spans="1:9" hidden="1" x14ac:dyDescent="0.25">
      <c r="A45" s="354"/>
      <c r="B45" s="416" t="s">
        <v>413</v>
      </c>
      <c r="C45" s="398">
        <f>SUM(C39:C44)</f>
        <v>0</v>
      </c>
      <c r="D45" s="398">
        <f>SUM(D39:D44)</f>
        <v>0</v>
      </c>
      <c r="E45" s="398">
        <f>SUM(E39:E44)</f>
        <v>0</v>
      </c>
      <c r="F45" s="417"/>
      <c r="G45" s="418"/>
      <c r="H45" s="419" t="s">
        <v>414</v>
      </c>
      <c r="I45" s="398">
        <f>SUM(I39:I44)</f>
        <v>0</v>
      </c>
    </row>
    <row r="46" spans="1:9" hidden="1" x14ac:dyDescent="0.25">
      <c r="A46" s="354"/>
      <c r="B46" s="416"/>
      <c r="C46" s="391"/>
      <c r="D46" s="391"/>
      <c r="E46" s="394"/>
      <c r="F46" s="417"/>
      <c r="G46" s="418"/>
      <c r="H46" s="419"/>
      <c r="I46" s="391"/>
    </row>
    <row r="47" spans="1:9" ht="16.5" hidden="1" thickBot="1" x14ac:dyDescent="0.3">
      <c r="A47" s="354"/>
      <c r="B47" s="416" t="s">
        <v>415</v>
      </c>
      <c r="E47" s="420">
        <f>H30+E45</f>
        <v>24764.2</v>
      </c>
      <c r="F47" s="421"/>
      <c r="G47" s="418"/>
      <c r="H47" s="419" t="s">
        <v>416</v>
      </c>
      <c r="I47" s="415">
        <f>SUM(I45,I32)</f>
        <v>0</v>
      </c>
    </row>
    <row r="48" spans="1:9" x14ac:dyDescent="0.25">
      <c r="A48" s="400"/>
      <c r="B48" s="400"/>
      <c r="C48" s="400"/>
      <c r="D48" s="400"/>
      <c r="E48" s="400"/>
      <c r="F48" s="421"/>
      <c r="G48" s="399"/>
      <c r="H48" s="399"/>
      <c r="I48" s="391"/>
    </row>
    <row r="49" spans="1:11" x14ac:dyDescent="0.25">
      <c r="A49" s="400"/>
      <c r="B49" s="400"/>
      <c r="C49" s="400"/>
      <c r="D49" s="400"/>
      <c r="E49" s="400"/>
      <c r="F49" s="421"/>
      <c r="G49" s="399"/>
      <c r="H49" s="399"/>
      <c r="I49" s="391"/>
    </row>
    <row r="50" spans="1:11" x14ac:dyDescent="0.25">
      <c r="A50" s="357" t="s">
        <v>417</v>
      </c>
      <c r="B50" s="400"/>
      <c r="C50" s="400"/>
      <c r="D50" s="400"/>
      <c r="E50" s="400"/>
      <c r="F50" s="421"/>
      <c r="G50" s="399"/>
      <c r="H50" s="399"/>
      <c r="I50" s="391"/>
    </row>
    <row r="51" spans="1:11" s="423" customFormat="1" ht="9" customHeight="1" x14ac:dyDescent="0.25">
      <c r="A51" s="422" t="s">
        <v>418</v>
      </c>
      <c r="F51" s="424"/>
      <c r="G51" s="425"/>
      <c r="H51" s="425"/>
      <c r="I51" s="426"/>
    </row>
    <row r="52" spans="1:11" s="423" customFormat="1" ht="11.25" customHeight="1" x14ac:dyDescent="0.25">
      <c r="A52" s="427" t="s">
        <v>419</v>
      </c>
      <c r="F52" s="424"/>
      <c r="G52" s="425"/>
      <c r="H52" s="425"/>
      <c r="I52" s="426"/>
    </row>
    <row r="53" spans="1:11" x14ac:dyDescent="0.25">
      <c r="A53" s="428"/>
      <c r="B53" s="354" t="s">
        <v>420</v>
      </c>
      <c r="C53" s="400"/>
      <c r="D53" s="400"/>
      <c r="E53" s="429" t="s">
        <v>421</v>
      </c>
      <c r="F53" s="549">
        <f>SUM('0040:4141'!G36)</f>
        <v>136313231.92999998</v>
      </c>
      <c r="G53" s="431" t="s">
        <v>81</v>
      </c>
      <c r="H53" s="432">
        <v>6.6699999999999995E-2</v>
      </c>
      <c r="I53" s="551">
        <f>SUM('0040:4141'!J36)</f>
        <v>9092092.5499999989</v>
      </c>
      <c r="K53" s="433">
        <f>F53*H53</f>
        <v>9092092.5697309971</v>
      </c>
    </row>
    <row r="54" spans="1:11" x14ac:dyDescent="0.25">
      <c r="A54" s="400"/>
      <c r="B54" s="357" t="s">
        <v>422</v>
      </c>
      <c r="C54" s="400"/>
      <c r="D54" s="400"/>
      <c r="E54" s="429" t="s">
        <v>421</v>
      </c>
      <c r="F54" s="549">
        <f>SUM('0040:4141'!G37)</f>
        <v>136313231.92999998</v>
      </c>
      <c r="G54" s="431" t="s">
        <v>81</v>
      </c>
      <c r="H54" s="432">
        <v>5.4000000000000003E-3</v>
      </c>
      <c r="I54" s="551">
        <f>SUM('0040:4141'!J37)</f>
        <v>736091.42999999993</v>
      </c>
      <c r="K54" s="433">
        <f>F54*0.0054</f>
        <v>736091.45242199989</v>
      </c>
    </row>
    <row r="55" spans="1:11" x14ac:dyDescent="0.25">
      <c r="A55" s="400"/>
      <c r="B55" s="357" t="s">
        <v>423</v>
      </c>
      <c r="C55" s="400"/>
      <c r="D55" s="400"/>
      <c r="E55" s="429"/>
      <c r="F55" s="430"/>
      <c r="G55" s="431"/>
      <c r="H55" s="432"/>
      <c r="I55" s="398">
        <f>SUM(I53:I54)</f>
        <v>9828183.9799999986</v>
      </c>
    </row>
    <row r="56" spans="1:11" x14ac:dyDescent="0.25">
      <c r="A56" s="400"/>
      <c r="B56" s="400"/>
      <c r="C56" s="400"/>
      <c r="D56" s="400"/>
      <c r="E56" s="400"/>
      <c r="F56" s="421"/>
      <c r="G56" s="399"/>
      <c r="H56" s="399"/>
      <c r="I56" s="391"/>
    </row>
    <row r="57" spans="1:11" x14ac:dyDescent="0.25">
      <c r="A57" s="400"/>
      <c r="B57" s="400"/>
      <c r="C57" s="377" t="str">
        <f>C11</f>
        <v>Oct 2025</v>
      </c>
      <c r="D57" s="434" t="str">
        <f t="shared" ref="D57:D58" si="2">D11</f>
        <v>Feb 2026</v>
      </c>
      <c r="E57" s="378" t="s">
        <v>125</v>
      </c>
      <c r="F57" s="435" t="s">
        <v>424</v>
      </c>
      <c r="G57" s="431" t="s">
        <v>425</v>
      </c>
      <c r="H57" s="436" t="s">
        <v>426</v>
      </c>
      <c r="I57" s="391"/>
    </row>
    <row r="58" spans="1:11" x14ac:dyDescent="0.25">
      <c r="A58" s="437" t="s">
        <v>53</v>
      </c>
      <c r="B58" s="437"/>
      <c r="C58" s="406" t="str">
        <f t="shared" ref="C58" si="3">C12</f>
        <v>FTE</v>
      </c>
      <c r="D58" s="406" t="str">
        <f t="shared" si="2"/>
        <v>FTE</v>
      </c>
      <c r="E58" s="381" t="s">
        <v>54</v>
      </c>
      <c r="F58" s="438" t="s">
        <v>427</v>
      </c>
      <c r="G58" s="439" t="s">
        <v>427</v>
      </c>
      <c r="H58" s="440" t="s">
        <v>428</v>
      </c>
      <c r="I58" s="437"/>
    </row>
    <row r="59" spans="1:11" ht="15.75" customHeight="1" x14ac:dyDescent="0.25">
      <c r="A59" s="891" t="s">
        <v>429</v>
      </c>
      <c r="B59" s="891"/>
      <c r="C59" s="392">
        <f>SUM('0040:4141'!C41)</f>
        <v>305</v>
      </c>
      <c r="D59" s="392">
        <f>SUM('0040:4141'!D41)</f>
        <v>331.87</v>
      </c>
      <c r="E59" s="389">
        <f>SUM('0040:4141'!E41)</f>
        <v>636.86999999999989</v>
      </c>
      <c r="F59" s="441" t="s">
        <v>59</v>
      </c>
      <c r="G59" s="441">
        <v>251</v>
      </c>
      <c r="H59" s="442">
        <v>1047</v>
      </c>
      <c r="I59" s="389">
        <f>SUM('0040:4141'!J41)</f>
        <v>666802.8899999999</v>
      </c>
    </row>
    <row r="60" spans="1:11" x14ac:dyDescent="0.25">
      <c r="A60" s="892"/>
      <c r="B60" s="892"/>
      <c r="C60" s="392">
        <f>SUM('0040:4141'!C42)</f>
        <v>0</v>
      </c>
      <c r="D60" s="392">
        <f>SUM('0040:4141'!D42)</f>
        <v>0</v>
      </c>
      <c r="E60" s="389">
        <f>SUM('0040:4141'!E42)</f>
        <v>0</v>
      </c>
      <c r="F60" s="441" t="s">
        <v>59</v>
      </c>
      <c r="G60" s="441">
        <v>252</v>
      </c>
      <c r="H60" s="442">
        <v>3380</v>
      </c>
      <c r="I60" s="389">
        <f>SUM('0040:4141'!J42)</f>
        <v>0</v>
      </c>
    </row>
    <row r="61" spans="1:11" x14ac:dyDescent="0.25">
      <c r="A61" s="892"/>
      <c r="B61" s="892"/>
      <c r="C61" s="392">
        <f>SUM('0040:4141'!C43)</f>
        <v>0</v>
      </c>
      <c r="D61" s="392">
        <f>SUM('0040:4141'!D43)</f>
        <v>0</v>
      </c>
      <c r="E61" s="389">
        <f>SUM('0040:4141'!E43)</f>
        <v>0</v>
      </c>
      <c r="F61" s="441" t="s">
        <v>59</v>
      </c>
      <c r="G61" s="441">
        <v>253</v>
      </c>
      <c r="H61" s="442">
        <v>6896</v>
      </c>
      <c r="I61" s="389">
        <f>SUM('0040:4141'!J43)</f>
        <v>0</v>
      </c>
    </row>
    <row r="62" spans="1:11" x14ac:dyDescent="0.25">
      <c r="A62" s="892"/>
      <c r="B62" s="892"/>
      <c r="C62" s="392">
        <f>SUM('0040:4141'!C44)</f>
        <v>0</v>
      </c>
      <c r="D62" s="392">
        <f>SUM('0040:4141'!D44)</f>
        <v>0</v>
      </c>
      <c r="E62" s="389">
        <f>SUM('0040:4141'!E44)</f>
        <v>0</v>
      </c>
      <c r="F62" s="443" t="s">
        <v>60</v>
      </c>
      <c r="G62" s="441">
        <v>251</v>
      </c>
      <c r="H62" s="442">
        <v>1173</v>
      </c>
      <c r="I62" s="389">
        <f>SUM('0040:4141'!J44)</f>
        <v>0</v>
      </c>
    </row>
    <row r="63" spans="1:11" x14ac:dyDescent="0.25">
      <c r="A63" s="892"/>
      <c r="B63" s="892"/>
      <c r="C63" s="392">
        <f>SUM('0040:4141'!C45)</f>
        <v>638.86999999999989</v>
      </c>
      <c r="D63" s="392">
        <f>SUM('0040:4141'!D45)</f>
        <v>629.75999999999988</v>
      </c>
      <c r="E63" s="389">
        <f>SUM('0040:4141'!E45)</f>
        <v>1268.6299999999999</v>
      </c>
      <c r="F63" s="443" t="s">
        <v>60</v>
      </c>
      <c r="G63" s="441">
        <v>252</v>
      </c>
      <c r="H63" s="442">
        <v>3506</v>
      </c>
      <c r="I63" s="389">
        <f>SUM('0040:4141'!J45)</f>
        <v>4447816.78</v>
      </c>
    </row>
    <row r="64" spans="1:11" x14ac:dyDescent="0.25">
      <c r="A64" s="892"/>
      <c r="B64" s="892"/>
      <c r="C64" s="392">
        <f>SUM('0040:4141'!C46)</f>
        <v>0</v>
      </c>
      <c r="D64" s="392">
        <f>SUM('0040:4141'!D46)</f>
        <v>0</v>
      </c>
      <c r="E64" s="389">
        <f>SUM('0040:4141'!E46)</f>
        <v>0</v>
      </c>
      <c r="F64" s="443" t="s">
        <v>60</v>
      </c>
      <c r="G64" s="441">
        <v>253</v>
      </c>
      <c r="H64" s="442">
        <v>7023</v>
      </c>
      <c r="I64" s="389">
        <f>SUM('0040:4141'!J46)</f>
        <v>0</v>
      </c>
    </row>
    <row r="65" spans="1:9" x14ac:dyDescent="0.25">
      <c r="A65" s="892"/>
      <c r="B65" s="892"/>
      <c r="C65" s="392">
        <f>SUM('0040:4141'!C47)</f>
        <v>0</v>
      </c>
      <c r="D65" s="392">
        <f>SUM('0040:4141'!D47)</f>
        <v>0</v>
      </c>
      <c r="E65" s="389">
        <f>SUM('0040:4141'!E47)</f>
        <v>0</v>
      </c>
      <c r="F65" s="443" t="s">
        <v>61</v>
      </c>
      <c r="G65" s="441">
        <v>251</v>
      </c>
      <c r="H65" s="442">
        <v>835</v>
      </c>
      <c r="I65" s="389">
        <f>SUM('0040:4141'!J47)</f>
        <v>0</v>
      </c>
    </row>
    <row r="66" spans="1:9" x14ac:dyDescent="0.25">
      <c r="A66" s="892"/>
      <c r="B66" s="892"/>
      <c r="C66" s="392">
        <f>SUM('0040:4141'!C48)</f>
        <v>0</v>
      </c>
      <c r="D66" s="392">
        <f>SUM('0040:4141'!D48)</f>
        <v>0</v>
      </c>
      <c r="E66" s="389">
        <f>SUM('0040:4141'!E48)</f>
        <v>0</v>
      </c>
      <c r="F66" s="443" t="s">
        <v>61</v>
      </c>
      <c r="G66" s="441">
        <v>252</v>
      </c>
      <c r="H66" s="442">
        <v>3168</v>
      </c>
      <c r="I66" s="389">
        <f>SUM('0040:4141'!J48)</f>
        <v>0</v>
      </c>
    </row>
    <row r="67" spans="1:9" x14ac:dyDescent="0.25">
      <c r="A67" s="892"/>
      <c r="B67" s="892"/>
      <c r="C67" s="392">
        <f>SUM('0040:4141'!C49)</f>
        <v>657.85</v>
      </c>
      <c r="D67" s="392">
        <f>SUM('0040:4141'!D49)</f>
        <v>669</v>
      </c>
      <c r="E67" s="389">
        <f>SUM('0040:4141'!E49)</f>
        <v>1327.3500000000001</v>
      </c>
      <c r="F67" s="443" t="s">
        <v>61</v>
      </c>
      <c r="G67" s="441">
        <v>253</v>
      </c>
      <c r="H67" s="442">
        <v>6685</v>
      </c>
      <c r="I67" s="389">
        <f>SUM('0040:4141'!J49)</f>
        <v>8873334.7499999963</v>
      </c>
    </row>
    <row r="68" spans="1:9" x14ac:dyDescent="0.25">
      <c r="C68" s="398">
        <f>SUM(C59:C67)</f>
        <v>1601.7199999999998</v>
      </c>
      <c r="D68" s="398">
        <f>SUM(D59:D67)</f>
        <v>1630.6299999999999</v>
      </c>
      <c r="E68" s="398">
        <f>SUM(E59:E67)</f>
        <v>3232.85</v>
      </c>
      <c r="F68" s="893" t="s">
        <v>63</v>
      </c>
      <c r="G68" s="893"/>
      <c r="H68" s="893"/>
      <c r="I68" s="398">
        <f>SUM(I59:I67)</f>
        <v>13987954.419999996</v>
      </c>
    </row>
    <row r="69" spans="1:9" x14ac:dyDescent="0.25">
      <c r="A69" s="400"/>
      <c r="B69" s="400"/>
      <c r="C69" s="444"/>
      <c r="D69" s="400"/>
      <c r="E69" s="400"/>
      <c r="F69" s="421"/>
      <c r="G69" s="399"/>
      <c r="H69" s="399"/>
      <c r="I69" s="391"/>
    </row>
    <row r="70" spans="1:9" x14ac:dyDescent="0.25">
      <c r="A70" s="357" t="s">
        <v>430</v>
      </c>
    </row>
    <row r="71" spans="1:9" x14ac:dyDescent="0.25">
      <c r="A71" s="887" t="s">
        <v>431</v>
      </c>
      <c r="B71" s="874"/>
      <c r="C71" s="445">
        <f>SUM('0040:4141'!E53)</f>
        <v>19956.13</v>
      </c>
      <c r="D71" s="888" t="s">
        <v>432</v>
      </c>
      <c r="E71" s="888"/>
      <c r="F71" s="888"/>
      <c r="G71" s="888"/>
      <c r="H71" s="446">
        <v>207716.69</v>
      </c>
      <c r="I71" s="447"/>
    </row>
    <row r="72" spans="1:9" x14ac:dyDescent="0.25">
      <c r="B72" s="402"/>
      <c r="G72" s="448" t="s">
        <v>68</v>
      </c>
      <c r="H72" s="449">
        <f>ROUND(C71/H71,6)</f>
        <v>9.6074000000000007E-2</v>
      </c>
      <c r="I72" s="450"/>
    </row>
    <row r="73" spans="1:9" x14ac:dyDescent="0.25">
      <c r="A73" s="357" t="s">
        <v>433</v>
      </c>
    </row>
    <row r="74" spans="1:9" x14ac:dyDescent="0.25">
      <c r="A74" s="887" t="s">
        <v>434</v>
      </c>
      <c r="B74" s="874"/>
      <c r="C74" s="445">
        <f>SUM('0040:4141'!E56)</f>
        <v>23494.4702</v>
      </c>
      <c r="D74" s="888" t="s">
        <v>435</v>
      </c>
      <c r="E74" s="888"/>
      <c r="F74" s="888"/>
      <c r="G74" s="888"/>
      <c r="H74" s="446">
        <v>221131.37000000002</v>
      </c>
      <c r="I74" s="389"/>
    </row>
    <row r="75" spans="1:9" x14ac:dyDescent="0.25">
      <c r="G75" s="448" t="s">
        <v>68</v>
      </c>
      <c r="H75" s="449">
        <f>ROUND(C74/H74,6)</f>
        <v>0.10624699999999999</v>
      </c>
      <c r="I75" s="449"/>
    </row>
    <row r="76" spans="1:9" x14ac:dyDescent="0.25">
      <c r="A76" s="451" t="s">
        <v>436</v>
      </c>
      <c r="B76" s="452"/>
      <c r="C76" s="452"/>
      <c r="D76" s="452"/>
      <c r="E76" s="452"/>
      <c r="F76" s="452"/>
      <c r="G76" s="452"/>
      <c r="H76" s="452"/>
      <c r="I76" s="452"/>
    </row>
    <row r="77" spans="1:9" x14ac:dyDescent="0.25">
      <c r="A77" s="887" t="s">
        <v>437</v>
      </c>
      <c r="B77" s="874"/>
      <c r="C77" s="445">
        <f>SUM('0040:4141'!E59)</f>
        <v>19956.13</v>
      </c>
      <c r="D77" s="889" t="s">
        <v>438</v>
      </c>
      <c r="E77" s="889"/>
      <c r="F77" s="889"/>
      <c r="G77" s="889"/>
      <c r="H77" s="446">
        <v>178668.19</v>
      </c>
      <c r="I77" s="447"/>
    </row>
    <row r="78" spans="1:9" x14ac:dyDescent="0.25">
      <c r="B78" s="402"/>
      <c r="G78" s="448" t="s">
        <v>68</v>
      </c>
      <c r="H78" s="449">
        <f>ROUND(C77/H77,6)</f>
        <v>0.111694</v>
      </c>
      <c r="I78" s="450"/>
    </row>
    <row r="79" spans="1:9" x14ac:dyDescent="0.25">
      <c r="A79" s="451" t="s">
        <v>439</v>
      </c>
      <c r="B79" s="452"/>
      <c r="C79" s="452"/>
      <c r="D79" s="452"/>
      <c r="E79" s="452"/>
      <c r="F79" s="452"/>
      <c r="G79" s="452"/>
      <c r="H79" s="452"/>
      <c r="I79" s="452"/>
    </row>
    <row r="80" spans="1:9" x14ac:dyDescent="0.25">
      <c r="A80" s="887" t="s">
        <v>437</v>
      </c>
      <c r="B80" s="874"/>
      <c r="C80" s="445">
        <f>SUM('0040:4141'!E62)</f>
        <v>19956.13</v>
      </c>
      <c r="D80" s="890" t="s">
        <v>440</v>
      </c>
      <c r="E80" s="890"/>
      <c r="F80" s="890"/>
      <c r="G80" s="890"/>
      <c r="H80" s="446">
        <v>207376.94</v>
      </c>
      <c r="I80" s="447"/>
    </row>
    <row r="81" spans="1:25" x14ac:dyDescent="0.25">
      <c r="B81" s="402"/>
      <c r="G81" s="448" t="s">
        <v>68</v>
      </c>
      <c r="H81" s="449">
        <f>ROUND(C80/H80,6)</f>
        <v>9.6230999999999997E-2</v>
      </c>
      <c r="I81" s="450"/>
    </row>
    <row r="82" spans="1:25" x14ac:dyDescent="0.25">
      <c r="A82" s="451" t="s">
        <v>441</v>
      </c>
      <c r="B82" s="452"/>
      <c r="C82" s="452"/>
      <c r="D82" s="452"/>
      <c r="E82" s="452"/>
      <c r="F82" s="452"/>
      <c r="G82" s="452"/>
      <c r="H82" s="452"/>
      <c r="I82" s="452"/>
    </row>
    <row r="83" spans="1:25" x14ac:dyDescent="0.25">
      <c r="A83" s="887" t="s">
        <v>442</v>
      </c>
      <c r="B83" s="874"/>
      <c r="C83" s="445">
        <f>SUM('0040:4141'!E65)</f>
        <v>19956.13</v>
      </c>
      <c r="D83" s="889" t="s">
        <v>443</v>
      </c>
      <c r="E83" s="889"/>
      <c r="F83" s="889"/>
      <c r="G83" s="889"/>
      <c r="H83" s="446">
        <v>178328.44</v>
      </c>
      <c r="I83" s="447"/>
    </row>
    <row r="84" spans="1:25" x14ac:dyDescent="0.25">
      <c r="B84" s="402"/>
      <c r="G84" s="448" t="s">
        <v>68</v>
      </c>
      <c r="H84" s="449">
        <f>ROUND(C83/H83,6)</f>
        <v>0.11190700000000001</v>
      </c>
      <c r="I84" s="450"/>
    </row>
    <row r="85" spans="1:25" x14ac:dyDescent="0.25">
      <c r="A85" s="352"/>
      <c r="G85" s="448"/>
      <c r="H85" s="449"/>
      <c r="I85" s="449"/>
    </row>
    <row r="86" spans="1:25" x14ac:dyDescent="0.25">
      <c r="A86" s="357" t="s">
        <v>444</v>
      </c>
      <c r="D86" s="402"/>
      <c r="E86" s="429" t="s">
        <v>80</v>
      </c>
      <c r="F86" s="552">
        <v>45610484</v>
      </c>
      <c r="G86" s="441" t="s">
        <v>81</v>
      </c>
      <c r="H86" s="454">
        <f>H81</f>
        <v>9.6230999999999997E-2</v>
      </c>
      <c r="I86" s="391">
        <f>SUM('0040:4141'!J68)</f>
        <v>4645518.9999999991</v>
      </c>
      <c r="K86" s="455">
        <f>F86*H86</f>
        <v>4389142.4858039999</v>
      </c>
      <c r="L86" s="455">
        <f>I86-K86</f>
        <v>256376.51419599913</v>
      </c>
    </row>
    <row r="87" spans="1:25" x14ac:dyDescent="0.25">
      <c r="A87" s="456"/>
      <c r="D87" s="402"/>
      <c r="E87" s="429"/>
      <c r="F87" s="457"/>
      <c r="G87" s="441"/>
      <c r="H87" s="454"/>
      <c r="I87" s="391"/>
      <c r="K87" s="455"/>
      <c r="L87" s="455"/>
    </row>
    <row r="88" spans="1:25" x14ac:dyDescent="0.25">
      <c r="A88" s="898" t="s">
        <v>82</v>
      </c>
      <c r="B88" s="874"/>
      <c r="C88" s="874"/>
      <c r="D88" s="402"/>
      <c r="E88" s="429"/>
      <c r="F88" s="457"/>
      <c r="G88" s="441"/>
      <c r="H88" s="454"/>
      <c r="I88" s="391"/>
      <c r="K88" s="455"/>
      <c r="L88" s="455"/>
    </row>
    <row r="89" spans="1:25" ht="15.75" customHeight="1" x14ac:dyDescent="0.25">
      <c r="A89" s="898" t="s">
        <v>445</v>
      </c>
      <c r="B89" s="874"/>
      <c r="C89" s="874"/>
      <c r="D89" s="402"/>
      <c r="E89" s="429" t="s">
        <v>84</v>
      </c>
      <c r="F89" s="453">
        <v>0</v>
      </c>
      <c r="G89" s="441" t="s">
        <v>81</v>
      </c>
      <c r="H89" s="454">
        <f>H72</f>
        <v>9.6074000000000007E-2</v>
      </c>
      <c r="I89" s="391">
        <f>SUM('0040:4141'!J70)</f>
        <v>0</v>
      </c>
      <c r="K89" s="455"/>
      <c r="L89" s="455"/>
    </row>
    <row r="90" spans="1:25" ht="15.75" customHeight="1" x14ac:dyDescent="0.25">
      <c r="A90" s="458"/>
      <c r="B90" s="402"/>
      <c r="C90" s="402"/>
      <c r="D90" s="402"/>
      <c r="E90" s="429"/>
      <c r="F90" s="457"/>
      <c r="G90" s="441"/>
      <c r="H90" s="454"/>
      <c r="I90" s="391"/>
      <c r="K90" s="455"/>
      <c r="L90" s="455"/>
    </row>
    <row r="91" spans="1:25" x14ac:dyDescent="0.25">
      <c r="A91" s="357" t="s">
        <v>446</v>
      </c>
      <c r="D91" s="402"/>
      <c r="E91" s="429" t="s">
        <v>86</v>
      </c>
      <c r="F91" s="453">
        <v>18959906</v>
      </c>
      <c r="G91" s="441" t="s">
        <v>81</v>
      </c>
      <c r="H91" s="454">
        <f>H84</f>
        <v>0.11190700000000001</v>
      </c>
      <c r="I91" s="391">
        <f>SUM('0040:4141'!J71)</f>
        <v>2245668.16</v>
      </c>
      <c r="K91" s="455">
        <f t="shared" ref="K91:K93" si="4">F91*H91</f>
        <v>2121746.2007420002</v>
      </c>
      <c r="L91" s="455">
        <f t="shared" ref="L91:L93" si="5">I91-K91</f>
        <v>123921.9592579999</v>
      </c>
    </row>
    <row r="92" spans="1:25" x14ac:dyDescent="0.25">
      <c r="A92" s="456"/>
      <c r="D92" s="402"/>
      <c r="E92" s="429"/>
      <c r="F92" s="457"/>
      <c r="G92" s="441"/>
      <c r="H92" s="454"/>
      <c r="I92" s="391"/>
      <c r="K92" s="455">
        <f t="shared" si="4"/>
        <v>0</v>
      </c>
      <c r="L92" s="455">
        <f t="shared" si="5"/>
        <v>0</v>
      </c>
    </row>
    <row r="93" spans="1:25" x14ac:dyDescent="0.25">
      <c r="A93" s="357" t="s">
        <v>447</v>
      </c>
      <c r="D93" s="402"/>
      <c r="E93" s="429" t="s">
        <v>84</v>
      </c>
      <c r="F93" s="453">
        <v>11308391</v>
      </c>
      <c r="G93" s="441" t="s">
        <v>81</v>
      </c>
      <c r="H93" s="454">
        <f>H78</f>
        <v>0.111694</v>
      </c>
      <c r="I93" s="391">
        <f>SUM('0040:4141'!J72)</f>
        <v>1336844.0699999998</v>
      </c>
      <c r="K93" s="455">
        <f t="shared" si="4"/>
        <v>1263079.424354</v>
      </c>
      <c r="L93" s="455">
        <f t="shared" si="5"/>
        <v>73764.645645999815</v>
      </c>
    </row>
    <row r="94" spans="1:25" x14ac:dyDescent="0.25">
      <c r="A94" s="357"/>
      <c r="D94" s="402"/>
      <c r="E94" s="429"/>
      <c r="F94" s="457"/>
      <c r="G94" s="441"/>
      <c r="H94" s="454"/>
      <c r="I94" s="391"/>
      <c r="K94" s="455"/>
      <c r="L94" s="455"/>
    </row>
    <row r="95" spans="1:25" s="2" customFormat="1" ht="24.75" customHeight="1" x14ac:dyDescent="0.25">
      <c r="A95" s="42" t="s">
        <v>89</v>
      </c>
      <c r="B95" s="42"/>
      <c r="C95" s="42"/>
      <c r="D95" s="42"/>
      <c r="E95" s="42"/>
      <c r="F95" s="36" t="s">
        <v>90</v>
      </c>
      <c r="G95" s="64"/>
      <c r="H95" s="37"/>
      <c r="I95" s="41"/>
      <c r="J95" s="30"/>
      <c r="R95" s="354"/>
      <c r="S95" s="354"/>
      <c r="T95" s="354"/>
      <c r="U95" s="354"/>
      <c r="V95" s="354"/>
      <c r="W95" s="354"/>
      <c r="X95" s="354"/>
      <c r="Y95" s="354"/>
    </row>
    <row r="96" spans="1:25" s="2" customFormat="1" ht="63" customHeight="1" x14ac:dyDescent="0.25">
      <c r="A96" s="913" t="s">
        <v>91</v>
      </c>
      <c r="B96" s="913"/>
      <c r="C96" s="100"/>
      <c r="D96" s="100"/>
      <c r="E96" s="914" t="s">
        <v>92</v>
      </c>
      <c r="F96" s="915"/>
      <c r="G96" s="915"/>
      <c r="H96" s="915"/>
      <c r="I96" s="915"/>
      <c r="J96" s="18"/>
      <c r="R96" s="354"/>
      <c r="S96" s="354"/>
      <c r="T96" s="354"/>
      <c r="U96" s="354"/>
      <c r="V96" s="354"/>
      <c r="W96" s="354"/>
      <c r="X96" s="354"/>
      <c r="Y96" s="354"/>
    </row>
    <row r="97" spans="1:26" s="2" customFormat="1" ht="22.5" customHeight="1" x14ac:dyDescent="0.25">
      <c r="A97" s="899" t="s">
        <v>93</v>
      </c>
      <c r="B97" s="899"/>
      <c r="C97" s="69"/>
      <c r="D97" s="69"/>
      <c r="E97" s="65"/>
      <c r="F97" s="65"/>
      <c r="G97" s="65"/>
      <c r="H97" s="65"/>
      <c r="I97" s="65"/>
      <c r="J97" s="553">
        <f>SUM('0040:4141'!J75)</f>
        <v>92</v>
      </c>
      <c r="L97" s="66"/>
      <c r="O97" s="36"/>
      <c r="P97" s="36"/>
      <c r="R97" s="354"/>
      <c r="S97" s="354"/>
      <c r="T97" s="354"/>
      <c r="U97" s="354"/>
      <c r="V97" s="354"/>
      <c r="W97" s="354"/>
      <c r="X97" s="354"/>
      <c r="Y97" s="354"/>
    </row>
    <row r="98" spans="1:26" s="2" customFormat="1" ht="18.75" customHeight="1" x14ac:dyDescent="0.25">
      <c r="A98" s="899" t="s">
        <v>94</v>
      </c>
      <c r="B98" s="899"/>
      <c r="C98" s="69"/>
      <c r="D98" s="69"/>
      <c r="E98" s="65"/>
      <c r="F98" s="65"/>
      <c r="G98" s="65"/>
      <c r="H98" s="65"/>
      <c r="I98" s="65"/>
      <c r="J98" s="553">
        <f>SUM('0040:4141'!J76)</f>
        <v>24.88</v>
      </c>
      <c r="L98" s="67"/>
      <c r="O98" s="36"/>
      <c r="P98" s="36"/>
      <c r="R98" s="354"/>
      <c r="S98" s="354"/>
      <c r="T98" s="354"/>
      <c r="U98" s="354"/>
      <c r="V98" s="354"/>
      <c r="W98" s="354"/>
      <c r="X98" s="354"/>
      <c r="Y98" s="354"/>
    </row>
    <row r="99" spans="1:26" s="2" customFormat="1" ht="18.75" customHeight="1" x14ac:dyDescent="0.25">
      <c r="A99" s="917" t="s">
        <v>95</v>
      </c>
      <c r="B99" s="917"/>
      <c r="C99" s="105"/>
      <c r="D99" s="105"/>
      <c r="E99" s="68"/>
      <c r="F99" s="68"/>
      <c r="G99" s="68"/>
      <c r="H99" s="68"/>
      <c r="I99" s="68"/>
      <c r="J99" s="553">
        <f>SUM('0040:4141'!J77)</f>
        <v>200.45999999999998</v>
      </c>
      <c r="L99" s="67"/>
      <c r="O99" s="36"/>
      <c r="P99" s="36"/>
      <c r="R99" s="354"/>
      <c r="S99" s="354"/>
      <c r="T99" s="354"/>
      <c r="U99" s="354"/>
      <c r="V99" s="354"/>
      <c r="W99" s="354"/>
      <c r="X99" s="354"/>
      <c r="Y99" s="354"/>
    </row>
    <row r="100" spans="1:26" s="2" customFormat="1" ht="20.25" customHeight="1" x14ac:dyDescent="0.25">
      <c r="A100" s="69" t="s">
        <v>96</v>
      </c>
      <c r="B100" s="69"/>
      <c r="C100" s="69"/>
      <c r="D100" s="69"/>
      <c r="E100" s="65"/>
      <c r="F100" s="65"/>
      <c r="G100" s="65"/>
      <c r="H100" s="65"/>
      <c r="I100" s="65"/>
      <c r="J100" s="553">
        <f>SUM('0040:4141'!J78)</f>
        <v>280.7</v>
      </c>
      <c r="K100" s="70"/>
      <c r="L100" s="70"/>
      <c r="M100" s="71"/>
      <c r="N100" s="70"/>
      <c r="O100" s="70"/>
      <c r="P100" s="70"/>
      <c r="Q100" s="70"/>
      <c r="R100" s="354"/>
      <c r="S100" s="354"/>
      <c r="T100" s="354"/>
      <c r="U100" s="354"/>
      <c r="V100" s="354"/>
      <c r="W100" s="354"/>
      <c r="X100" s="354"/>
      <c r="Y100" s="354"/>
      <c r="Z100" s="72"/>
    </row>
    <row r="101" spans="1:26" s="2" customFormat="1" ht="18.75" customHeight="1" x14ac:dyDescent="0.25">
      <c r="A101" s="899" t="s">
        <v>97</v>
      </c>
      <c r="B101" s="899"/>
      <c r="C101" s="69"/>
      <c r="D101" s="69"/>
      <c r="E101" s="65"/>
      <c r="F101" s="65"/>
      <c r="G101" s="65"/>
      <c r="H101" s="65"/>
      <c r="I101" s="65"/>
      <c r="J101" s="553">
        <f>SUM('0040:4141'!J79)</f>
        <v>30.75</v>
      </c>
      <c r="K101" s="70"/>
      <c r="L101" s="70"/>
      <c r="M101" s="71"/>
      <c r="N101" s="70"/>
      <c r="O101" s="70"/>
      <c r="P101" s="70"/>
      <c r="Q101" s="70"/>
      <c r="R101" s="354"/>
      <c r="S101" s="354"/>
      <c r="T101" s="354"/>
      <c r="U101" s="354"/>
      <c r="V101" s="354"/>
      <c r="W101" s="354"/>
      <c r="X101" s="354"/>
      <c r="Y101" s="354"/>
      <c r="Z101" s="72"/>
    </row>
    <row r="102" spans="1:26" s="2" customFormat="1" ht="17.25" customHeight="1" x14ac:dyDescent="0.25">
      <c r="A102" s="918" t="s">
        <v>98</v>
      </c>
      <c r="B102" s="918"/>
      <c r="C102" s="103"/>
      <c r="D102" s="103"/>
      <c r="E102" s="73"/>
      <c r="F102" s="73"/>
      <c r="G102" s="73"/>
      <c r="H102" s="73"/>
      <c r="I102" s="73"/>
      <c r="J102" s="553">
        <f>SUM('0040:4141'!J80)</f>
        <v>40.96</v>
      </c>
      <c r="K102" s="70"/>
      <c r="L102" s="70"/>
      <c r="M102" s="71"/>
      <c r="N102" s="70"/>
      <c r="O102" s="70"/>
      <c r="P102" s="70"/>
      <c r="Q102" s="70"/>
      <c r="R102" s="354"/>
      <c r="S102" s="354"/>
      <c r="T102" s="354"/>
      <c r="U102" s="354"/>
      <c r="V102" s="354"/>
      <c r="W102" s="354"/>
      <c r="X102" s="354"/>
      <c r="Y102" s="354"/>
      <c r="Z102" s="72"/>
    </row>
    <row r="103" spans="1:26" s="2" customFormat="1" ht="17.25" customHeight="1" x14ac:dyDescent="0.25">
      <c r="A103" s="33"/>
      <c r="B103" s="33"/>
      <c r="C103" s="33"/>
      <c r="D103" s="33"/>
      <c r="E103" s="33"/>
      <c r="F103" s="33"/>
      <c r="G103" s="31"/>
      <c r="H103" s="34"/>
      <c r="I103" s="34" t="s">
        <v>99</v>
      </c>
      <c r="J103" s="74">
        <f>SUM(J97:J102)</f>
        <v>669.75</v>
      </c>
      <c r="K103" s="70"/>
      <c r="L103" s="70"/>
      <c r="M103" s="71"/>
      <c r="N103" s="70"/>
      <c r="O103" s="70"/>
      <c r="P103" s="70"/>
      <c r="Q103" s="70"/>
      <c r="R103" s="354"/>
      <c r="S103" s="354"/>
      <c r="T103" s="354"/>
      <c r="U103" s="354"/>
      <c r="V103" s="354"/>
      <c r="W103" s="354"/>
      <c r="X103" s="354"/>
      <c r="Y103" s="354"/>
      <c r="Z103" s="72"/>
    </row>
    <row r="104" spans="1:26" s="2" customFormat="1" ht="18.75" customHeight="1" x14ac:dyDescent="0.25">
      <c r="A104" s="33"/>
      <c r="B104" s="33"/>
      <c r="C104" s="33"/>
      <c r="D104" s="33"/>
      <c r="E104" s="33"/>
      <c r="F104" s="33"/>
      <c r="G104" s="31"/>
      <c r="H104" s="34"/>
      <c r="I104" s="34" t="s">
        <v>100</v>
      </c>
      <c r="J104" s="748">
        <v>12903.05</v>
      </c>
      <c r="K104" s="70"/>
      <c r="L104" s="70"/>
      <c r="M104" s="71"/>
      <c r="N104" s="70"/>
      <c r="O104" s="70"/>
      <c r="P104" s="70"/>
      <c r="Q104" s="70"/>
      <c r="R104" s="354"/>
      <c r="S104" s="354"/>
      <c r="T104" s="354"/>
      <c r="U104" s="354"/>
      <c r="V104" s="354"/>
      <c r="W104" s="354"/>
      <c r="X104" s="354"/>
      <c r="Y104" s="354"/>
      <c r="Z104" s="72"/>
    </row>
    <row r="105" spans="1:26" s="2" customFormat="1" ht="15.75" customHeight="1" x14ac:dyDescent="0.25">
      <c r="A105" s="33"/>
      <c r="B105" s="33"/>
      <c r="C105" s="33"/>
      <c r="D105" s="33"/>
      <c r="E105" s="33"/>
      <c r="F105" s="33"/>
      <c r="G105" s="31"/>
      <c r="H105" s="34"/>
      <c r="I105" s="34"/>
      <c r="J105" s="75"/>
      <c r="K105" s="70"/>
      <c r="L105" s="70"/>
      <c r="M105" s="71"/>
      <c r="N105" s="70"/>
      <c r="O105" s="70"/>
      <c r="P105" s="70"/>
      <c r="Q105" s="70"/>
      <c r="R105" s="354"/>
      <c r="S105" s="354"/>
      <c r="T105" s="354"/>
      <c r="U105" s="354"/>
      <c r="V105" s="354"/>
      <c r="W105" s="354"/>
      <c r="X105" s="354"/>
      <c r="Y105" s="354"/>
      <c r="Z105" s="72"/>
    </row>
    <row r="106" spans="1:26" s="2" customFormat="1" ht="21" customHeight="1" x14ac:dyDescent="0.25">
      <c r="A106" s="916" t="s">
        <v>101</v>
      </c>
      <c r="B106" s="916"/>
      <c r="C106" s="52"/>
      <c r="D106" s="52"/>
      <c r="F106" s="453">
        <v>58502790</v>
      </c>
      <c r="H106" s="37" t="s">
        <v>81</v>
      </c>
      <c r="I106" s="41">
        <f>IFERROR(ROUND(J103/J104,6),0)</f>
        <v>5.1906000000000001E-2</v>
      </c>
      <c r="J106" s="62">
        <f>ROUND(F106*I106,2)</f>
        <v>3036645.82</v>
      </c>
      <c r="K106" s="70"/>
      <c r="L106" s="70"/>
      <c r="M106" s="71"/>
      <c r="N106" s="70"/>
      <c r="O106" s="70"/>
      <c r="P106" s="70"/>
      <c r="Q106" s="70"/>
      <c r="R106" s="354"/>
      <c r="S106" s="354"/>
      <c r="T106" s="354"/>
      <c r="U106" s="354"/>
      <c r="V106" s="354"/>
      <c r="W106" s="354"/>
      <c r="X106" s="354"/>
      <c r="Y106" s="354"/>
    </row>
    <row r="107" spans="1:26" x14ac:dyDescent="0.25">
      <c r="A107" s="357"/>
      <c r="D107" s="402"/>
      <c r="E107" s="429"/>
      <c r="F107" s="457"/>
      <c r="G107" s="441"/>
      <c r="H107" s="454"/>
      <c r="I107" s="391"/>
      <c r="K107" s="455"/>
      <c r="L107" s="455"/>
    </row>
    <row r="108" spans="1:26" x14ac:dyDescent="0.25">
      <c r="A108" s="887" t="s">
        <v>542</v>
      </c>
      <c r="B108" s="874"/>
      <c r="C108" s="874"/>
      <c r="D108" s="402"/>
      <c r="E108" s="429" t="s">
        <v>103</v>
      </c>
      <c r="F108" s="453">
        <v>268816278</v>
      </c>
      <c r="G108" s="441" t="s">
        <v>81</v>
      </c>
      <c r="H108" s="454">
        <f>H75</f>
        <v>0.10624699999999999</v>
      </c>
      <c r="I108" s="391">
        <f>SUM('0040:4141'!J85)</f>
        <v>30105003.749999996</v>
      </c>
      <c r="K108" s="455">
        <f>F108*H108</f>
        <v>28560923.088665999</v>
      </c>
      <c r="L108" s="455">
        <f>I108-K108</f>
        <v>1544080.6613339968</v>
      </c>
    </row>
    <row r="109" spans="1:26" x14ac:dyDescent="0.25">
      <c r="A109" s="357"/>
      <c r="B109" s="402"/>
      <c r="C109" s="402"/>
      <c r="D109" s="402"/>
      <c r="E109" s="429"/>
      <c r="F109" s="457"/>
      <c r="G109" s="441"/>
      <c r="H109" s="454"/>
      <c r="I109" s="391"/>
    </row>
    <row r="110" spans="1:26" x14ac:dyDescent="0.25">
      <c r="A110" s="887" t="s">
        <v>543</v>
      </c>
      <c r="B110" s="874"/>
      <c r="C110" s="874"/>
      <c r="D110" s="402"/>
      <c r="E110" s="429" t="s">
        <v>103</v>
      </c>
      <c r="F110" s="453">
        <v>0</v>
      </c>
      <c r="G110" s="441" t="s">
        <v>81</v>
      </c>
      <c r="H110" s="454">
        <f>H75</f>
        <v>0.10624699999999999</v>
      </c>
      <c r="I110" s="391">
        <f>SUM('0040:4141'!J86)</f>
        <v>0</v>
      </c>
    </row>
    <row r="111" spans="1:26" x14ac:dyDescent="0.25">
      <c r="A111" s="354"/>
    </row>
    <row r="112" spans="1:26" x14ac:dyDescent="0.25">
      <c r="A112" s="357" t="s">
        <v>544</v>
      </c>
      <c r="B112" s="402"/>
      <c r="C112" s="402"/>
      <c r="D112" s="402"/>
      <c r="E112" s="429" t="s">
        <v>84</v>
      </c>
      <c r="F112" s="453">
        <v>0</v>
      </c>
      <c r="G112" s="441" t="s">
        <v>81</v>
      </c>
      <c r="H112" s="454">
        <f>H72</f>
        <v>9.6074000000000007E-2</v>
      </c>
      <c r="I112" s="391">
        <f>SUM('0040:4141'!J87)</f>
        <v>0</v>
      </c>
    </row>
    <row r="113" spans="1:9" x14ac:dyDescent="0.25">
      <c r="A113" s="357"/>
      <c r="B113" s="402"/>
      <c r="C113" s="402"/>
      <c r="D113" s="402"/>
      <c r="E113" s="429"/>
      <c r="F113" s="457"/>
      <c r="G113" s="441"/>
      <c r="H113" s="454"/>
      <c r="I113" s="391"/>
    </row>
    <row r="114" spans="1:9" x14ac:dyDescent="0.25">
      <c r="A114" s="357"/>
      <c r="B114" s="402"/>
      <c r="C114" s="402"/>
      <c r="D114" s="402"/>
      <c r="E114" s="429"/>
      <c r="F114" s="457"/>
      <c r="G114" s="441"/>
      <c r="H114" s="454"/>
      <c r="I114" s="391"/>
    </row>
    <row r="115" spans="1:9" x14ac:dyDescent="0.25">
      <c r="A115" s="456" t="s">
        <v>106</v>
      </c>
    </row>
    <row r="116" spans="1:9" x14ac:dyDescent="0.25">
      <c r="B116" s="402"/>
      <c r="C116" s="894" t="s">
        <v>9</v>
      </c>
      <c r="D116" s="894"/>
      <c r="E116" s="402"/>
      <c r="F116" s="443" t="s">
        <v>448</v>
      </c>
      <c r="G116" s="402"/>
      <c r="H116" s="402"/>
      <c r="I116" s="402"/>
    </row>
    <row r="117" spans="1:9" x14ac:dyDescent="0.25">
      <c r="A117" s="354"/>
      <c r="B117" s="460"/>
      <c r="C117" s="895" t="s">
        <v>449</v>
      </c>
      <c r="D117" s="895"/>
      <c r="E117" s="461" t="s">
        <v>450</v>
      </c>
      <c r="F117" s="462" t="s">
        <v>451</v>
      </c>
      <c r="G117" s="363"/>
      <c r="H117" s="363"/>
      <c r="I117" s="363"/>
    </row>
    <row r="118" spans="1:9" x14ac:dyDescent="0.25">
      <c r="A118" s="400"/>
      <c r="B118" s="416" t="s">
        <v>452</v>
      </c>
      <c r="C118" s="896">
        <f>SUM('0040:4141'!B90)</f>
        <v>7498.3038000000015</v>
      </c>
      <c r="D118" s="896"/>
      <c r="E118" s="435">
        <f>H8</f>
        <v>1.0355000000000001</v>
      </c>
      <c r="F118" s="463">
        <v>958.42</v>
      </c>
      <c r="G118" s="443" t="s">
        <v>68</v>
      </c>
      <c r="H118" s="391">
        <f>SUM('0040:4141'!I90)</f>
        <v>7441645.9499999993</v>
      </c>
      <c r="I118" s="404"/>
    </row>
    <row r="119" spans="1:9" x14ac:dyDescent="0.25">
      <c r="A119" s="464"/>
      <c r="B119" s="464" t="s">
        <v>453</v>
      </c>
      <c r="C119" s="896">
        <f>SUM('0040:4141'!B91)</f>
        <v>9642.2133999999987</v>
      </c>
      <c r="D119" s="896"/>
      <c r="E119" s="435">
        <f>H8</f>
        <v>1.0355000000000001</v>
      </c>
      <c r="F119" s="463">
        <v>915.09</v>
      </c>
      <c r="G119" s="443" t="s">
        <v>68</v>
      </c>
      <c r="H119" s="391">
        <f>SUM('0040:4141'!I91)</f>
        <v>9136727.0700000003</v>
      </c>
    </row>
    <row r="120" spans="1:9" ht="16.5" thickBot="1" x14ac:dyDescent="0.3">
      <c r="A120" s="416"/>
      <c r="B120" s="416" t="s">
        <v>454</v>
      </c>
      <c r="C120" s="897">
        <f>SUM('0040:4141'!B92)</f>
        <v>7623.6827999999996</v>
      </c>
      <c r="D120" s="897"/>
      <c r="E120" s="435">
        <f>H8</f>
        <v>1.0355000000000001</v>
      </c>
      <c r="F120" s="463">
        <v>917.3</v>
      </c>
      <c r="G120" s="443" t="s">
        <v>68</v>
      </c>
      <c r="H120" s="391">
        <f>SUM('0040:4141'!I92)</f>
        <v>7241463.0000000009</v>
      </c>
    </row>
    <row r="121" spans="1:9" ht="16.5" thickTop="1" x14ac:dyDescent="0.25">
      <c r="A121" s="465"/>
      <c r="B121" s="466" t="s">
        <v>455</v>
      </c>
      <c r="C121" s="896">
        <f>SUM('0040:4141'!B93)</f>
        <v>24764.2</v>
      </c>
      <c r="D121" s="896"/>
      <c r="E121" s="467"/>
      <c r="F121" s="467"/>
      <c r="G121" s="467"/>
      <c r="H121" s="468" t="s">
        <v>456</v>
      </c>
      <c r="I121" s="391">
        <f>SUM('0040:4141'!J93)</f>
        <v>23819836.02</v>
      </c>
    </row>
    <row r="122" spans="1:9" x14ac:dyDescent="0.25">
      <c r="A122" s="902" t="s">
        <v>113</v>
      </c>
      <c r="B122" s="902"/>
      <c r="C122" s="902"/>
      <c r="D122" s="902"/>
      <c r="E122" s="902"/>
      <c r="F122" s="902"/>
      <c r="G122" s="902"/>
      <c r="H122" s="902"/>
      <c r="I122" s="902"/>
    </row>
    <row r="123" spans="1:9" x14ac:dyDescent="0.25">
      <c r="A123" s="469"/>
      <c r="B123" s="469"/>
      <c r="C123" s="469"/>
      <c r="D123" s="469"/>
      <c r="E123" s="469"/>
      <c r="F123" s="469"/>
      <c r="G123" s="469"/>
      <c r="H123" s="469"/>
      <c r="I123" s="469"/>
    </row>
    <row r="124" spans="1:9" x14ac:dyDescent="0.25">
      <c r="A124" s="357" t="s">
        <v>114</v>
      </c>
      <c r="C124" s="429"/>
      <c r="D124" s="402"/>
      <c r="E124" s="429" t="s">
        <v>115</v>
      </c>
      <c r="F124" s="903"/>
      <c r="G124" s="903"/>
      <c r="H124" s="903"/>
      <c r="I124" s="903"/>
    </row>
    <row r="125" spans="1:9" x14ac:dyDescent="0.25">
      <c r="B125" s="402"/>
      <c r="C125" s="377" t="s">
        <v>632</v>
      </c>
      <c r="D125" s="434" t="s">
        <v>633</v>
      </c>
      <c r="E125" s="378" t="s">
        <v>457</v>
      </c>
      <c r="F125" s="429"/>
      <c r="G125" s="429"/>
      <c r="H125" s="429"/>
      <c r="I125" s="429"/>
    </row>
    <row r="126" spans="1:9" x14ac:dyDescent="0.25">
      <c r="B126" s="402"/>
      <c r="C126" s="406" t="s">
        <v>54</v>
      </c>
      <c r="D126" s="406" t="s">
        <v>54</v>
      </c>
      <c r="E126" s="381" t="s">
        <v>54</v>
      </c>
      <c r="F126" s="429"/>
      <c r="G126" s="429"/>
      <c r="H126" s="429"/>
      <c r="I126" s="429"/>
    </row>
    <row r="127" spans="1:9" x14ac:dyDescent="0.25">
      <c r="A127" s="889" t="s">
        <v>458</v>
      </c>
      <c r="B127" s="904"/>
      <c r="C127" s="392">
        <f>SUM('0040:4141'!C97)</f>
        <v>4100</v>
      </c>
      <c r="D127" s="392">
        <f>SUM('0040:4141'!D97)</f>
        <v>3838.0010000000002</v>
      </c>
      <c r="E127" s="389">
        <f>ROUND(SUM('0040:4141'!E97),2)</f>
        <v>3969</v>
      </c>
      <c r="F127" s="470" t="s">
        <v>117</v>
      </c>
      <c r="G127" s="471">
        <v>578</v>
      </c>
      <c r="I127" s="391">
        <f>SUM('0040:4141'!J97)</f>
        <v>2294082.29</v>
      </c>
    </row>
    <row r="128" spans="1:9" x14ac:dyDescent="0.25">
      <c r="A128" s="889" t="s">
        <v>459</v>
      </c>
      <c r="B128" s="904"/>
      <c r="C128" s="392">
        <f>SUM('0040:4141'!C98)</f>
        <v>1</v>
      </c>
      <c r="D128" s="392">
        <f>SUM('0040:4141'!D98)</f>
        <v>0</v>
      </c>
      <c r="E128" s="389">
        <f>SUM('0040:4141'!E98)</f>
        <v>1</v>
      </c>
      <c r="F128" s="470" t="s">
        <v>117</v>
      </c>
      <c r="G128" s="471">
        <v>1794</v>
      </c>
      <c r="I128" s="391">
        <f>SUM('0040:4141'!J98)</f>
        <v>1794</v>
      </c>
    </row>
    <row r="129" spans="1:10" hidden="1" x14ac:dyDescent="0.25">
      <c r="A129" s="472"/>
      <c r="B129" s="472"/>
      <c r="C129" s="473"/>
      <c r="D129" s="473"/>
      <c r="E129" s="473"/>
      <c r="F129" s="473"/>
      <c r="G129" s="474"/>
      <c r="H129" s="475"/>
      <c r="I129" s="391"/>
    </row>
    <row r="130" spans="1:10" x14ac:dyDescent="0.25">
      <c r="A130" s="472"/>
      <c r="B130" s="472"/>
      <c r="C130" s="473"/>
      <c r="D130" s="473"/>
      <c r="E130" s="473"/>
      <c r="F130" s="473"/>
      <c r="G130" s="474"/>
      <c r="H130" s="475"/>
      <c r="I130" s="391"/>
    </row>
    <row r="131" spans="1:10" ht="15.75" hidden="1" customHeight="1" x14ac:dyDescent="0.25">
      <c r="A131" s="887" t="s">
        <v>460</v>
      </c>
      <c r="B131" s="874"/>
      <c r="C131" s="874"/>
      <c r="D131" s="402"/>
      <c r="E131" s="443" t="s">
        <v>120</v>
      </c>
      <c r="F131" s="894"/>
      <c r="G131" s="894"/>
      <c r="H131" s="894"/>
      <c r="I131" s="894"/>
    </row>
    <row r="132" spans="1:10" hidden="1" x14ac:dyDescent="0.25">
      <c r="B132" s="402"/>
      <c r="C132" s="895" t="s">
        <v>122</v>
      </c>
      <c r="D132" s="895"/>
      <c r="E132" s="895"/>
      <c r="F132" s="441"/>
      <c r="G132" s="441"/>
      <c r="H132" s="443" t="s">
        <v>461</v>
      </c>
      <c r="I132" s="441"/>
    </row>
    <row r="133" spans="1:10" hidden="1" x14ac:dyDescent="0.25">
      <c r="B133" s="402"/>
      <c r="C133" s="377" t="str">
        <f>C125</f>
        <v>Oct 2025</v>
      </c>
      <c r="D133" s="377" t="str">
        <f>D125</f>
        <v>Feb 2026</v>
      </c>
      <c r="E133" s="476" t="s">
        <v>125</v>
      </c>
      <c r="F133" s="888" t="s">
        <v>462</v>
      </c>
      <c r="G133" s="894"/>
      <c r="H133" s="441" t="s">
        <v>463</v>
      </c>
      <c r="I133" s="441"/>
    </row>
    <row r="134" spans="1:10" ht="15.75" hidden="1" customHeight="1" x14ac:dyDescent="0.25">
      <c r="A134" s="895" t="s">
        <v>121</v>
      </c>
      <c r="B134" s="895"/>
      <c r="C134" s="381" t="s">
        <v>54</v>
      </c>
      <c r="D134" s="381" t="s">
        <v>54</v>
      </c>
      <c r="E134" s="439" t="s">
        <v>54</v>
      </c>
      <c r="F134" s="895" t="s">
        <v>448</v>
      </c>
      <c r="G134" s="895"/>
      <c r="H134" s="439" t="s">
        <v>448</v>
      </c>
      <c r="I134" s="439" t="s">
        <v>125</v>
      </c>
    </row>
    <row r="135" spans="1:10" ht="15.75" hidden="1" customHeight="1" x14ac:dyDescent="0.25">
      <c r="A135" s="900" t="s">
        <v>126</v>
      </c>
      <c r="B135" s="900"/>
      <c r="C135" s="388">
        <v>0</v>
      </c>
      <c r="D135" s="388">
        <v>0</v>
      </c>
      <c r="E135" s="395">
        <f>IF(D31=0,C135*2,C135+D135)</f>
        <v>0</v>
      </c>
      <c r="F135" s="901">
        <v>0</v>
      </c>
      <c r="G135" s="901"/>
      <c r="H135" s="477">
        <f>IF(C135=0,0,125)</f>
        <v>0</v>
      </c>
      <c r="I135" s="391">
        <f>ROUND((H135+F135)*E135,2)</f>
        <v>0</v>
      </c>
    </row>
    <row r="136" spans="1:10" ht="15.75" hidden="1" customHeight="1" x14ac:dyDescent="0.25">
      <c r="A136" s="884" t="s">
        <v>127</v>
      </c>
      <c r="B136" s="884"/>
      <c r="C136" s="392">
        <v>0</v>
      </c>
      <c r="D136" s="392">
        <v>0</v>
      </c>
      <c r="E136" s="389">
        <f>IF(D32=0,C136*2,C136+D136)</f>
        <v>0</v>
      </c>
      <c r="F136" s="907">
        <f>ROUND(F135/2,2)</f>
        <v>0</v>
      </c>
      <c r="G136" s="907"/>
      <c r="H136" s="477">
        <f>IF(C136=0,0,62.5)</f>
        <v>0</v>
      </c>
      <c r="I136" s="391">
        <f>ROUND((H136+F136)*E136,2)</f>
        <v>0</v>
      </c>
    </row>
    <row r="137" spans="1:10" ht="15.75" hidden="1" customHeight="1" x14ac:dyDescent="0.25">
      <c r="A137" s="884" t="s">
        <v>128</v>
      </c>
      <c r="B137" s="884"/>
      <c r="C137" s="392">
        <v>0</v>
      </c>
      <c r="D137" s="392">
        <v>0</v>
      </c>
      <c r="E137" s="389">
        <f>IF(D33=0,C137*2,C137+D137)</f>
        <v>0</v>
      </c>
      <c r="F137" s="908"/>
      <c r="G137" s="908"/>
      <c r="H137" s="478">
        <f>IF(H135&gt;0,436,0)</f>
        <v>0</v>
      </c>
      <c r="I137" s="391">
        <f>ROUND(H137*E137,2)</f>
        <v>0</v>
      </c>
    </row>
    <row r="138" spans="1:10" ht="16.5" hidden="1" customHeight="1" x14ac:dyDescent="0.25">
      <c r="A138" s="894" t="s">
        <v>125</v>
      </c>
      <c r="B138" s="894"/>
      <c r="C138" s="473"/>
      <c r="D138" s="473"/>
      <c r="E138" s="473"/>
      <c r="F138" s="473"/>
      <c r="G138" s="473"/>
      <c r="H138" s="473"/>
      <c r="I138" s="398">
        <f>SUM(I135:I137)</f>
        <v>0</v>
      </c>
    </row>
    <row r="139" spans="1:10" hidden="1" x14ac:dyDescent="0.25">
      <c r="A139" s="441"/>
      <c r="B139" s="441"/>
      <c r="C139" s="473"/>
      <c r="D139" s="473"/>
      <c r="E139" s="473"/>
      <c r="F139" s="473"/>
      <c r="G139" s="473"/>
      <c r="H139" s="473"/>
      <c r="I139" s="391"/>
    </row>
    <row r="140" spans="1:10" x14ac:dyDescent="0.25">
      <c r="A140" s="887" t="s">
        <v>545</v>
      </c>
      <c r="B140" s="874"/>
      <c r="C140" s="874"/>
      <c r="D140" s="402"/>
      <c r="E140" s="479" t="s">
        <v>130</v>
      </c>
      <c r="F140" s="909"/>
      <c r="G140" s="909"/>
      <c r="H140" s="909"/>
      <c r="I140" s="482"/>
    </row>
    <row r="141" spans="1:10" x14ac:dyDescent="0.25">
      <c r="B141" s="402"/>
      <c r="C141" s="402"/>
      <c r="D141" s="402"/>
      <c r="E141" s="479"/>
      <c r="F141" s="479"/>
      <c r="G141" s="479"/>
      <c r="H141" s="479"/>
      <c r="I141" s="389"/>
    </row>
    <row r="142" spans="1:10" x14ac:dyDescent="0.25">
      <c r="A142" s="893" t="s">
        <v>125</v>
      </c>
      <c r="B142" s="893"/>
      <c r="C142" s="893"/>
      <c r="D142" s="893"/>
      <c r="E142" s="893"/>
      <c r="F142" s="893"/>
      <c r="G142" s="893"/>
      <c r="H142" s="893"/>
      <c r="I142" s="415">
        <f>SUM('0040:4141'!J107)</f>
        <v>219244697.49999997</v>
      </c>
      <c r="J142" s="480"/>
    </row>
    <row r="143" spans="1:10" x14ac:dyDescent="0.25">
      <c r="A143" s="400"/>
      <c r="B143" s="400"/>
      <c r="C143" s="400"/>
      <c r="D143" s="400"/>
      <c r="E143" s="400"/>
      <c r="F143" s="400"/>
      <c r="G143" s="400"/>
      <c r="H143" s="400"/>
      <c r="I143" s="391"/>
      <c r="J143" s="480"/>
    </row>
    <row r="144" spans="1:10" x14ac:dyDescent="0.25">
      <c r="A144" s="357" t="s">
        <v>464</v>
      </c>
      <c r="B144" s="400"/>
      <c r="C144" s="400"/>
      <c r="D144" s="400"/>
      <c r="E144" s="400"/>
      <c r="F144" s="400"/>
      <c r="G144" s="400"/>
      <c r="H144" s="400"/>
      <c r="I144" s="415">
        <f>SUM('0040:4141'!J109)</f>
        <v>209416513.51999998</v>
      </c>
      <c r="J144" s="480"/>
    </row>
    <row r="145" spans="1:13" x14ac:dyDescent="0.25">
      <c r="A145" s="400"/>
      <c r="B145" s="400"/>
      <c r="C145" s="400"/>
      <c r="D145" s="400"/>
      <c r="E145" s="400"/>
      <c r="F145" s="400"/>
      <c r="G145" s="400"/>
      <c r="H145" s="400"/>
      <c r="I145" s="391"/>
      <c r="J145" s="480"/>
    </row>
    <row r="146" spans="1:13" x14ac:dyDescent="0.25">
      <c r="A146" s="887" t="s">
        <v>465</v>
      </c>
      <c r="B146" s="874"/>
      <c r="C146" s="874"/>
      <c r="D146" s="874"/>
      <c r="E146" s="874"/>
      <c r="F146" s="874"/>
      <c r="G146" s="874"/>
      <c r="H146" s="357" t="s">
        <v>132</v>
      </c>
      <c r="I146" s="481"/>
      <c r="J146" s="480"/>
    </row>
    <row r="147" spans="1:13" x14ac:dyDescent="0.25">
      <c r="A147" s="874" t="s">
        <v>135</v>
      </c>
      <c r="B147" s="874"/>
      <c r="C147" s="874"/>
      <c r="D147" s="874"/>
      <c r="E147" s="874"/>
      <c r="F147" s="874"/>
      <c r="G147" s="874"/>
      <c r="H147" s="482"/>
      <c r="I147" s="415">
        <f>SUM('0040:4141'!J111)</f>
        <v>10397455.210000001</v>
      </c>
    </row>
    <row r="148" spans="1:13" x14ac:dyDescent="0.25">
      <c r="B148" s="402"/>
      <c r="C148" s="402"/>
      <c r="D148" s="402"/>
      <c r="E148" s="402"/>
      <c r="F148" s="402"/>
      <c r="G148" s="402"/>
      <c r="H148" s="473"/>
      <c r="I148" s="391"/>
    </row>
    <row r="149" spans="1:13" x14ac:dyDescent="0.25">
      <c r="A149" s="354" t="s">
        <v>180</v>
      </c>
      <c r="B149" s="402"/>
      <c r="C149" s="402"/>
      <c r="D149" s="402"/>
      <c r="E149" s="402"/>
      <c r="F149" s="402"/>
      <c r="G149" s="483"/>
      <c r="H149" s="484">
        <f>IF(H147=1,I147,I144)</f>
        <v>209416513.51999998</v>
      </c>
      <c r="I149" s="415">
        <f>SUM('0040:4141'!J114)</f>
        <v>-3237778.4599999995</v>
      </c>
    </row>
    <row r="150" spans="1:13" x14ac:dyDescent="0.25">
      <c r="B150" s="402"/>
      <c r="C150" s="402"/>
      <c r="D150" s="402"/>
      <c r="E150" s="402"/>
      <c r="F150" s="402"/>
      <c r="G150" s="402"/>
      <c r="H150" s="473"/>
      <c r="I150" s="391"/>
    </row>
    <row r="151" spans="1:13" x14ac:dyDescent="0.25">
      <c r="A151" s="485" t="s">
        <v>181</v>
      </c>
      <c r="B151" s="486"/>
      <c r="C151" s="486"/>
      <c r="D151" s="486"/>
      <c r="E151" s="486"/>
      <c r="F151" s="486"/>
      <c r="G151" s="486"/>
      <c r="H151" s="487"/>
      <c r="I151" s="488">
        <f>SUM('0040:4141'!J116)</f>
        <v>216006919.03999999</v>
      </c>
    </row>
    <row r="152" spans="1:13" x14ac:dyDescent="0.25">
      <c r="B152" s="402"/>
      <c r="C152" s="402"/>
      <c r="D152" s="402"/>
      <c r="E152" s="402"/>
      <c r="F152" s="402"/>
      <c r="G152" s="402"/>
      <c r="H152" s="473"/>
      <c r="I152" s="391"/>
    </row>
    <row r="153" spans="1:13" x14ac:dyDescent="0.25">
      <c r="A153" s="354" t="s">
        <v>182</v>
      </c>
      <c r="B153" s="402"/>
      <c r="C153" s="489"/>
      <c r="D153" s="402"/>
      <c r="F153" s="402"/>
      <c r="G153" s="402"/>
      <c r="H153" s="473"/>
      <c r="I153" s="490">
        <f>SUM('0040:4141'!J118)</f>
        <v>0</v>
      </c>
      <c r="K153" s="455"/>
    </row>
    <row r="154" spans="1:13" x14ac:dyDescent="0.25">
      <c r="B154" s="402"/>
      <c r="C154" s="402"/>
      <c r="D154" s="402"/>
      <c r="E154" s="402"/>
      <c r="F154" s="402"/>
      <c r="G154" s="402"/>
      <c r="H154" s="473"/>
      <c r="I154" s="391"/>
    </row>
    <row r="155" spans="1:13" x14ac:dyDescent="0.25">
      <c r="A155" s="354" t="s">
        <v>183</v>
      </c>
      <c r="B155" s="402"/>
      <c r="C155" s="402"/>
      <c r="D155" s="402"/>
      <c r="E155" s="402"/>
      <c r="F155" s="402"/>
      <c r="G155" s="402"/>
      <c r="H155" s="473"/>
      <c r="I155" s="391">
        <f>SUM('0040:4141'!J120)</f>
        <v>216006919.03999999</v>
      </c>
    </row>
    <row r="156" spans="1:13" x14ac:dyDescent="0.25">
      <c r="A156" s="354"/>
      <c r="B156" s="402"/>
      <c r="C156" s="402"/>
      <c r="D156" s="402"/>
      <c r="E156" s="402"/>
      <c r="F156" s="402"/>
      <c r="G156" s="402"/>
      <c r="H156" s="473"/>
      <c r="I156" s="391"/>
    </row>
    <row r="157" spans="1:13" x14ac:dyDescent="0.25">
      <c r="A157" s="354" t="s">
        <v>184</v>
      </c>
      <c r="B157" s="402"/>
      <c r="C157" s="402"/>
      <c r="D157" s="402"/>
      <c r="E157" s="402"/>
      <c r="F157" s="402"/>
      <c r="G157" s="402"/>
      <c r="H157" s="473"/>
      <c r="I157" s="705">
        <v>12</v>
      </c>
    </row>
    <row r="158" spans="1:13" x14ac:dyDescent="0.25">
      <c r="B158" s="402"/>
      <c r="C158" s="402"/>
      <c r="D158" s="402"/>
      <c r="E158" s="402"/>
      <c r="F158" s="402"/>
      <c r="G158" s="402"/>
      <c r="H158" s="473"/>
      <c r="I158" s="391"/>
    </row>
    <row r="159" spans="1:13" ht="16.5" thickBot="1" x14ac:dyDescent="0.3">
      <c r="A159" s="354" t="s">
        <v>185</v>
      </c>
      <c r="B159" s="402"/>
      <c r="C159" s="402"/>
      <c r="D159" s="402"/>
      <c r="E159" s="402"/>
      <c r="F159" s="402"/>
      <c r="G159" s="402"/>
      <c r="H159" s="473"/>
      <c r="I159" s="491">
        <f>SUM('0040:4141'!J124)</f>
        <v>18000576.57</v>
      </c>
      <c r="J159" s="455"/>
      <c r="K159" s="459"/>
      <c r="L159" s="459"/>
      <c r="M159" s="459"/>
    </row>
    <row r="160" spans="1:13" s="499" customFormat="1" ht="16.5" thickTop="1" x14ac:dyDescent="0.25">
      <c r="A160" s="492"/>
      <c r="B160" s="492"/>
      <c r="C160" s="493"/>
      <c r="D160" s="494"/>
      <c r="E160" s="495"/>
      <c r="F160" s="370"/>
      <c r="G160" s="496"/>
      <c r="H160" s="497"/>
      <c r="I160" s="498"/>
    </row>
    <row r="161" spans="1:8" x14ac:dyDescent="0.25">
      <c r="A161" s="905" t="s">
        <v>136</v>
      </c>
      <c r="B161" s="905"/>
      <c r="C161" s="905"/>
      <c r="D161" s="905"/>
      <c r="E161" s="905"/>
      <c r="F161" s="905"/>
      <c r="G161" s="905"/>
      <c r="H161" s="905"/>
    </row>
    <row r="162" spans="1:8" ht="26.25" customHeight="1" x14ac:dyDescent="0.25">
      <c r="A162" s="906" t="s">
        <v>466</v>
      </c>
      <c r="B162" s="906"/>
      <c r="C162" s="906"/>
      <c r="D162" s="906"/>
      <c r="E162" s="906"/>
      <c r="F162" s="906"/>
      <c r="G162" s="906"/>
      <c r="H162" s="906"/>
    </row>
    <row r="163" spans="1:8" x14ac:dyDescent="0.25">
      <c r="A163" s="905" t="s">
        <v>467</v>
      </c>
      <c r="B163" s="905"/>
      <c r="C163" s="905"/>
      <c r="D163" s="905"/>
      <c r="E163" s="905"/>
      <c r="F163" s="905"/>
      <c r="G163" s="905"/>
      <c r="H163" s="905"/>
    </row>
    <row r="164" spans="1:8" x14ac:dyDescent="0.25">
      <c r="A164" s="905" t="s">
        <v>468</v>
      </c>
      <c r="B164" s="905"/>
      <c r="C164" s="905"/>
      <c r="D164" s="905"/>
      <c r="E164" s="905"/>
      <c r="F164" s="905"/>
      <c r="G164" s="905"/>
      <c r="H164" s="905"/>
    </row>
    <row r="165" spans="1:8" x14ac:dyDescent="0.25">
      <c r="A165" s="905" t="s">
        <v>469</v>
      </c>
      <c r="B165" s="905"/>
      <c r="C165" s="905"/>
      <c r="D165" s="905"/>
      <c r="E165" s="905"/>
      <c r="F165" s="905"/>
      <c r="G165" s="905"/>
      <c r="H165" s="905"/>
    </row>
    <row r="166" spans="1:8" x14ac:dyDescent="0.25">
      <c r="A166" s="905" t="s">
        <v>470</v>
      </c>
      <c r="B166" s="905"/>
      <c r="C166" s="905"/>
      <c r="D166" s="905"/>
      <c r="E166" s="905"/>
      <c r="F166" s="905"/>
      <c r="G166" s="905"/>
      <c r="H166" s="905"/>
    </row>
    <row r="167" spans="1:8" x14ac:dyDescent="0.25">
      <c r="A167" s="905" t="s">
        <v>471</v>
      </c>
      <c r="B167" s="905"/>
      <c r="C167" s="905"/>
      <c r="D167" s="905"/>
      <c r="E167" s="905"/>
      <c r="F167" s="905"/>
      <c r="G167" s="905"/>
      <c r="H167" s="905"/>
    </row>
    <row r="168" spans="1:8" ht="26.25" customHeight="1" x14ac:dyDescent="0.25">
      <c r="A168" s="906" t="s">
        <v>472</v>
      </c>
      <c r="B168" s="906"/>
      <c r="C168" s="906"/>
      <c r="D168" s="906"/>
      <c r="E168" s="906"/>
      <c r="F168" s="906"/>
      <c r="G168" s="906"/>
      <c r="H168" s="906"/>
    </row>
    <row r="169" spans="1:8" ht="26.25" customHeight="1" x14ac:dyDescent="0.25">
      <c r="A169" s="906" t="s">
        <v>144</v>
      </c>
      <c r="B169" s="906"/>
      <c r="C169" s="906"/>
      <c r="D169" s="906"/>
      <c r="E169" s="906"/>
      <c r="F169" s="906"/>
      <c r="G169" s="906"/>
      <c r="H169" s="906"/>
    </row>
    <row r="170" spans="1:8" ht="26.25" customHeight="1" x14ac:dyDescent="0.25">
      <c r="A170" s="906" t="s">
        <v>473</v>
      </c>
      <c r="B170" s="906"/>
      <c r="C170" s="906"/>
      <c r="D170" s="906"/>
      <c r="E170" s="906"/>
      <c r="F170" s="906"/>
      <c r="G170" s="906"/>
      <c r="H170" s="906"/>
    </row>
    <row r="171" spans="1:8" ht="16.5" customHeight="1" x14ac:dyDescent="0.25">
      <c r="A171" s="500" t="s">
        <v>146</v>
      </c>
      <c r="B171" s="500"/>
      <c r="C171" s="500"/>
      <c r="D171" s="500"/>
      <c r="E171" s="500"/>
      <c r="F171" s="500"/>
      <c r="G171" s="500"/>
      <c r="H171" s="500"/>
    </row>
    <row r="172" spans="1:8" ht="26.25" customHeight="1" x14ac:dyDescent="0.25">
      <c r="A172" s="906" t="s">
        <v>147</v>
      </c>
      <c r="B172" s="906"/>
      <c r="C172" s="906"/>
      <c r="D172" s="906"/>
      <c r="E172" s="906"/>
      <c r="F172" s="906"/>
      <c r="G172" s="906"/>
      <c r="H172" s="906"/>
    </row>
    <row r="173" spans="1:8" ht="26.25" customHeight="1" x14ac:dyDescent="0.25">
      <c r="A173" s="906" t="s">
        <v>148</v>
      </c>
      <c r="B173" s="906"/>
      <c r="C173" s="906"/>
      <c r="D173" s="906"/>
      <c r="E173" s="906"/>
      <c r="F173" s="906"/>
      <c r="G173" s="906"/>
      <c r="H173" s="906"/>
    </row>
    <row r="174" spans="1:8" x14ac:dyDescent="0.25">
      <c r="A174" s="910" t="s">
        <v>149</v>
      </c>
      <c r="B174" s="906"/>
      <c r="C174" s="906"/>
      <c r="D174" s="906"/>
      <c r="E174" s="906"/>
      <c r="F174" s="906"/>
      <c r="G174" s="906"/>
      <c r="H174" s="906"/>
    </row>
    <row r="175" spans="1:8" ht="54.75" customHeight="1" x14ac:dyDescent="0.25">
      <c r="A175" s="911" t="s">
        <v>150</v>
      </c>
      <c r="B175" s="911"/>
      <c r="C175" s="911"/>
      <c r="D175" s="911"/>
      <c r="E175" s="911"/>
      <c r="F175" s="911"/>
      <c r="G175" s="911"/>
      <c r="H175" s="911"/>
    </row>
    <row r="176" spans="1:8" ht="42.75" customHeight="1" x14ac:dyDescent="0.25">
      <c r="A176" s="911" t="s">
        <v>151</v>
      </c>
      <c r="B176" s="911"/>
      <c r="C176" s="911"/>
      <c r="D176" s="911"/>
      <c r="E176" s="911"/>
      <c r="F176" s="911"/>
      <c r="G176" s="911"/>
      <c r="H176" s="911"/>
    </row>
    <row r="177" spans="1:8" x14ac:dyDescent="0.25">
      <c r="A177" s="501"/>
      <c r="B177" s="501"/>
      <c r="C177" s="501"/>
      <c r="D177" s="501"/>
      <c r="E177" s="501"/>
      <c r="F177" s="501"/>
      <c r="G177" s="501"/>
      <c r="H177" s="501"/>
    </row>
    <row r="178" spans="1:8" x14ac:dyDescent="0.25">
      <c r="A178" s="910" t="s">
        <v>152</v>
      </c>
      <c r="B178" s="910"/>
      <c r="C178" s="910"/>
      <c r="D178" s="910"/>
      <c r="E178" s="910"/>
      <c r="F178" s="910"/>
      <c r="G178" s="910"/>
      <c r="H178" s="910"/>
    </row>
    <row r="179" spans="1:8" ht="26.25" customHeight="1" x14ac:dyDescent="0.25">
      <c r="A179" s="911" t="s">
        <v>153</v>
      </c>
      <c r="B179" s="911"/>
      <c r="C179" s="911"/>
      <c r="D179" s="911"/>
      <c r="E179" s="911"/>
      <c r="F179" s="911"/>
      <c r="G179" s="911"/>
      <c r="H179" s="911"/>
    </row>
    <row r="180" spans="1:8" x14ac:dyDescent="0.25">
      <c r="A180" s="912" t="s">
        <v>154</v>
      </c>
      <c r="B180" s="912"/>
      <c r="C180" s="912"/>
      <c r="D180" s="912"/>
      <c r="E180" s="912"/>
      <c r="F180" s="912"/>
      <c r="G180" s="912"/>
      <c r="H180" s="912"/>
    </row>
  </sheetData>
  <mergeCells count="122">
    <mergeCell ref="A178:H178"/>
    <mergeCell ref="A179:H179"/>
    <mergeCell ref="A180:H180"/>
    <mergeCell ref="A96:B96"/>
    <mergeCell ref="E96:I96"/>
    <mergeCell ref="A97:B97"/>
    <mergeCell ref="A170:H170"/>
    <mergeCell ref="A172:H172"/>
    <mergeCell ref="A173:H173"/>
    <mergeCell ref="A174:H174"/>
    <mergeCell ref="A175:H175"/>
    <mergeCell ref="A176:H176"/>
    <mergeCell ref="A164:H164"/>
    <mergeCell ref="A165:H165"/>
    <mergeCell ref="A166:H166"/>
    <mergeCell ref="A167:H167"/>
    <mergeCell ref="A168:H168"/>
    <mergeCell ref="A169:H169"/>
    <mergeCell ref="A142:H142"/>
    <mergeCell ref="A146:G146"/>
    <mergeCell ref="A106:B106"/>
    <mergeCell ref="A99:B99"/>
    <mergeCell ref="A101:B101"/>
    <mergeCell ref="A102:B102"/>
    <mergeCell ref="A147:G147"/>
    <mergeCell ref="A161:H161"/>
    <mergeCell ref="A162:H162"/>
    <mergeCell ref="A163:H163"/>
    <mergeCell ref="A136:B136"/>
    <mergeCell ref="F136:G136"/>
    <mergeCell ref="A137:B137"/>
    <mergeCell ref="F137:G137"/>
    <mergeCell ref="A138:B138"/>
    <mergeCell ref="A140:C140"/>
    <mergeCell ref="F140:H140"/>
    <mergeCell ref="C132:E132"/>
    <mergeCell ref="F133:G133"/>
    <mergeCell ref="A134:B134"/>
    <mergeCell ref="F134:G134"/>
    <mergeCell ref="A135:B135"/>
    <mergeCell ref="F135:G135"/>
    <mergeCell ref="A122:I122"/>
    <mergeCell ref="F124:I124"/>
    <mergeCell ref="A127:B127"/>
    <mergeCell ref="A128:B128"/>
    <mergeCell ref="A131:C131"/>
    <mergeCell ref="F131:I131"/>
    <mergeCell ref="C116:D116"/>
    <mergeCell ref="C117:D117"/>
    <mergeCell ref="C118:D118"/>
    <mergeCell ref="C119:D119"/>
    <mergeCell ref="C120:D120"/>
    <mergeCell ref="C121:D121"/>
    <mergeCell ref="A83:B83"/>
    <mergeCell ref="D83:G83"/>
    <mergeCell ref="A88:C88"/>
    <mergeCell ref="A89:C89"/>
    <mergeCell ref="A108:C108"/>
    <mergeCell ref="A110:C110"/>
    <mergeCell ref="A98:B98"/>
    <mergeCell ref="A74:B74"/>
    <mergeCell ref="D74:G74"/>
    <mergeCell ref="A77:B77"/>
    <mergeCell ref="D77:G77"/>
    <mergeCell ref="A80:B80"/>
    <mergeCell ref="D80:G80"/>
    <mergeCell ref="A42:B42"/>
    <mergeCell ref="A43:B43"/>
    <mergeCell ref="A44:B44"/>
    <mergeCell ref="A59:B67"/>
    <mergeCell ref="F68:H68"/>
    <mergeCell ref="A71:B71"/>
    <mergeCell ref="D71:G71"/>
    <mergeCell ref="F31:G31"/>
    <mergeCell ref="A32:B32"/>
    <mergeCell ref="A38:B38"/>
    <mergeCell ref="A39:B39"/>
    <mergeCell ref="A40:B40"/>
    <mergeCell ref="A41:B41"/>
    <mergeCell ref="A28:B28"/>
    <mergeCell ref="F28:G28"/>
    <mergeCell ref="A29:B29"/>
    <mergeCell ref="F29:G29"/>
    <mergeCell ref="A30:B30"/>
    <mergeCell ref="F30:G30"/>
    <mergeCell ref="A25:B25"/>
    <mergeCell ref="F25:G25"/>
    <mergeCell ref="A26:B26"/>
    <mergeCell ref="F26:G26"/>
    <mergeCell ref="A27:B27"/>
    <mergeCell ref="F27:G27"/>
    <mergeCell ref="A22:B22"/>
    <mergeCell ref="F22:G22"/>
    <mergeCell ref="A23:B23"/>
    <mergeCell ref="F23:G23"/>
    <mergeCell ref="A24:B24"/>
    <mergeCell ref="F24:G24"/>
    <mergeCell ref="A19:B19"/>
    <mergeCell ref="F19:G19"/>
    <mergeCell ref="A20:B20"/>
    <mergeCell ref="F20:G20"/>
    <mergeCell ref="A21:B21"/>
    <mergeCell ref="F21:G21"/>
    <mergeCell ref="A16:B16"/>
    <mergeCell ref="F16:G16"/>
    <mergeCell ref="A17:B17"/>
    <mergeCell ref="F17:G17"/>
    <mergeCell ref="A18:B18"/>
    <mergeCell ref="F18:G18"/>
    <mergeCell ref="A13:B13"/>
    <mergeCell ref="F13:G13"/>
    <mergeCell ref="A14:B14"/>
    <mergeCell ref="F14:G14"/>
    <mergeCell ref="A15:B15"/>
    <mergeCell ref="F15:G15"/>
    <mergeCell ref="B1:I1"/>
    <mergeCell ref="A4:B4"/>
    <mergeCell ref="C4:E4"/>
    <mergeCell ref="F11:G11"/>
    <mergeCell ref="A12:B12"/>
    <mergeCell ref="F12:G12"/>
    <mergeCell ref="A3:J3"/>
  </mergeCells>
  <pageMargins left="0.75" right="0.1" top="0.5" bottom="0.5" header="0" footer="0.1"/>
  <pageSetup scale="65" fitToHeight="2" orientation="portrait" r:id="rId1"/>
  <headerFooter alignWithMargins="0">
    <oddFooter>&amp;L&amp;8&amp;Z&amp;F&amp;R&amp;8&amp;P / &amp;N</oddFooter>
  </headerFooter>
  <rowBreaks count="1" manualBreakCount="1">
    <brk id="84" max="16383" man="1"/>
  </rowBreaks>
  <colBreaks count="1" manualBreakCount="1">
    <brk id="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0092D-181A-4F79-8F72-F64CF179C59D}">
  <sheetPr>
    <tabColor rgb="FFFFC000"/>
    <outlinePr summaryBelow="0" summaryRight="0"/>
  </sheetPr>
  <dimension ref="A1:AA1219"/>
  <sheetViews>
    <sheetView zoomScale="120" zoomScaleNormal="120" workbookViewId="0">
      <pane ySplit="2" topLeftCell="A132" activePane="bottomLeft" state="frozen"/>
      <selection activeCell="B1" sqref="B1"/>
      <selection pane="bottomLeft" activeCell="H147" sqref="H147"/>
    </sheetView>
  </sheetViews>
  <sheetFormatPr defaultColWidth="12.5703125" defaultRowHeight="15.75" customHeight="1" x14ac:dyDescent="0.25"/>
  <cols>
    <col min="1" max="1" width="9.140625"/>
    <col min="2" max="2" width="8.85546875" bestFit="1" customWidth="1"/>
    <col min="3" max="3" width="11.7109375" style="808" customWidth="1"/>
    <col min="4" max="6" width="12.7109375" customWidth="1"/>
    <col min="7" max="7" width="12.5703125" style="718"/>
    <col min="8" max="8" width="8.7109375" style="828" bestFit="1" customWidth="1"/>
    <col min="9" max="9" width="12.5703125" style="815"/>
    <col min="10" max="13" width="12.5703125" style="839"/>
    <col min="14" max="15" width="12.5703125" style="718"/>
    <col min="16" max="16" width="7.7109375" style="718" bestFit="1" customWidth="1"/>
    <col min="17" max="17" width="8.85546875" style="718" customWidth="1"/>
    <col min="18" max="18" width="6.7109375" style="718" customWidth="1"/>
    <col min="19" max="19" width="12.5703125" style="721"/>
    <col min="20" max="20" width="3.7109375" style="721" customWidth="1"/>
    <col min="21" max="21" width="11.85546875" hidden="1" customWidth="1"/>
    <col min="22" max="22" width="9.5703125" customWidth="1"/>
    <col min="23" max="23" width="6.7109375" customWidth="1"/>
    <col min="24" max="24" width="12.5703125" style="721"/>
    <col min="25" max="25" width="3.7109375" style="718" customWidth="1"/>
    <col min="26" max="26" width="10.28515625" style="718" customWidth="1"/>
    <col min="27" max="27" width="12.5703125" style="742"/>
    <col min="28" max="16384" width="12.5703125" style="718"/>
  </cols>
  <sheetData>
    <row r="1" spans="1:27" ht="15.75" customHeight="1" x14ac:dyDescent="0.25">
      <c r="A1" s="816" t="s">
        <v>671</v>
      </c>
      <c r="H1" s="829" t="s">
        <v>672</v>
      </c>
    </row>
    <row r="2" spans="1:27" ht="26.25" x14ac:dyDescent="0.25">
      <c r="A2" s="813" t="s">
        <v>546</v>
      </c>
      <c r="B2" s="813" t="s">
        <v>8</v>
      </c>
      <c r="C2" s="814" t="s">
        <v>664</v>
      </c>
      <c r="D2" s="806" t="s">
        <v>59</v>
      </c>
      <c r="E2" s="806" t="s">
        <v>60</v>
      </c>
      <c r="F2" s="806" t="s">
        <v>61</v>
      </c>
      <c r="H2" s="813" t="s">
        <v>546</v>
      </c>
      <c r="I2" s="813" t="s">
        <v>8</v>
      </c>
      <c r="J2" s="840" t="s">
        <v>664</v>
      </c>
      <c r="K2" s="841" t="s">
        <v>59</v>
      </c>
      <c r="L2" s="841" t="s">
        <v>60</v>
      </c>
      <c r="M2" s="841" t="s">
        <v>61</v>
      </c>
      <c r="P2" s="714" t="s">
        <v>645</v>
      </c>
      <c r="Q2" s="715" t="s">
        <v>646</v>
      </c>
      <c r="R2" s="729" t="s">
        <v>647</v>
      </c>
      <c r="S2" s="716" t="s">
        <v>648</v>
      </c>
      <c r="T2" s="717"/>
      <c r="U2" s="722" t="s">
        <v>645</v>
      </c>
      <c r="V2" s="723" t="s">
        <v>646</v>
      </c>
      <c r="W2" s="728" t="s">
        <v>647</v>
      </c>
      <c r="X2" s="716" t="s">
        <v>649</v>
      </c>
      <c r="Z2" s="723" t="s">
        <v>646</v>
      </c>
      <c r="AA2" s="723" t="s">
        <v>54</v>
      </c>
    </row>
    <row r="3" spans="1:27" ht="15" x14ac:dyDescent="0.25">
      <c r="A3" s="807" t="s">
        <v>271</v>
      </c>
      <c r="B3">
        <v>102</v>
      </c>
      <c r="C3" s="808">
        <v>6.75</v>
      </c>
      <c r="D3" s="809">
        <v>0</v>
      </c>
      <c r="E3" s="810">
        <v>6.75</v>
      </c>
      <c r="F3" s="808">
        <v>0</v>
      </c>
      <c r="H3" s="828" t="s">
        <v>271</v>
      </c>
      <c r="I3" s="815">
        <v>102</v>
      </c>
      <c r="J3" s="839">
        <v>7.5</v>
      </c>
      <c r="K3" s="839">
        <v>0</v>
      </c>
      <c r="L3" s="839">
        <v>7.5</v>
      </c>
      <c r="M3" s="839">
        <v>0</v>
      </c>
      <c r="P3" s="719">
        <v>11</v>
      </c>
      <c r="Q3" s="719" t="str">
        <f t="shared" ref="Q3:Q66" si="0">TEXT(P3,"0000")</f>
        <v>0011</v>
      </c>
      <c r="R3" s="719">
        <v>101</v>
      </c>
      <c r="S3" s="720">
        <v>126.5</v>
      </c>
      <c r="T3" s="720"/>
      <c r="U3" s="724">
        <v>11</v>
      </c>
      <c r="V3" s="724" t="str">
        <f>TEXT(U3,"0000")</f>
        <v>0011</v>
      </c>
      <c r="W3" s="724">
        <v>101</v>
      </c>
      <c r="X3" s="720">
        <v>123.96</v>
      </c>
      <c r="Z3" s="741" t="s">
        <v>271</v>
      </c>
      <c r="AA3" s="742">
        <f t="shared" ref="AA3:AA34" si="1">SUMIF(Q:Q,Z3,S:S)+SUMIF(V:V,Z3,X:X)</f>
        <v>23.72</v>
      </c>
    </row>
    <row r="4" spans="1:27" ht="15" x14ac:dyDescent="0.25">
      <c r="A4" s="807" t="s">
        <v>271</v>
      </c>
      <c r="B4">
        <v>112</v>
      </c>
      <c r="C4" s="808">
        <v>3.5</v>
      </c>
      <c r="D4" s="809">
        <v>0</v>
      </c>
      <c r="E4" s="810">
        <v>3.5</v>
      </c>
      <c r="F4" s="808">
        <v>0</v>
      </c>
      <c r="H4" s="828" t="s">
        <v>271</v>
      </c>
      <c r="I4" s="815">
        <v>112</v>
      </c>
      <c r="J4" s="839">
        <v>3.97</v>
      </c>
      <c r="K4" s="839">
        <v>0</v>
      </c>
      <c r="L4" s="839">
        <v>3.97</v>
      </c>
      <c r="M4" s="839">
        <v>0</v>
      </c>
      <c r="P4" s="719">
        <v>11</v>
      </c>
      <c r="Q4" s="719" t="str">
        <f t="shared" si="0"/>
        <v>0011</v>
      </c>
      <c r="R4" s="719">
        <v>102</v>
      </c>
      <c r="S4" s="720">
        <v>148.52000000000001</v>
      </c>
      <c r="T4" s="720"/>
      <c r="U4" s="724">
        <v>11</v>
      </c>
      <c r="V4" s="724" t="str">
        <f t="shared" ref="V4:V67" si="2">TEXT(U4,"0000")</f>
        <v>0011</v>
      </c>
      <c r="W4" s="724">
        <v>102</v>
      </c>
      <c r="X4" s="720">
        <v>147.49</v>
      </c>
      <c r="Z4" s="741" t="s">
        <v>611</v>
      </c>
      <c r="AA4" s="742">
        <f t="shared" si="1"/>
        <v>126.00000000000001</v>
      </c>
    </row>
    <row r="5" spans="1:27" ht="15" x14ac:dyDescent="0.25">
      <c r="A5" s="807" t="s">
        <v>271</v>
      </c>
      <c r="B5">
        <v>130</v>
      </c>
      <c r="C5" s="808">
        <v>1.25</v>
      </c>
      <c r="D5" s="809">
        <v>0</v>
      </c>
      <c r="E5" s="810">
        <v>1.25</v>
      </c>
      <c r="F5" s="808">
        <v>0</v>
      </c>
      <c r="H5" s="828" t="s">
        <v>271</v>
      </c>
      <c r="I5" s="815">
        <v>130</v>
      </c>
      <c r="J5" s="839">
        <v>0.84</v>
      </c>
      <c r="K5" s="839">
        <v>0</v>
      </c>
      <c r="L5" s="839">
        <v>0.84</v>
      </c>
      <c r="M5" s="839">
        <v>0</v>
      </c>
      <c r="P5" s="719">
        <v>11</v>
      </c>
      <c r="Q5" s="719" t="str">
        <f t="shared" si="0"/>
        <v>0011</v>
      </c>
      <c r="R5" s="719">
        <v>111</v>
      </c>
      <c r="S5" s="720">
        <v>60.45</v>
      </c>
      <c r="T5" s="720"/>
      <c r="U5" s="724">
        <v>11</v>
      </c>
      <c r="V5" s="724" t="str">
        <f t="shared" si="2"/>
        <v>0011</v>
      </c>
      <c r="W5" s="724">
        <v>111</v>
      </c>
      <c r="X5" s="720">
        <v>63.55</v>
      </c>
      <c r="Z5" s="741" t="s">
        <v>273</v>
      </c>
      <c r="AA5" s="742">
        <f t="shared" si="1"/>
        <v>27</v>
      </c>
    </row>
    <row r="6" spans="1:27" ht="15" x14ac:dyDescent="0.25">
      <c r="A6" s="807" t="s">
        <v>273</v>
      </c>
      <c r="B6">
        <v>113</v>
      </c>
      <c r="C6" s="808">
        <v>0.5</v>
      </c>
      <c r="D6" s="809">
        <v>0</v>
      </c>
      <c r="E6" s="810">
        <v>0</v>
      </c>
      <c r="F6" s="808">
        <v>0.5</v>
      </c>
      <c r="H6" s="828" t="s">
        <v>273</v>
      </c>
      <c r="I6" s="815">
        <v>254</v>
      </c>
      <c r="J6" s="839">
        <v>9</v>
      </c>
      <c r="K6" s="839">
        <v>0</v>
      </c>
      <c r="L6" s="839">
        <v>0</v>
      </c>
      <c r="M6" s="839">
        <v>9</v>
      </c>
      <c r="P6" s="719">
        <v>11</v>
      </c>
      <c r="Q6" s="719" t="str">
        <f t="shared" si="0"/>
        <v>0011</v>
      </c>
      <c r="R6" s="719">
        <v>112</v>
      </c>
      <c r="S6" s="720">
        <v>50.5</v>
      </c>
      <c r="T6" s="720"/>
      <c r="U6" s="724">
        <v>11</v>
      </c>
      <c r="V6" s="724" t="str">
        <f t="shared" si="2"/>
        <v>0011</v>
      </c>
      <c r="W6" s="724">
        <v>112</v>
      </c>
      <c r="X6" s="720">
        <v>50.23</v>
      </c>
      <c r="Z6" s="741" t="s">
        <v>275</v>
      </c>
      <c r="AA6" s="742">
        <f t="shared" si="1"/>
        <v>830.3900000000001</v>
      </c>
    </row>
    <row r="7" spans="1:27" ht="15" x14ac:dyDescent="0.25">
      <c r="A7" s="807" t="s">
        <v>273</v>
      </c>
      <c r="B7">
        <v>254</v>
      </c>
      <c r="C7" s="808">
        <v>10</v>
      </c>
      <c r="D7" s="809">
        <v>0</v>
      </c>
      <c r="E7" s="810">
        <v>0</v>
      </c>
      <c r="F7" s="808">
        <v>10</v>
      </c>
      <c r="H7" s="828" t="s">
        <v>273</v>
      </c>
      <c r="I7" s="815">
        <v>255</v>
      </c>
      <c r="J7" s="839">
        <v>4.5</v>
      </c>
      <c r="K7" s="839">
        <v>0</v>
      </c>
      <c r="L7" s="839">
        <v>0</v>
      </c>
      <c r="M7" s="839">
        <v>4.5</v>
      </c>
      <c r="P7" s="719">
        <v>11</v>
      </c>
      <c r="Q7" s="719" t="str">
        <f t="shared" si="0"/>
        <v>0011</v>
      </c>
      <c r="R7" s="719">
        <v>130</v>
      </c>
      <c r="S7" s="720">
        <v>37.630000000000003</v>
      </c>
      <c r="T7" s="720"/>
      <c r="U7" s="724">
        <v>11</v>
      </c>
      <c r="V7" s="724" t="str">
        <f t="shared" si="2"/>
        <v>0011</v>
      </c>
      <c r="W7" s="724">
        <v>130</v>
      </c>
      <c r="X7" s="720">
        <v>34.42</v>
      </c>
      <c r="Z7" s="741" t="s">
        <v>277</v>
      </c>
      <c r="AA7" s="742">
        <f t="shared" si="1"/>
        <v>1103.25</v>
      </c>
    </row>
    <row r="8" spans="1:27" ht="15" x14ac:dyDescent="0.25">
      <c r="A8" s="807" t="s">
        <v>273</v>
      </c>
      <c r="B8">
        <v>255</v>
      </c>
      <c r="C8" s="808">
        <v>3</v>
      </c>
      <c r="D8" s="809">
        <v>0</v>
      </c>
      <c r="E8" s="810">
        <v>0</v>
      </c>
      <c r="F8" s="808">
        <v>3</v>
      </c>
      <c r="H8" s="828" t="s">
        <v>611</v>
      </c>
      <c r="I8" s="815">
        <v>102</v>
      </c>
      <c r="J8" s="839">
        <v>2.56</v>
      </c>
      <c r="K8" s="839">
        <v>0</v>
      </c>
      <c r="L8" s="839">
        <v>2.56</v>
      </c>
      <c r="M8" s="839">
        <v>0</v>
      </c>
      <c r="P8" s="719">
        <v>11</v>
      </c>
      <c r="Q8" s="719" t="str">
        <f t="shared" si="0"/>
        <v>0011</v>
      </c>
      <c r="R8" s="719">
        <v>254</v>
      </c>
      <c r="S8" s="720">
        <v>1</v>
      </c>
      <c r="T8" s="720"/>
      <c r="U8" s="724">
        <v>11</v>
      </c>
      <c r="V8" s="724" t="str">
        <f t="shared" si="2"/>
        <v>0011</v>
      </c>
      <c r="W8" s="724">
        <v>254</v>
      </c>
      <c r="X8" s="720">
        <v>1</v>
      </c>
      <c r="Z8" s="741" t="s">
        <v>279</v>
      </c>
      <c r="AA8" s="742">
        <f t="shared" si="1"/>
        <v>73.599999999999994</v>
      </c>
    </row>
    <row r="9" spans="1:27" ht="15" x14ac:dyDescent="0.25">
      <c r="A9" s="807" t="s">
        <v>611</v>
      </c>
      <c r="B9">
        <v>102</v>
      </c>
      <c r="C9" s="808">
        <v>2.9000000000000004</v>
      </c>
      <c r="D9" s="809">
        <v>0</v>
      </c>
      <c r="E9" s="810">
        <v>2.9000000000000004</v>
      </c>
      <c r="F9" s="808">
        <v>0</v>
      </c>
      <c r="H9" s="828" t="s">
        <v>611</v>
      </c>
      <c r="I9" s="815">
        <v>103</v>
      </c>
      <c r="J9" s="839">
        <v>54.84</v>
      </c>
      <c r="K9" s="839">
        <v>0</v>
      </c>
      <c r="L9" s="839">
        <v>0</v>
      </c>
      <c r="M9" s="839">
        <v>54.84</v>
      </c>
      <c r="P9" s="719">
        <v>11</v>
      </c>
      <c r="Q9" s="719" t="str">
        <f t="shared" si="0"/>
        <v>0011</v>
      </c>
      <c r="R9" s="719">
        <v>255</v>
      </c>
      <c r="S9" s="720">
        <v>0.48</v>
      </c>
      <c r="T9" s="720"/>
      <c r="U9" s="724">
        <v>12</v>
      </c>
      <c r="V9" s="724" t="str">
        <f t="shared" si="2"/>
        <v>0012</v>
      </c>
      <c r="W9" s="724">
        <v>101</v>
      </c>
      <c r="X9" s="720">
        <v>118.16</v>
      </c>
      <c r="Z9" s="741" t="s">
        <v>281</v>
      </c>
      <c r="AA9" s="742">
        <f t="shared" si="1"/>
        <v>48.5</v>
      </c>
    </row>
    <row r="10" spans="1:27" ht="15" x14ac:dyDescent="0.25">
      <c r="A10" s="807" t="s">
        <v>611</v>
      </c>
      <c r="B10">
        <v>103</v>
      </c>
      <c r="C10" s="808">
        <v>26.72</v>
      </c>
      <c r="D10" s="809">
        <v>0</v>
      </c>
      <c r="E10" s="810">
        <v>0</v>
      </c>
      <c r="F10" s="808">
        <v>26.72</v>
      </c>
      <c r="H10" s="828" t="s">
        <v>611</v>
      </c>
      <c r="I10" s="815">
        <v>112</v>
      </c>
      <c r="J10" s="839">
        <v>0.48</v>
      </c>
      <c r="K10" s="839">
        <v>0</v>
      </c>
      <c r="L10" s="839">
        <v>0.48</v>
      </c>
      <c r="M10" s="839">
        <v>0</v>
      </c>
      <c r="P10" s="719">
        <v>12</v>
      </c>
      <c r="Q10" s="719" t="str">
        <f t="shared" si="0"/>
        <v>0012</v>
      </c>
      <c r="R10" s="719">
        <v>101</v>
      </c>
      <c r="S10" s="720">
        <v>118.76</v>
      </c>
      <c r="T10" s="720"/>
      <c r="U10" s="724">
        <v>12</v>
      </c>
      <c r="V10" s="724" t="str">
        <f t="shared" si="2"/>
        <v>0012</v>
      </c>
      <c r="W10" s="724">
        <v>102</v>
      </c>
      <c r="X10" s="720">
        <v>49.82</v>
      </c>
      <c r="Z10" s="741">
        <v>2791</v>
      </c>
      <c r="AA10" s="742">
        <f t="shared" si="1"/>
        <v>173.06</v>
      </c>
    </row>
    <row r="11" spans="1:27" ht="15" x14ac:dyDescent="0.25">
      <c r="A11" s="807" t="s">
        <v>611</v>
      </c>
      <c r="B11">
        <v>112</v>
      </c>
      <c r="C11" s="808">
        <v>0.5</v>
      </c>
      <c r="D11" s="809">
        <v>0</v>
      </c>
      <c r="E11" s="810">
        <v>0.5</v>
      </c>
      <c r="F11" s="808">
        <v>0</v>
      </c>
      <c r="H11" s="828" t="s">
        <v>611</v>
      </c>
      <c r="I11" s="815">
        <v>113</v>
      </c>
      <c r="J11" s="839">
        <v>20.599999999999998</v>
      </c>
      <c r="K11" s="839">
        <v>0</v>
      </c>
      <c r="L11" s="839">
        <v>0</v>
      </c>
      <c r="M11" s="839">
        <v>20.599999999999998</v>
      </c>
      <c r="P11" s="719">
        <v>12</v>
      </c>
      <c r="Q11" s="719" t="str">
        <f t="shared" si="0"/>
        <v>0012</v>
      </c>
      <c r="R11" s="719">
        <v>102</v>
      </c>
      <c r="S11" s="720">
        <v>51.34</v>
      </c>
      <c r="T11" s="720"/>
      <c r="U11" s="724">
        <v>12</v>
      </c>
      <c r="V11" s="724" t="str">
        <f t="shared" si="2"/>
        <v>0012</v>
      </c>
      <c r="W11" s="724">
        <v>111</v>
      </c>
      <c r="X11" s="720">
        <v>30.09</v>
      </c>
      <c r="Z11" s="741" t="s">
        <v>285</v>
      </c>
      <c r="AA11" s="742">
        <f t="shared" si="1"/>
        <v>555.49</v>
      </c>
    </row>
    <row r="12" spans="1:27" ht="15" x14ac:dyDescent="0.25">
      <c r="A12" s="807" t="s">
        <v>611</v>
      </c>
      <c r="B12">
        <v>113</v>
      </c>
      <c r="C12" s="808">
        <v>9.43</v>
      </c>
      <c r="D12" s="809">
        <v>0</v>
      </c>
      <c r="E12" s="810">
        <v>0</v>
      </c>
      <c r="F12" s="808">
        <v>9.43</v>
      </c>
      <c r="H12" s="828" t="s">
        <v>611</v>
      </c>
      <c r="I12" s="815">
        <v>130</v>
      </c>
      <c r="J12" s="839">
        <v>5.25</v>
      </c>
      <c r="K12" s="839">
        <v>0</v>
      </c>
      <c r="L12" s="839">
        <v>0.4</v>
      </c>
      <c r="M12" s="839">
        <v>4.8499999999999996</v>
      </c>
      <c r="P12" s="719">
        <v>12</v>
      </c>
      <c r="Q12" s="719" t="str">
        <f t="shared" si="0"/>
        <v>0012</v>
      </c>
      <c r="R12" s="719">
        <v>111</v>
      </c>
      <c r="S12" s="720">
        <v>31.52</v>
      </c>
      <c r="T12" s="720"/>
      <c r="U12" s="724">
        <v>12</v>
      </c>
      <c r="V12" s="724" t="str">
        <f t="shared" si="2"/>
        <v>0012</v>
      </c>
      <c r="W12" s="724">
        <v>112</v>
      </c>
      <c r="X12" s="720">
        <v>10.5</v>
      </c>
      <c r="Z12" s="741" t="s">
        <v>287</v>
      </c>
      <c r="AA12" s="742">
        <f t="shared" si="1"/>
        <v>778.53</v>
      </c>
    </row>
    <row r="13" spans="1:27" ht="15" x14ac:dyDescent="0.25">
      <c r="A13" s="807" t="s">
        <v>611</v>
      </c>
      <c r="B13">
        <v>130</v>
      </c>
      <c r="C13" s="808">
        <v>1.5</v>
      </c>
      <c r="D13" s="809">
        <v>0</v>
      </c>
      <c r="E13" s="810">
        <v>0.6</v>
      </c>
      <c r="F13" s="808">
        <v>0.9</v>
      </c>
      <c r="H13" s="828" t="s">
        <v>611</v>
      </c>
      <c r="I13" s="815">
        <v>300</v>
      </c>
      <c r="J13" s="839">
        <v>0.76</v>
      </c>
      <c r="K13" s="839">
        <v>0</v>
      </c>
      <c r="L13" s="839">
        <v>0</v>
      </c>
      <c r="M13" s="839">
        <v>0.76</v>
      </c>
      <c r="P13" s="719">
        <v>12</v>
      </c>
      <c r="Q13" s="719" t="str">
        <f t="shared" si="0"/>
        <v>0012</v>
      </c>
      <c r="R13" s="719">
        <v>112</v>
      </c>
      <c r="S13" s="720">
        <v>11.74</v>
      </c>
      <c r="T13" s="720"/>
      <c r="U13" s="724">
        <v>12</v>
      </c>
      <c r="V13" s="724" t="str">
        <f t="shared" si="2"/>
        <v>0012</v>
      </c>
      <c r="W13" s="724">
        <v>130</v>
      </c>
      <c r="X13" s="720">
        <v>107.54</v>
      </c>
      <c r="Z13" s="741" t="s">
        <v>289</v>
      </c>
      <c r="AA13" s="742">
        <f t="shared" si="1"/>
        <v>380.16999999999996</v>
      </c>
    </row>
    <row r="14" spans="1:27" ht="15" x14ac:dyDescent="0.25">
      <c r="A14" s="807" t="s">
        <v>275</v>
      </c>
      <c r="B14">
        <v>102</v>
      </c>
      <c r="C14" s="808">
        <v>73.38</v>
      </c>
      <c r="D14" s="809">
        <v>0</v>
      </c>
      <c r="E14" s="810">
        <v>73.38</v>
      </c>
      <c r="F14" s="808">
        <v>0</v>
      </c>
      <c r="H14" s="828" t="s">
        <v>275</v>
      </c>
      <c r="I14" s="815">
        <v>102</v>
      </c>
      <c r="J14" s="839">
        <v>70.099999999999994</v>
      </c>
      <c r="K14" s="839">
        <v>0</v>
      </c>
      <c r="L14" s="839">
        <v>70.099999999999994</v>
      </c>
      <c r="M14" s="839">
        <v>0</v>
      </c>
      <c r="P14" s="719">
        <v>12</v>
      </c>
      <c r="Q14" s="719" t="str">
        <f t="shared" si="0"/>
        <v>0012</v>
      </c>
      <c r="R14" s="719">
        <v>130</v>
      </c>
      <c r="S14" s="720">
        <v>109.08</v>
      </c>
      <c r="T14" s="720"/>
      <c r="U14" s="724">
        <v>12</v>
      </c>
      <c r="V14" s="724" t="str">
        <f t="shared" si="2"/>
        <v>0012</v>
      </c>
      <c r="W14" s="724">
        <v>254</v>
      </c>
      <c r="X14" s="720">
        <v>0.54</v>
      </c>
      <c r="Z14" s="741" t="s">
        <v>291</v>
      </c>
      <c r="AA14" s="742">
        <f t="shared" si="1"/>
        <v>179.39</v>
      </c>
    </row>
    <row r="15" spans="1:27" ht="15" x14ac:dyDescent="0.25">
      <c r="A15" s="807" t="s">
        <v>275</v>
      </c>
      <c r="B15">
        <v>103</v>
      </c>
      <c r="C15" s="808">
        <v>206.34</v>
      </c>
      <c r="D15" s="809">
        <v>0</v>
      </c>
      <c r="E15" s="810">
        <v>0</v>
      </c>
      <c r="F15" s="808">
        <v>206.34</v>
      </c>
      <c r="H15" s="828" t="s">
        <v>275</v>
      </c>
      <c r="I15" s="815">
        <v>103</v>
      </c>
      <c r="J15" s="839">
        <v>203.7</v>
      </c>
      <c r="K15" s="839">
        <v>0</v>
      </c>
      <c r="L15" s="839">
        <v>0</v>
      </c>
      <c r="M15" s="839">
        <v>203.7</v>
      </c>
      <c r="P15" s="719">
        <v>12</v>
      </c>
      <c r="Q15" s="719" t="str">
        <f t="shared" si="0"/>
        <v>0012</v>
      </c>
      <c r="R15" s="719">
        <v>254</v>
      </c>
      <c r="S15" s="720">
        <v>0.28999999999999998</v>
      </c>
      <c r="T15" s="720"/>
      <c r="U15" s="724">
        <v>21</v>
      </c>
      <c r="V15" s="724" t="str">
        <f t="shared" si="2"/>
        <v>0021</v>
      </c>
      <c r="W15" s="724">
        <v>102</v>
      </c>
      <c r="X15" s="720">
        <v>373.67</v>
      </c>
      <c r="Z15" s="741" t="s">
        <v>293</v>
      </c>
      <c r="AA15" s="742">
        <f t="shared" si="1"/>
        <v>83</v>
      </c>
    </row>
    <row r="16" spans="1:27" ht="15" x14ac:dyDescent="0.25">
      <c r="A16" s="807" t="s">
        <v>275</v>
      </c>
      <c r="B16">
        <v>112</v>
      </c>
      <c r="C16" s="808">
        <v>10</v>
      </c>
      <c r="D16" s="809">
        <v>0</v>
      </c>
      <c r="E16" s="810">
        <v>10</v>
      </c>
      <c r="F16" s="808">
        <v>0</v>
      </c>
      <c r="H16" s="828" t="s">
        <v>275</v>
      </c>
      <c r="I16" s="815">
        <v>112</v>
      </c>
      <c r="J16" s="839">
        <v>10.01</v>
      </c>
      <c r="K16" s="839">
        <v>0</v>
      </c>
      <c r="L16" s="839">
        <v>10.01</v>
      </c>
      <c r="M16" s="839">
        <v>0</v>
      </c>
      <c r="P16" s="719">
        <v>21</v>
      </c>
      <c r="Q16" s="719" t="str">
        <f t="shared" si="0"/>
        <v>0021</v>
      </c>
      <c r="R16" s="719">
        <v>102</v>
      </c>
      <c r="S16" s="720">
        <v>377.79</v>
      </c>
      <c r="T16" s="720"/>
      <c r="U16" s="724">
        <v>21</v>
      </c>
      <c r="V16" s="724" t="str">
        <f t="shared" si="2"/>
        <v>0021</v>
      </c>
      <c r="W16" s="724">
        <v>112</v>
      </c>
      <c r="X16" s="720">
        <v>121.95</v>
      </c>
      <c r="Z16" s="741">
        <v>3362</v>
      </c>
      <c r="AA16" s="742">
        <f t="shared" si="1"/>
        <v>160.99</v>
      </c>
    </row>
    <row r="17" spans="1:27" ht="15" x14ac:dyDescent="0.25">
      <c r="A17" s="807" t="s">
        <v>275</v>
      </c>
      <c r="B17">
        <v>113</v>
      </c>
      <c r="C17" s="808">
        <v>34.840000000000003</v>
      </c>
      <c r="D17" s="809">
        <v>0</v>
      </c>
      <c r="E17" s="810">
        <v>0</v>
      </c>
      <c r="F17" s="808">
        <v>34.840000000000003</v>
      </c>
      <c r="H17" s="828" t="s">
        <v>275</v>
      </c>
      <c r="I17" s="815">
        <v>113</v>
      </c>
      <c r="J17" s="839">
        <v>32.42</v>
      </c>
      <c r="K17" s="839">
        <v>0</v>
      </c>
      <c r="L17" s="839">
        <v>0</v>
      </c>
      <c r="M17" s="839">
        <v>32.42</v>
      </c>
      <c r="P17" s="719">
        <v>21</v>
      </c>
      <c r="Q17" s="719" t="str">
        <f t="shared" si="0"/>
        <v>0021</v>
      </c>
      <c r="R17" s="719">
        <v>112</v>
      </c>
      <c r="S17" s="720">
        <v>124.47</v>
      </c>
      <c r="T17" s="720"/>
      <c r="U17" s="724">
        <v>21</v>
      </c>
      <c r="V17" s="724" t="str">
        <f t="shared" si="2"/>
        <v>0021</v>
      </c>
      <c r="W17" s="724">
        <v>130</v>
      </c>
      <c r="X17" s="720">
        <v>80.44</v>
      </c>
      <c r="Z17" s="741" t="s">
        <v>295</v>
      </c>
      <c r="AA17" s="742">
        <f t="shared" si="1"/>
        <v>1049.8400000000001</v>
      </c>
    </row>
    <row r="18" spans="1:27" ht="15" x14ac:dyDescent="0.25">
      <c r="A18" s="807" t="s">
        <v>275</v>
      </c>
      <c r="B18">
        <v>130</v>
      </c>
      <c r="C18" s="808">
        <v>10.14</v>
      </c>
      <c r="D18" s="809">
        <v>0</v>
      </c>
      <c r="E18" s="810">
        <v>2.63</v>
      </c>
      <c r="F18" s="808">
        <v>7.51</v>
      </c>
      <c r="H18" s="828" t="s">
        <v>275</v>
      </c>
      <c r="I18" s="815">
        <v>130</v>
      </c>
      <c r="J18" s="839">
        <v>9.6699999999999982</v>
      </c>
      <c r="K18" s="839">
        <v>0</v>
      </c>
      <c r="L18" s="839">
        <v>1.5</v>
      </c>
      <c r="M18" s="839">
        <v>8.17</v>
      </c>
      <c r="P18" s="719">
        <v>21</v>
      </c>
      <c r="Q18" s="719" t="str">
        <f t="shared" si="0"/>
        <v>0021</v>
      </c>
      <c r="R18" s="719">
        <v>130</v>
      </c>
      <c r="S18" s="720">
        <v>82.3</v>
      </c>
      <c r="T18" s="720"/>
      <c r="U18" s="724">
        <v>21</v>
      </c>
      <c r="V18" s="724" t="str">
        <f t="shared" si="2"/>
        <v>0021</v>
      </c>
      <c r="W18" s="724">
        <v>254</v>
      </c>
      <c r="X18" s="720">
        <v>1</v>
      </c>
      <c r="Z18" s="741" t="s">
        <v>297</v>
      </c>
      <c r="AA18" s="742">
        <f t="shared" si="1"/>
        <v>261.71000000000004</v>
      </c>
    </row>
    <row r="19" spans="1:27" ht="15" x14ac:dyDescent="0.25">
      <c r="A19" s="807" t="s">
        <v>275</v>
      </c>
      <c r="B19">
        <v>300</v>
      </c>
      <c r="C19" s="808">
        <v>88.4</v>
      </c>
      <c r="D19" s="809">
        <v>0</v>
      </c>
      <c r="E19" s="810">
        <v>0</v>
      </c>
      <c r="F19" s="808">
        <v>88.4</v>
      </c>
      <c r="H19" s="828" t="s">
        <v>275</v>
      </c>
      <c r="I19" s="815">
        <v>300</v>
      </c>
      <c r="J19" s="839">
        <v>79.33</v>
      </c>
      <c r="K19" s="839">
        <v>0</v>
      </c>
      <c r="L19" s="839">
        <v>0</v>
      </c>
      <c r="M19" s="839">
        <v>79.33</v>
      </c>
      <c r="P19" s="719">
        <v>21</v>
      </c>
      <c r="Q19" s="719" t="str">
        <f t="shared" si="0"/>
        <v>0021</v>
      </c>
      <c r="R19" s="719">
        <v>254</v>
      </c>
      <c r="S19" s="720">
        <v>1</v>
      </c>
      <c r="T19" s="720"/>
      <c r="U19" s="724">
        <v>31</v>
      </c>
      <c r="V19" s="724" t="str">
        <f t="shared" si="2"/>
        <v>0031</v>
      </c>
      <c r="W19" s="724">
        <v>101</v>
      </c>
      <c r="X19" s="720">
        <v>105.44</v>
      </c>
      <c r="Z19" s="741" t="s">
        <v>299</v>
      </c>
      <c r="AA19" s="742">
        <f t="shared" si="1"/>
        <v>0</v>
      </c>
    </row>
    <row r="20" spans="1:27" ht="15" x14ac:dyDescent="0.25">
      <c r="A20" s="807" t="s">
        <v>277</v>
      </c>
      <c r="B20">
        <v>103</v>
      </c>
      <c r="C20" s="808">
        <v>286.32</v>
      </c>
      <c r="D20" s="809">
        <v>0</v>
      </c>
      <c r="E20" s="810">
        <v>0</v>
      </c>
      <c r="F20" s="808">
        <v>286.32</v>
      </c>
      <c r="H20" s="828" t="s">
        <v>277</v>
      </c>
      <c r="I20" s="815">
        <v>102</v>
      </c>
      <c r="J20" s="839">
        <v>0.11</v>
      </c>
      <c r="K20" s="839">
        <v>0</v>
      </c>
      <c r="L20" s="839">
        <v>0.11</v>
      </c>
      <c r="M20" s="839">
        <v>0</v>
      </c>
      <c r="P20" s="719">
        <v>31</v>
      </c>
      <c r="Q20" s="719" t="str">
        <f t="shared" si="0"/>
        <v>0031</v>
      </c>
      <c r="R20" s="719">
        <v>101</v>
      </c>
      <c r="S20" s="720">
        <v>123.31</v>
      </c>
      <c r="T20" s="720"/>
      <c r="U20" s="724">
        <v>31</v>
      </c>
      <c r="V20" s="724" t="str">
        <f t="shared" si="2"/>
        <v>0031</v>
      </c>
      <c r="W20" s="724">
        <v>102</v>
      </c>
      <c r="X20" s="720">
        <v>60.95</v>
      </c>
      <c r="Z20" s="741" t="s">
        <v>301</v>
      </c>
      <c r="AA20" s="742">
        <f t="shared" si="1"/>
        <v>192.97</v>
      </c>
    </row>
    <row r="21" spans="1:27" ht="15" x14ac:dyDescent="0.25">
      <c r="A21" s="807" t="s">
        <v>277</v>
      </c>
      <c r="B21">
        <v>113</v>
      </c>
      <c r="C21" s="808">
        <v>144.73000000000002</v>
      </c>
      <c r="D21" s="809">
        <v>0</v>
      </c>
      <c r="E21" s="810">
        <v>0</v>
      </c>
      <c r="F21" s="808">
        <v>144.73000000000002</v>
      </c>
      <c r="H21" s="828" t="s">
        <v>277</v>
      </c>
      <c r="I21" s="815">
        <v>103</v>
      </c>
      <c r="J21" s="839">
        <v>273.25</v>
      </c>
      <c r="K21" s="839">
        <v>0</v>
      </c>
      <c r="L21" s="839">
        <v>0</v>
      </c>
      <c r="M21" s="839">
        <v>273.25</v>
      </c>
      <c r="P21" s="719">
        <v>31</v>
      </c>
      <c r="Q21" s="719" t="str">
        <f t="shared" si="0"/>
        <v>0031</v>
      </c>
      <c r="R21" s="719">
        <v>102</v>
      </c>
      <c r="S21" s="720">
        <v>62.45</v>
      </c>
      <c r="T21" s="720"/>
      <c r="U21" s="724">
        <v>31</v>
      </c>
      <c r="V21" s="724" t="str">
        <f t="shared" si="2"/>
        <v>0031</v>
      </c>
      <c r="W21" s="724">
        <v>111</v>
      </c>
      <c r="X21" s="720">
        <v>108.3</v>
      </c>
      <c r="Z21" s="741" t="s">
        <v>303</v>
      </c>
      <c r="AA21" s="742">
        <f t="shared" si="1"/>
        <v>537</v>
      </c>
    </row>
    <row r="22" spans="1:27" ht="15" x14ac:dyDescent="0.25">
      <c r="A22" s="807" t="s">
        <v>277</v>
      </c>
      <c r="B22">
        <v>130</v>
      </c>
      <c r="C22" s="808">
        <v>1.5099999999999998</v>
      </c>
      <c r="D22" s="809">
        <v>0</v>
      </c>
      <c r="E22" s="810">
        <v>0</v>
      </c>
      <c r="F22" s="808">
        <v>1.5099999999999998</v>
      </c>
      <c r="H22" s="828" t="s">
        <v>277</v>
      </c>
      <c r="I22" s="815">
        <v>113</v>
      </c>
      <c r="J22" s="839">
        <v>137.68</v>
      </c>
      <c r="K22" s="839">
        <v>0</v>
      </c>
      <c r="L22" s="839">
        <v>0</v>
      </c>
      <c r="M22" s="839">
        <v>137.68</v>
      </c>
      <c r="P22" s="719">
        <v>31</v>
      </c>
      <c r="Q22" s="719" t="str">
        <f t="shared" si="0"/>
        <v>0031</v>
      </c>
      <c r="R22" s="719">
        <v>111</v>
      </c>
      <c r="S22" s="720">
        <v>89.86</v>
      </c>
      <c r="T22" s="720"/>
      <c r="U22" s="724">
        <v>31</v>
      </c>
      <c r="V22" s="724" t="str">
        <f t="shared" si="2"/>
        <v>0031</v>
      </c>
      <c r="W22" s="724">
        <v>112</v>
      </c>
      <c r="X22" s="720">
        <v>58.82</v>
      </c>
      <c r="Z22" s="741" t="s">
        <v>305</v>
      </c>
      <c r="AA22" s="742">
        <f t="shared" si="1"/>
        <v>702.78</v>
      </c>
    </row>
    <row r="23" spans="1:27" ht="15" x14ac:dyDescent="0.25">
      <c r="A23" s="807" t="s">
        <v>277</v>
      </c>
      <c r="B23">
        <v>300</v>
      </c>
      <c r="C23" s="808">
        <v>127.35000000000001</v>
      </c>
      <c r="D23" s="809">
        <v>0</v>
      </c>
      <c r="E23" s="810">
        <v>0</v>
      </c>
      <c r="F23" s="808">
        <v>127.35000000000001</v>
      </c>
      <c r="H23" s="828" t="s">
        <v>277</v>
      </c>
      <c r="I23" s="815">
        <v>130</v>
      </c>
      <c r="J23" s="839">
        <v>1.33</v>
      </c>
      <c r="K23" s="839">
        <v>0</v>
      </c>
      <c r="L23" s="839">
        <v>0</v>
      </c>
      <c r="M23" s="839">
        <v>1.33</v>
      </c>
      <c r="P23" s="719">
        <v>31</v>
      </c>
      <c r="Q23" s="719" t="str">
        <f t="shared" si="0"/>
        <v>0031</v>
      </c>
      <c r="R23" s="719">
        <v>112</v>
      </c>
      <c r="S23" s="720">
        <v>56.82</v>
      </c>
      <c r="T23" s="720"/>
      <c r="U23" s="724">
        <v>31</v>
      </c>
      <c r="V23" s="724" t="str">
        <f t="shared" si="2"/>
        <v>0031</v>
      </c>
      <c r="W23" s="724">
        <v>130</v>
      </c>
      <c r="X23" s="720">
        <v>18.84</v>
      </c>
      <c r="Z23" s="741" t="s">
        <v>307</v>
      </c>
      <c r="AA23" s="742">
        <f t="shared" si="1"/>
        <v>102.32</v>
      </c>
    </row>
    <row r="24" spans="1:27" ht="15" x14ac:dyDescent="0.25">
      <c r="A24" s="807" t="s">
        <v>279</v>
      </c>
      <c r="B24">
        <v>113</v>
      </c>
      <c r="C24" s="808">
        <v>27.79</v>
      </c>
      <c r="D24" s="809">
        <v>0</v>
      </c>
      <c r="E24" s="810">
        <v>0</v>
      </c>
      <c r="F24" s="808">
        <v>27.79</v>
      </c>
      <c r="H24" s="828" t="s">
        <v>277</v>
      </c>
      <c r="I24" s="815">
        <v>300</v>
      </c>
      <c r="J24" s="839">
        <v>126</v>
      </c>
      <c r="K24" s="839">
        <v>0</v>
      </c>
      <c r="L24" s="839">
        <v>0</v>
      </c>
      <c r="M24" s="839">
        <v>126</v>
      </c>
      <c r="P24" s="719">
        <v>31</v>
      </c>
      <c r="Q24" s="719" t="str">
        <f t="shared" si="0"/>
        <v>0031</v>
      </c>
      <c r="R24" s="719">
        <v>130</v>
      </c>
      <c r="S24" s="720">
        <v>20.88</v>
      </c>
      <c r="T24" s="720"/>
      <c r="U24" s="724">
        <v>31</v>
      </c>
      <c r="V24" s="724" t="str">
        <f t="shared" si="2"/>
        <v>0031</v>
      </c>
      <c r="W24" s="724">
        <v>254</v>
      </c>
      <c r="X24" s="720">
        <v>0.5</v>
      </c>
      <c r="Z24" s="741" t="s">
        <v>309</v>
      </c>
      <c r="AA24" s="742">
        <f t="shared" si="1"/>
        <v>91.18</v>
      </c>
    </row>
    <row r="25" spans="1:27" ht="15" x14ac:dyDescent="0.25">
      <c r="A25" s="807" t="s">
        <v>279</v>
      </c>
      <c r="B25">
        <v>254</v>
      </c>
      <c r="C25" s="808">
        <v>9.35</v>
      </c>
      <c r="D25" s="809">
        <v>0</v>
      </c>
      <c r="E25" s="810">
        <v>0</v>
      </c>
      <c r="F25" s="808">
        <v>9.35</v>
      </c>
      <c r="H25" s="828" t="s">
        <v>279</v>
      </c>
      <c r="I25" s="815">
        <v>113</v>
      </c>
      <c r="J25" s="839">
        <v>27.189999999999998</v>
      </c>
      <c r="K25" s="839">
        <v>0</v>
      </c>
      <c r="L25" s="839">
        <v>0</v>
      </c>
      <c r="M25" s="839">
        <v>27.189999999999998</v>
      </c>
      <c r="P25" s="719">
        <v>31</v>
      </c>
      <c r="Q25" s="719" t="str">
        <f t="shared" si="0"/>
        <v>0031</v>
      </c>
      <c r="R25" s="719">
        <v>254</v>
      </c>
      <c r="S25" s="720">
        <v>0.5</v>
      </c>
      <c r="T25" s="720"/>
      <c r="U25" s="724">
        <v>40</v>
      </c>
      <c r="V25" s="724" t="str">
        <f t="shared" si="2"/>
        <v>0040</v>
      </c>
      <c r="W25" s="724">
        <v>102</v>
      </c>
      <c r="X25" s="720">
        <v>7.5</v>
      </c>
      <c r="Z25" s="741" t="s">
        <v>311</v>
      </c>
      <c r="AA25" s="742">
        <f t="shared" si="1"/>
        <v>395.41</v>
      </c>
    </row>
    <row r="26" spans="1:27" ht="15" x14ac:dyDescent="0.25">
      <c r="A26" s="807" t="s">
        <v>281</v>
      </c>
      <c r="B26">
        <v>113</v>
      </c>
      <c r="C26" s="808">
        <v>11.5</v>
      </c>
      <c r="D26" s="809">
        <v>0</v>
      </c>
      <c r="E26" s="810">
        <v>0</v>
      </c>
      <c r="F26" s="808">
        <v>11.5</v>
      </c>
      <c r="H26" s="828" t="s">
        <v>279</v>
      </c>
      <c r="I26" s="815">
        <v>254</v>
      </c>
      <c r="J26" s="839">
        <v>9.36</v>
      </c>
      <c r="K26" s="839">
        <v>0</v>
      </c>
      <c r="L26" s="839">
        <v>0</v>
      </c>
      <c r="M26" s="839">
        <v>9.36</v>
      </c>
      <c r="P26" s="719">
        <v>40</v>
      </c>
      <c r="Q26" s="719" t="str">
        <f t="shared" si="0"/>
        <v>0040</v>
      </c>
      <c r="R26" s="719">
        <v>102</v>
      </c>
      <c r="S26" s="720">
        <v>6.7</v>
      </c>
      <c r="T26" s="720"/>
      <c r="U26" s="724">
        <v>40</v>
      </c>
      <c r="V26" s="724" t="str">
        <f t="shared" si="2"/>
        <v>0040</v>
      </c>
      <c r="W26" s="724">
        <v>112</v>
      </c>
      <c r="X26" s="720">
        <v>3.97</v>
      </c>
      <c r="Z26" s="741" t="s">
        <v>313</v>
      </c>
      <c r="AA26" s="742">
        <f t="shared" si="1"/>
        <v>391.82000000000005</v>
      </c>
    </row>
    <row r="27" spans="1:27" ht="15" x14ac:dyDescent="0.25">
      <c r="A27" s="807" t="s">
        <v>281</v>
      </c>
      <c r="B27">
        <v>254</v>
      </c>
      <c r="C27" s="808">
        <v>2</v>
      </c>
      <c r="D27" s="809">
        <v>0</v>
      </c>
      <c r="E27" s="810">
        <v>0.5</v>
      </c>
      <c r="F27" s="808">
        <v>1.5</v>
      </c>
      <c r="H27" s="828" t="s">
        <v>281</v>
      </c>
      <c r="I27" s="815">
        <v>112</v>
      </c>
      <c r="J27" s="839">
        <v>0.5</v>
      </c>
      <c r="K27" s="839">
        <v>0</v>
      </c>
      <c r="L27" s="839">
        <v>0.5</v>
      </c>
      <c r="M27" s="839">
        <v>0</v>
      </c>
      <c r="P27" s="719">
        <v>40</v>
      </c>
      <c r="Q27" s="719" t="str">
        <f t="shared" si="0"/>
        <v>0040</v>
      </c>
      <c r="R27" s="719">
        <v>112</v>
      </c>
      <c r="S27" s="720">
        <v>3.48</v>
      </c>
      <c r="T27" s="720"/>
      <c r="U27" s="724">
        <v>40</v>
      </c>
      <c r="V27" s="724" t="str">
        <f t="shared" si="2"/>
        <v>0040</v>
      </c>
      <c r="W27" s="724">
        <v>130</v>
      </c>
      <c r="X27" s="720">
        <v>0.84</v>
      </c>
      <c r="Z27" s="741" t="s">
        <v>315</v>
      </c>
      <c r="AA27" s="742">
        <f t="shared" si="1"/>
        <v>597.46</v>
      </c>
    </row>
    <row r="28" spans="1:27" ht="15" x14ac:dyDescent="0.25">
      <c r="A28" s="807" t="s">
        <v>281</v>
      </c>
      <c r="B28">
        <v>255</v>
      </c>
      <c r="C28" s="808">
        <v>10.5</v>
      </c>
      <c r="D28" s="809">
        <v>4</v>
      </c>
      <c r="E28" s="810">
        <v>2.5</v>
      </c>
      <c r="F28" s="808">
        <v>4</v>
      </c>
      <c r="H28" s="828" t="s">
        <v>281</v>
      </c>
      <c r="I28" s="815">
        <v>113</v>
      </c>
      <c r="J28" s="839">
        <v>10.98</v>
      </c>
      <c r="K28" s="839">
        <v>0</v>
      </c>
      <c r="L28" s="839">
        <v>0</v>
      </c>
      <c r="M28" s="839">
        <v>10.98</v>
      </c>
      <c r="P28" s="719">
        <v>40</v>
      </c>
      <c r="Q28" s="719" t="str">
        <f t="shared" si="0"/>
        <v>0040</v>
      </c>
      <c r="R28" s="719">
        <v>130</v>
      </c>
      <c r="S28" s="720">
        <v>1.23</v>
      </c>
      <c r="T28" s="720"/>
      <c r="U28" s="724">
        <v>51</v>
      </c>
      <c r="V28" s="724" t="str">
        <f t="shared" si="2"/>
        <v>0051</v>
      </c>
      <c r="W28" s="724">
        <v>101</v>
      </c>
      <c r="X28" s="720">
        <v>161.65</v>
      </c>
      <c r="Z28" s="741" t="s">
        <v>317</v>
      </c>
      <c r="AA28" s="742">
        <f t="shared" si="1"/>
        <v>997.3900000000001</v>
      </c>
    </row>
    <row r="29" spans="1:27" ht="15" x14ac:dyDescent="0.25">
      <c r="A29" s="807" t="s">
        <v>283</v>
      </c>
      <c r="B29">
        <v>111</v>
      </c>
      <c r="C29" s="808">
        <v>3</v>
      </c>
      <c r="D29" s="809">
        <v>3</v>
      </c>
      <c r="E29" s="810">
        <v>0</v>
      </c>
      <c r="F29" s="808">
        <v>0</v>
      </c>
      <c r="H29" s="828" t="s">
        <v>281</v>
      </c>
      <c r="I29" s="815">
        <v>254</v>
      </c>
      <c r="J29" s="839">
        <v>2.52</v>
      </c>
      <c r="K29" s="839">
        <v>0</v>
      </c>
      <c r="L29" s="839">
        <v>0.5</v>
      </c>
      <c r="M29" s="839">
        <v>2.02</v>
      </c>
      <c r="P29" s="719">
        <v>51</v>
      </c>
      <c r="Q29" s="719" t="str">
        <f t="shared" si="0"/>
        <v>0051</v>
      </c>
      <c r="R29" s="719">
        <v>101</v>
      </c>
      <c r="S29" s="720">
        <v>159.46</v>
      </c>
      <c r="T29" s="720"/>
      <c r="U29" s="724">
        <v>51</v>
      </c>
      <c r="V29" s="724" t="str">
        <f t="shared" si="2"/>
        <v>0051</v>
      </c>
      <c r="W29" s="724">
        <v>102</v>
      </c>
      <c r="X29" s="720">
        <v>99.93</v>
      </c>
      <c r="Z29" s="741">
        <v>3441</v>
      </c>
      <c r="AA29" s="742">
        <f t="shared" si="1"/>
        <v>522.78</v>
      </c>
    </row>
    <row r="30" spans="1:27" ht="15" x14ac:dyDescent="0.25">
      <c r="A30" s="807" t="s">
        <v>283</v>
      </c>
      <c r="B30">
        <v>112</v>
      </c>
      <c r="C30" s="808">
        <v>1</v>
      </c>
      <c r="D30" s="809">
        <v>0</v>
      </c>
      <c r="E30" s="810">
        <v>1</v>
      </c>
      <c r="F30" s="808">
        <v>0</v>
      </c>
      <c r="H30" s="828" t="s">
        <v>281</v>
      </c>
      <c r="I30" s="815">
        <v>255</v>
      </c>
      <c r="J30" s="839">
        <v>10.54</v>
      </c>
      <c r="K30" s="839">
        <v>4.0199999999999996</v>
      </c>
      <c r="L30" s="839">
        <v>2.5</v>
      </c>
      <c r="M30" s="839">
        <v>4.0199999999999996</v>
      </c>
      <c r="P30" s="719">
        <v>51</v>
      </c>
      <c r="Q30" s="719" t="str">
        <f t="shared" si="0"/>
        <v>0051</v>
      </c>
      <c r="R30" s="719">
        <v>102</v>
      </c>
      <c r="S30" s="720">
        <v>95.2</v>
      </c>
      <c r="T30" s="720"/>
      <c r="U30" s="724">
        <v>51</v>
      </c>
      <c r="V30" s="724" t="str">
        <f t="shared" si="2"/>
        <v>0051</v>
      </c>
      <c r="W30" s="724">
        <v>111</v>
      </c>
      <c r="X30" s="720">
        <v>22.5</v>
      </c>
      <c r="Z30" s="741">
        <v>3924</v>
      </c>
      <c r="AA30" s="742">
        <f t="shared" si="1"/>
        <v>407.16999999999996</v>
      </c>
    </row>
    <row r="31" spans="1:27" ht="15" x14ac:dyDescent="0.25">
      <c r="A31" s="807" t="s">
        <v>283</v>
      </c>
      <c r="B31">
        <v>254</v>
      </c>
      <c r="C31" s="808">
        <v>60.5</v>
      </c>
      <c r="D31" s="809">
        <v>36</v>
      </c>
      <c r="E31" s="810">
        <v>24.5</v>
      </c>
      <c r="F31" s="808">
        <v>0</v>
      </c>
      <c r="H31" s="828" t="s">
        <v>283</v>
      </c>
      <c r="I31" s="815">
        <v>111</v>
      </c>
      <c r="J31" s="839">
        <v>1.04</v>
      </c>
      <c r="K31" s="839">
        <v>1.04</v>
      </c>
      <c r="L31" s="839">
        <v>0</v>
      </c>
      <c r="M31" s="839">
        <v>0</v>
      </c>
      <c r="P31" s="719">
        <v>51</v>
      </c>
      <c r="Q31" s="719" t="str">
        <f t="shared" si="0"/>
        <v>0051</v>
      </c>
      <c r="R31" s="719">
        <v>111</v>
      </c>
      <c r="S31" s="720">
        <v>20.5</v>
      </c>
      <c r="T31" s="720"/>
      <c r="U31" s="724">
        <v>51</v>
      </c>
      <c r="V31" s="724" t="str">
        <f t="shared" si="2"/>
        <v>0051</v>
      </c>
      <c r="W31" s="724">
        <v>112</v>
      </c>
      <c r="X31" s="720">
        <v>14.5</v>
      </c>
      <c r="Z31" s="741" t="s">
        <v>321</v>
      </c>
      <c r="AA31" s="742">
        <f t="shared" si="1"/>
        <v>224.44000000000003</v>
      </c>
    </row>
    <row r="32" spans="1:27" ht="15" x14ac:dyDescent="0.25">
      <c r="A32" s="807" t="s">
        <v>283</v>
      </c>
      <c r="B32">
        <v>255</v>
      </c>
      <c r="C32" s="808">
        <v>22</v>
      </c>
      <c r="D32" s="809">
        <v>13.5</v>
      </c>
      <c r="E32" s="810">
        <v>8.5</v>
      </c>
      <c r="F32" s="808">
        <v>0</v>
      </c>
      <c r="H32" s="828" t="s">
        <v>283</v>
      </c>
      <c r="I32" s="815">
        <v>254</v>
      </c>
      <c r="J32" s="839">
        <v>48.019999999999996</v>
      </c>
      <c r="K32" s="839">
        <v>28.52</v>
      </c>
      <c r="L32" s="839">
        <v>19.5</v>
      </c>
      <c r="M32" s="839">
        <v>0</v>
      </c>
      <c r="P32" s="719">
        <v>51</v>
      </c>
      <c r="Q32" s="719" t="str">
        <f t="shared" si="0"/>
        <v>0051</v>
      </c>
      <c r="R32" s="719">
        <v>112</v>
      </c>
      <c r="S32" s="720">
        <v>15</v>
      </c>
      <c r="T32" s="720"/>
      <c r="U32" s="724">
        <v>51</v>
      </c>
      <c r="V32" s="724" t="str">
        <f t="shared" si="2"/>
        <v>0051</v>
      </c>
      <c r="W32" s="724">
        <v>130</v>
      </c>
      <c r="X32" s="720">
        <v>75.27</v>
      </c>
      <c r="Z32" s="741" t="s">
        <v>323</v>
      </c>
      <c r="AA32" s="742">
        <f t="shared" si="1"/>
        <v>0</v>
      </c>
    </row>
    <row r="33" spans="1:27" ht="15" x14ac:dyDescent="0.25">
      <c r="A33" s="807" t="s">
        <v>285</v>
      </c>
      <c r="B33">
        <v>101</v>
      </c>
      <c r="C33" s="808">
        <v>111.37</v>
      </c>
      <c r="D33" s="809">
        <v>111.37</v>
      </c>
      <c r="E33" s="810">
        <v>0</v>
      </c>
      <c r="F33" s="808">
        <v>0</v>
      </c>
      <c r="H33" s="828" t="s">
        <v>283</v>
      </c>
      <c r="I33" s="815">
        <v>255</v>
      </c>
      <c r="J33" s="839">
        <v>37.5</v>
      </c>
      <c r="K33" s="839">
        <v>23.5</v>
      </c>
      <c r="L33" s="839">
        <v>14</v>
      </c>
      <c r="M33" s="839">
        <v>0</v>
      </c>
      <c r="P33" s="719">
        <v>51</v>
      </c>
      <c r="Q33" s="719" t="str">
        <f t="shared" si="0"/>
        <v>0051</v>
      </c>
      <c r="R33" s="719">
        <v>130</v>
      </c>
      <c r="S33" s="720">
        <v>77.349999999999994</v>
      </c>
      <c r="T33" s="720"/>
      <c r="U33" s="724">
        <v>51</v>
      </c>
      <c r="V33" s="724" t="str">
        <f t="shared" si="2"/>
        <v>0051</v>
      </c>
      <c r="W33" s="724">
        <v>254</v>
      </c>
      <c r="X33" s="720">
        <v>1.5</v>
      </c>
      <c r="Z33" s="741" t="s">
        <v>325</v>
      </c>
      <c r="AA33" s="742">
        <f t="shared" si="1"/>
        <v>627.37000000000012</v>
      </c>
    </row>
    <row r="34" spans="1:27" ht="15" x14ac:dyDescent="0.25">
      <c r="A34" s="807" t="s">
        <v>285</v>
      </c>
      <c r="B34">
        <v>102</v>
      </c>
      <c r="C34" s="808">
        <v>59.899999999999991</v>
      </c>
      <c r="D34" s="809">
        <v>0</v>
      </c>
      <c r="E34" s="810">
        <v>59.899999999999991</v>
      </c>
      <c r="F34" s="808">
        <v>0</v>
      </c>
      <c r="H34" s="828" t="s">
        <v>285</v>
      </c>
      <c r="I34" s="815">
        <v>101</v>
      </c>
      <c r="J34" s="839">
        <v>105.00999999999999</v>
      </c>
      <c r="K34" s="839">
        <v>105.00999999999999</v>
      </c>
      <c r="L34" s="839">
        <v>0</v>
      </c>
      <c r="M34" s="839">
        <v>0</v>
      </c>
      <c r="P34" s="719">
        <v>51</v>
      </c>
      <c r="Q34" s="719" t="str">
        <f t="shared" si="0"/>
        <v>0051</v>
      </c>
      <c r="R34" s="719">
        <v>254</v>
      </c>
      <c r="S34" s="720">
        <v>1.5</v>
      </c>
      <c r="T34" s="720"/>
      <c r="U34" s="724">
        <v>61</v>
      </c>
      <c r="V34" s="724" t="str">
        <f t="shared" si="2"/>
        <v>0061</v>
      </c>
      <c r="W34" s="724">
        <v>101</v>
      </c>
      <c r="X34" s="720">
        <v>142.33000000000001</v>
      </c>
      <c r="Z34" s="741" t="s">
        <v>327</v>
      </c>
      <c r="AA34" s="742">
        <f t="shared" si="1"/>
        <v>639.52</v>
      </c>
    </row>
    <row r="35" spans="1:27" ht="15" x14ac:dyDescent="0.25">
      <c r="A35" s="807" t="s">
        <v>285</v>
      </c>
      <c r="B35">
        <v>111</v>
      </c>
      <c r="C35" s="808">
        <v>25</v>
      </c>
      <c r="D35" s="809">
        <v>25</v>
      </c>
      <c r="E35" s="810">
        <v>0</v>
      </c>
      <c r="F35" s="808">
        <v>0</v>
      </c>
      <c r="H35" s="828" t="s">
        <v>285</v>
      </c>
      <c r="I35" s="815">
        <v>102</v>
      </c>
      <c r="J35" s="839">
        <v>57.849999999999994</v>
      </c>
      <c r="K35" s="839">
        <v>0</v>
      </c>
      <c r="L35" s="839">
        <v>57.849999999999994</v>
      </c>
      <c r="M35" s="839">
        <v>0</v>
      </c>
      <c r="P35" s="719">
        <v>61</v>
      </c>
      <c r="Q35" s="719" t="str">
        <f t="shared" si="0"/>
        <v>0061</v>
      </c>
      <c r="R35" s="719">
        <v>101</v>
      </c>
      <c r="S35" s="720">
        <v>152.86000000000001</v>
      </c>
      <c r="T35" s="720"/>
      <c r="U35" s="724">
        <v>61</v>
      </c>
      <c r="V35" s="724" t="str">
        <f t="shared" si="2"/>
        <v>0061</v>
      </c>
      <c r="W35" s="724">
        <v>102</v>
      </c>
      <c r="X35" s="720">
        <v>89.69</v>
      </c>
      <c r="Z35" s="741">
        <v>4002</v>
      </c>
      <c r="AA35" s="742">
        <f t="shared" ref="AA35:AA53" si="3">SUMIF(Q:Q,Z35,S:S)+SUMIF(V:V,Z35,X:X)</f>
        <v>875.02</v>
      </c>
    </row>
    <row r="36" spans="1:27" ht="15" x14ac:dyDescent="0.25">
      <c r="A36" s="807" t="s">
        <v>285</v>
      </c>
      <c r="B36">
        <v>112</v>
      </c>
      <c r="C36" s="808">
        <v>14</v>
      </c>
      <c r="D36" s="809">
        <v>0</v>
      </c>
      <c r="E36" s="810">
        <v>14</v>
      </c>
      <c r="F36" s="808">
        <v>0</v>
      </c>
      <c r="H36" s="828" t="s">
        <v>285</v>
      </c>
      <c r="I36" s="815">
        <v>111</v>
      </c>
      <c r="J36" s="839">
        <v>29.509999999999998</v>
      </c>
      <c r="K36" s="839">
        <v>29.509999999999998</v>
      </c>
      <c r="L36" s="839">
        <v>0</v>
      </c>
      <c r="M36" s="839">
        <v>0</v>
      </c>
      <c r="P36" s="719">
        <v>61</v>
      </c>
      <c r="Q36" s="719" t="str">
        <f t="shared" si="0"/>
        <v>0061</v>
      </c>
      <c r="R36" s="719">
        <v>102</v>
      </c>
      <c r="S36" s="720">
        <v>87.2</v>
      </c>
      <c r="T36" s="720"/>
      <c r="U36" s="724">
        <v>61</v>
      </c>
      <c r="V36" s="724" t="str">
        <f t="shared" si="2"/>
        <v>0061</v>
      </c>
      <c r="W36" s="724">
        <v>111</v>
      </c>
      <c r="X36" s="720">
        <v>78</v>
      </c>
      <c r="Z36" s="741">
        <v>4012</v>
      </c>
      <c r="AA36" s="742">
        <f t="shared" si="3"/>
        <v>531.05999999999995</v>
      </c>
    </row>
    <row r="37" spans="1:27" ht="15" x14ac:dyDescent="0.25">
      <c r="A37" s="807" t="s">
        <v>285</v>
      </c>
      <c r="B37">
        <v>130</v>
      </c>
      <c r="C37" s="808">
        <v>69.73</v>
      </c>
      <c r="D37" s="809">
        <v>57.629999999999995</v>
      </c>
      <c r="E37" s="810">
        <v>12.1</v>
      </c>
      <c r="F37" s="808">
        <v>0</v>
      </c>
      <c r="H37" s="828" t="s">
        <v>285</v>
      </c>
      <c r="I37" s="815">
        <v>112</v>
      </c>
      <c r="J37" s="839">
        <v>14.98</v>
      </c>
      <c r="K37" s="839">
        <v>0</v>
      </c>
      <c r="L37" s="839">
        <v>14.98</v>
      </c>
      <c r="M37" s="839">
        <v>0</v>
      </c>
      <c r="P37" s="719">
        <v>61</v>
      </c>
      <c r="Q37" s="719" t="str">
        <f t="shared" si="0"/>
        <v>0061</v>
      </c>
      <c r="R37" s="719">
        <v>111</v>
      </c>
      <c r="S37" s="720">
        <v>69.989999999999995</v>
      </c>
      <c r="T37" s="720"/>
      <c r="U37" s="724">
        <v>61</v>
      </c>
      <c r="V37" s="724" t="str">
        <f t="shared" si="2"/>
        <v>0061</v>
      </c>
      <c r="W37" s="724">
        <v>112</v>
      </c>
      <c r="X37" s="720">
        <v>50.8</v>
      </c>
      <c r="Z37" s="741">
        <v>4013</v>
      </c>
      <c r="AA37" s="742">
        <f t="shared" si="3"/>
        <v>991.76</v>
      </c>
    </row>
    <row r="38" spans="1:27" ht="15" x14ac:dyDescent="0.25">
      <c r="A38" s="807" t="s">
        <v>287</v>
      </c>
      <c r="B38">
        <v>101</v>
      </c>
      <c r="C38" s="808">
        <v>129.24</v>
      </c>
      <c r="D38" s="809">
        <v>129.24</v>
      </c>
      <c r="E38" s="810">
        <v>0</v>
      </c>
      <c r="F38" s="808">
        <v>0</v>
      </c>
      <c r="H38" s="828" t="s">
        <v>285</v>
      </c>
      <c r="I38" s="815">
        <v>130</v>
      </c>
      <c r="J38" s="839">
        <v>68.02</v>
      </c>
      <c r="K38" s="839">
        <v>55.93</v>
      </c>
      <c r="L38" s="839">
        <v>12.09</v>
      </c>
      <c r="M38" s="839">
        <v>0</v>
      </c>
      <c r="P38" s="719">
        <v>61</v>
      </c>
      <c r="Q38" s="719" t="str">
        <f t="shared" si="0"/>
        <v>0061</v>
      </c>
      <c r="R38" s="719">
        <v>112</v>
      </c>
      <c r="S38" s="720">
        <v>52.79</v>
      </c>
      <c r="T38" s="720"/>
      <c r="U38" s="724">
        <v>61</v>
      </c>
      <c r="V38" s="724" t="str">
        <f t="shared" si="2"/>
        <v>0061</v>
      </c>
      <c r="W38" s="724">
        <v>130</v>
      </c>
      <c r="X38" s="720">
        <v>23.39</v>
      </c>
      <c r="Z38" s="741">
        <v>4020</v>
      </c>
      <c r="AA38" s="742">
        <f t="shared" si="3"/>
        <v>1235.5999999999999</v>
      </c>
    </row>
    <row r="39" spans="1:27" ht="15" x14ac:dyDescent="0.25">
      <c r="A39" s="807" t="s">
        <v>287</v>
      </c>
      <c r="B39">
        <v>102</v>
      </c>
      <c r="C39" s="808">
        <v>171.85</v>
      </c>
      <c r="D39" s="809">
        <v>0</v>
      </c>
      <c r="E39" s="810">
        <v>171.85</v>
      </c>
      <c r="F39" s="808">
        <v>0</v>
      </c>
      <c r="H39" s="828" t="s">
        <v>287</v>
      </c>
      <c r="I39" s="815">
        <v>101</v>
      </c>
      <c r="J39" s="839">
        <v>128.4</v>
      </c>
      <c r="K39" s="839">
        <v>128.4</v>
      </c>
      <c r="L39" s="839">
        <v>0</v>
      </c>
      <c r="M39" s="839">
        <v>0</v>
      </c>
      <c r="P39" s="719">
        <v>61</v>
      </c>
      <c r="Q39" s="719" t="str">
        <f t="shared" si="0"/>
        <v>0061</v>
      </c>
      <c r="R39" s="719">
        <v>130</v>
      </c>
      <c r="S39" s="720">
        <v>23.24</v>
      </c>
      <c r="T39" s="720"/>
      <c r="U39" s="724">
        <v>61</v>
      </c>
      <c r="V39" s="724" t="str">
        <f t="shared" si="2"/>
        <v>0061</v>
      </c>
      <c r="W39" s="724">
        <v>254</v>
      </c>
      <c r="X39" s="720">
        <v>2</v>
      </c>
      <c r="Z39" s="741">
        <v>4030</v>
      </c>
      <c r="AA39" s="742">
        <f t="shared" si="3"/>
        <v>0</v>
      </c>
    </row>
    <row r="40" spans="1:27" ht="15" x14ac:dyDescent="0.25">
      <c r="A40" s="807" t="s">
        <v>287</v>
      </c>
      <c r="B40">
        <v>111</v>
      </c>
      <c r="C40" s="808">
        <v>30.5</v>
      </c>
      <c r="D40" s="809">
        <v>30.5</v>
      </c>
      <c r="E40" s="810">
        <v>0</v>
      </c>
      <c r="F40" s="808">
        <v>0</v>
      </c>
      <c r="H40" s="828" t="s">
        <v>287</v>
      </c>
      <c r="I40" s="815">
        <v>102</v>
      </c>
      <c r="J40" s="839">
        <v>167.87</v>
      </c>
      <c r="K40" s="839">
        <v>0</v>
      </c>
      <c r="L40" s="839">
        <v>167.87</v>
      </c>
      <c r="M40" s="839">
        <v>0</v>
      </c>
      <c r="P40" s="719">
        <v>61</v>
      </c>
      <c r="Q40" s="719" t="str">
        <f t="shared" si="0"/>
        <v>0061</v>
      </c>
      <c r="R40" s="719">
        <v>254</v>
      </c>
      <c r="S40" s="720">
        <v>2</v>
      </c>
      <c r="T40" s="720"/>
      <c r="U40" s="724">
        <v>71</v>
      </c>
      <c r="V40" s="724" t="str">
        <f t="shared" si="2"/>
        <v>0071</v>
      </c>
      <c r="W40" s="724">
        <v>101</v>
      </c>
      <c r="X40" s="720">
        <v>85.16</v>
      </c>
      <c r="Z40" s="741">
        <v>4031</v>
      </c>
      <c r="AA40" s="742">
        <f t="shared" si="3"/>
        <v>398.09000000000003</v>
      </c>
    </row>
    <row r="41" spans="1:27" ht="15" x14ac:dyDescent="0.25">
      <c r="A41" s="807" t="s">
        <v>287</v>
      </c>
      <c r="B41">
        <v>112</v>
      </c>
      <c r="C41" s="808">
        <v>53.83</v>
      </c>
      <c r="D41" s="809">
        <v>0</v>
      </c>
      <c r="E41" s="810">
        <v>53.83</v>
      </c>
      <c r="F41" s="808">
        <v>0</v>
      </c>
      <c r="H41" s="828" t="s">
        <v>287</v>
      </c>
      <c r="I41" s="815">
        <v>111</v>
      </c>
      <c r="J41" s="839">
        <v>31.53</v>
      </c>
      <c r="K41" s="839">
        <v>31.53</v>
      </c>
      <c r="L41" s="839">
        <v>0</v>
      </c>
      <c r="M41" s="839">
        <v>0</v>
      </c>
      <c r="P41" s="719">
        <v>71</v>
      </c>
      <c r="Q41" s="719" t="str">
        <f t="shared" si="0"/>
        <v>0071</v>
      </c>
      <c r="R41" s="719">
        <v>101</v>
      </c>
      <c r="S41" s="720">
        <v>89.11</v>
      </c>
      <c r="T41" s="720"/>
      <c r="U41" s="724">
        <v>71</v>
      </c>
      <c r="V41" s="724" t="str">
        <f t="shared" si="2"/>
        <v>0071</v>
      </c>
      <c r="W41" s="724">
        <v>102</v>
      </c>
      <c r="X41" s="720">
        <v>70.73</v>
      </c>
      <c r="Z41" s="741">
        <v>4041</v>
      </c>
      <c r="AA41" s="742">
        <f t="shared" si="3"/>
        <v>95.06</v>
      </c>
    </row>
    <row r="42" spans="1:27" ht="15" x14ac:dyDescent="0.25">
      <c r="A42" s="807" t="s">
        <v>287</v>
      </c>
      <c r="B42">
        <v>130</v>
      </c>
      <c r="C42" s="808">
        <v>5.76</v>
      </c>
      <c r="D42" s="809">
        <v>5.76</v>
      </c>
      <c r="E42" s="810">
        <v>0</v>
      </c>
      <c r="F42" s="808">
        <v>0</v>
      </c>
      <c r="H42" s="828" t="s">
        <v>287</v>
      </c>
      <c r="I42" s="815">
        <v>112</v>
      </c>
      <c r="J42" s="839">
        <v>53.449999999999996</v>
      </c>
      <c r="K42" s="839">
        <v>0</v>
      </c>
      <c r="L42" s="839">
        <v>53.449999999999996</v>
      </c>
      <c r="M42" s="839">
        <v>0</v>
      </c>
      <c r="P42" s="719">
        <v>71</v>
      </c>
      <c r="Q42" s="719" t="str">
        <f t="shared" si="0"/>
        <v>0071</v>
      </c>
      <c r="R42" s="719">
        <v>102</v>
      </c>
      <c r="S42" s="720">
        <v>70.05</v>
      </c>
      <c r="T42" s="720"/>
      <c r="U42" s="724">
        <v>71</v>
      </c>
      <c r="V42" s="724" t="str">
        <f t="shared" si="2"/>
        <v>0071</v>
      </c>
      <c r="W42" s="724">
        <v>111</v>
      </c>
      <c r="X42" s="720">
        <v>40.56</v>
      </c>
      <c r="Z42" s="741">
        <v>4050</v>
      </c>
      <c r="AA42" s="742">
        <f t="shared" si="3"/>
        <v>634</v>
      </c>
    </row>
    <row r="43" spans="1:27" ht="15" x14ac:dyDescent="0.25">
      <c r="A43" s="807" t="s">
        <v>289</v>
      </c>
      <c r="B43">
        <v>101</v>
      </c>
      <c r="C43" s="808">
        <v>0.5</v>
      </c>
      <c r="D43" s="809">
        <v>0.5</v>
      </c>
      <c r="E43" s="810">
        <v>0</v>
      </c>
      <c r="F43" s="808">
        <v>0</v>
      </c>
      <c r="H43" s="828" t="s">
        <v>287</v>
      </c>
      <c r="I43" s="815">
        <v>130</v>
      </c>
      <c r="J43" s="839">
        <v>6.69</v>
      </c>
      <c r="K43" s="839">
        <v>5.78</v>
      </c>
      <c r="L43" s="839">
        <v>0.91</v>
      </c>
      <c r="M43" s="839">
        <v>0</v>
      </c>
      <c r="P43" s="719">
        <v>71</v>
      </c>
      <c r="Q43" s="719" t="str">
        <f t="shared" si="0"/>
        <v>0071</v>
      </c>
      <c r="R43" s="719">
        <v>111</v>
      </c>
      <c r="S43" s="720">
        <v>37.549999999999997</v>
      </c>
      <c r="T43" s="720"/>
      <c r="U43" s="724">
        <v>71</v>
      </c>
      <c r="V43" s="724" t="str">
        <f t="shared" si="2"/>
        <v>0071</v>
      </c>
      <c r="W43" s="724">
        <v>112</v>
      </c>
      <c r="X43" s="720">
        <v>37.51</v>
      </c>
      <c r="Z43" s="741">
        <v>4051</v>
      </c>
      <c r="AA43" s="742">
        <f t="shared" si="3"/>
        <v>622.17999999999995</v>
      </c>
    </row>
    <row r="44" spans="1:27" ht="15" x14ac:dyDescent="0.25">
      <c r="A44" s="807" t="s">
        <v>289</v>
      </c>
      <c r="B44">
        <v>111</v>
      </c>
      <c r="C44" s="808">
        <v>7.5</v>
      </c>
      <c r="D44" s="809">
        <v>7.5</v>
      </c>
      <c r="E44" s="810">
        <v>0</v>
      </c>
      <c r="F44" s="808">
        <v>0</v>
      </c>
      <c r="H44" s="828" t="s">
        <v>289</v>
      </c>
      <c r="I44" s="815">
        <v>111</v>
      </c>
      <c r="J44" s="839">
        <v>5</v>
      </c>
      <c r="K44" s="839">
        <v>5</v>
      </c>
      <c r="L44" s="839">
        <v>0</v>
      </c>
      <c r="M44" s="839">
        <v>0</v>
      </c>
      <c r="P44" s="719">
        <v>71</v>
      </c>
      <c r="Q44" s="719" t="str">
        <f t="shared" si="0"/>
        <v>0071</v>
      </c>
      <c r="R44" s="719">
        <v>112</v>
      </c>
      <c r="S44" s="720">
        <v>38.49</v>
      </c>
      <c r="T44" s="720"/>
      <c r="U44" s="724">
        <v>71</v>
      </c>
      <c r="V44" s="724" t="str">
        <f t="shared" si="2"/>
        <v>0071</v>
      </c>
      <c r="W44" s="724">
        <v>130</v>
      </c>
      <c r="X44" s="720">
        <v>153.51</v>
      </c>
      <c r="Z44" s="741">
        <v>4061</v>
      </c>
      <c r="AA44" s="742">
        <f t="shared" si="3"/>
        <v>925.99</v>
      </c>
    </row>
    <row r="45" spans="1:27" ht="15" x14ac:dyDescent="0.25">
      <c r="A45" s="807" t="s">
        <v>289</v>
      </c>
      <c r="B45">
        <v>112</v>
      </c>
      <c r="C45" s="808">
        <v>11</v>
      </c>
      <c r="D45" s="809">
        <v>0</v>
      </c>
      <c r="E45" s="810">
        <v>11</v>
      </c>
      <c r="F45" s="808">
        <v>0</v>
      </c>
      <c r="H45" s="828" t="s">
        <v>289</v>
      </c>
      <c r="I45" s="815">
        <v>112</v>
      </c>
      <c r="J45" s="839">
        <v>10.53</v>
      </c>
      <c r="K45" s="839">
        <v>0</v>
      </c>
      <c r="L45" s="839">
        <v>10.53</v>
      </c>
      <c r="M45" s="839">
        <v>0</v>
      </c>
      <c r="P45" s="719">
        <v>71</v>
      </c>
      <c r="Q45" s="719" t="str">
        <f t="shared" si="0"/>
        <v>0071</v>
      </c>
      <c r="R45" s="719">
        <v>130</v>
      </c>
      <c r="S45" s="720">
        <v>159.63999999999999</v>
      </c>
      <c r="T45" s="720"/>
      <c r="U45" s="724">
        <v>81</v>
      </c>
      <c r="V45" s="724" t="str">
        <f t="shared" si="2"/>
        <v>0081</v>
      </c>
      <c r="W45" s="724">
        <v>103</v>
      </c>
      <c r="X45" s="720">
        <v>1048.19</v>
      </c>
      <c r="Z45" s="741">
        <v>4080</v>
      </c>
      <c r="AA45" s="742">
        <f t="shared" si="3"/>
        <v>0</v>
      </c>
    </row>
    <row r="46" spans="1:27" ht="15" x14ac:dyDescent="0.25">
      <c r="A46" s="807" t="s">
        <v>289</v>
      </c>
      <c r="B46">
        <v>113</v>
      </c>
      <c r="C46" s="808">
        <v>23.15</v>
      </c>
      <c r="D46" s="809">
        <v>0</v>
      </c>
      <c r="E46" s="810">
        <v>0</v>
      </c>
      <c r="F46" s="808">
        <v>23.15</v>
      </c>
      <c r="H46" s="828" t="s">
        <v>289</v>
      </c>
      <c r="I46" s="815">
        <v>113</v>
      </c>
      <c r="J46" s="839">
        <v>23.9</v>
      </c>
      <c r="K46" s="839">
        <v>0</v>
      </c>
      <c r="L46" s="839">
        <v>0</v>
      </c>
      <c r="M46" s="839">
        <v>23.9</v>
      </c>
      <c r="P46" s="719">
        <v>81</v>
      </c>
      <c r="Q46" s="719" t="str">
        <f t="shared" si="0"/>
        <v>0081</v>
      </c>
      <c r="R46" s="719">
        <v>103</v>
      </c>
      <c r="S46" s="720">
        <v>1077.74</v>
      </c>
      <c r="T46" s="720"/>
      <c r="U46" s="724">
        <v>81</v>
      </c>
      <c r="V46" s="724" t="str">
        <f t="shared" si="2"/>
        <v>0081</v>
      </c>
      <c r="W46" s="724">
        <v>112</v>
      </c>
      <c r="X46" s="720">
        <v>0.06</v>
      </c>
      <c r="Z46" s="741">
        <v>4081</v>
      </c>
      <c r="AA46" s="742">
        <f t="shared" si="3"/>
        <v>123.19999999999999</v>
      </c>
    </row>
    <row r="47" spans="1:27" ht="15" x14ac:dyDescent="0.25">
      <c r="A47" s="807" t="s">
        <v>289</v>
      </c>
      <c r="B47">
        <v>254</v>
      </c>
      <c r="C47" s="808">
        <v>105</v>
      </c>
      <c r="D47" s="809">
        <v>42.5</v>
      </c>
      <c r="E47" s="810">
        <v>30</v>
      </c>
      <c r="F47" s="808">
        <v>32.5</v>
      </c>
      <c r="H47" s="828" t="s">
        <v>289</v>
      </c>
      <c r="I47" s="815">
        <v>254</v>
      </c>
      <c r="J47" s="839">
        <v>102.99000000000001</v>
      </c>
      <c r="K47" s="839">
        <v>40.49</v>
      </c>
      <c r="L47" s="839">
        <v>31</v>
      </c>
      <c r="M47" s="839">
        <v>31.5</v>
      </c>
      <c r="P47" s="719">
        <v>81</v>
      </c>
      <c r="Q47" s="719" t="str">
        <f t="shared" si="0"/>
        <v>0081</v>
      </c>
      <c r="R47" s="719">
        <v>112</v>
      </c>
      <c r="S47" s="720">
        <v>0.06</v>
      </c>
      <c r="T47" s="720"/>
      <c r="U47" s="724">
        <v>81</v>
      </c>
      <c r="V47" s="724" t="str">
        <f t="shared" si="2"/>
        <v>0081</v>
      </c>
      <c r="W47" s="724">
        <v>113</v>
      </c>
      <c r="X47" s="720">
        <v>154.96</v>
      </c>
      <c r="Z47" s="741">
        <v>4090</v>
      </c>
      <c r="AA47" s="742">
        <f t="shared" si="3"/>
        <v>317.3</v>
      </c>
    </row>
    <row r="48" spans="1:27" ht="15" x14ac:dyDescent="0.25">
      <c r="A48" s="807" t="s">
        <v>289</v>
      </c>
      <c r="B48">
        <v>255</v>
      </c>
      <c r="C48" s="808">
        <v>43.5</v>
      </c>
      <c r="D48" s="809">
        <v>12.5</v>
      </c>
      <c r="E48" s="810">
        <v>18.5</v>
      </c>
      <c r="F48" s="808">
        <v>12.5</v>
      </c>
      <c r="H48" s="828" t="s">
        <v>289</v>
      </c>
      <c r="I48" s="815">
        <v>255</v>
      </c>
      <c r="J48" s="839">
        <v>47</v>
      </c>
      <c r="K48" s="839">
        <v>18</v>
      </c>
      <c r="L48" s="839">
        <v>18</v>
      </c>
      <c r="M48" s="839">
        <v>11</v>
      </c>
      <c r="P48" s="719">
        <v>81</v>
      </c>
      <c r="Q48" s="719" t="str">
        <f t="shared" si="0"/>
        <v>0081</v>
      </c>
      <c r="R48" s="719">
        <v>113</v>
      </c>
      <c r="S48" s="720">
        <v>160.84</v>
      </c>
      <c r="T48" s="720"/>
      <c r="U48" s="724">
        <v>81</v>
      </c>
      <c r="V48" s="724" t="str">
        <f t="shared" si="2"/>
        <v>0081</v>
      </c>
      <c r="W48" s="724">
        <v>130</v>
      </c>
      <c r="X48" s="720">
        <v>42.19</v>
      </c>
      <c r="Z48" s="741">
        <v>4091</v>
      </c>
      <c r="AA48" s="742">
        <f t="shared" si="3"/>
        <v>393.96999999999997</v>
      </c>
    </row>
    <row r="49" spans="1:27" ht="15" x14ac:dyDescent="0.25">
      <c r="A49" s="807" t="s">
        <v>291</v>
      </c>
      <c r="B49">
        <v>111</v>
      </c>
      <c r="C49" s="808">
        <v>1</v>
      </c>
      <c r="D49" s="809">
        <v>1</v>
      </c>
      <c r="E49" s="810">
        <v>0</v>
      </c>
      <c r="F49" s="808">
        <v>0</v>
      </c>
      <c r="H49" s="828" t="s">
        <v>291</v>
      </c>
      <c r="I49" s="815">
        <v>111</v>
      </c>
      <c r="J49" s="839">
        <v>0.5</v>
      </c>
      <c r="K49" s="839">
        <v>0.5</v>
      </c>
      <c r="L49" s="839">
        <v>0</v>
      </c>
      <c r="M49" s="839">
        <v>0</v>
      </c>
      <c r="P49" s="719">
        <v>81</v>
      </c>
      <c r="Q49" s="719" t="str">
        <f t="shared" si="0"/>
        <v>0081</v>
      </c>
      <c r="R49" s="719">
        <v>130</v>
      </c>
      <c r="S49" s="720">
        <v>50.15</v>
      </c>
      <c r="T49" s="720"/>
      <c r="U49" s="724">
        <v>81</v>
      </c>
      <c r="V49" s="724" t="str">
        <f t="shared" si="2"/>
        <v>0081</v>
      </c>
      <c r="W49" s="724">
        <v>254</v>
      </c>
      <c r="X49" s="720">
        <v>1.42</v>
      </c>
      <c r="Z49" s="741">
        <v>4100</v>
      </c>
      <c r="AA49" s="742">
        <f t="shared" si="3"/>
        <v>55.5</v>
      </c>
    </row>
    <row r="50" spans="1:27" ht="15" x14ac:dyDescent="0.25">
      <c r="A50" s="807" t="s">
        <v>291</v>
      </c>
      <c r="B50">
        <v>112</v>
      </c>
      <c r="C50" s="808">
        <v>0.5</v>
      </c>
      <c r="D50" s="809">
        <v>0</v>
      </c>
      <c r="E50" s="810">
        <v>0.5</v>
      </c>
      <c r="F50" s="808">
        <v>0</v>
      </c>
      <c r="H50" s="828" t="s">
        <v>291</v>
      </c>
      <c r="I50" s="815">
        <v>112</v>
      </c>
      <c r="J50" s="839">
        <v>0.5</v>
      </c>
      <c r="K50" s="839">
        <v>0</v>
      </c>
      <c r="L50" s="839">
        <v>0.5</v>
      </c>
      <c r="M50" s="839">
        <v>0</v>
      </c>
      <c r="P50" s="719">
        <v>81</v>
      </c>
      <c r="Q50" s="719" t="str">
        <f t="shared" si="0"/>
        <v>0081</v>
      </c>
      <c r="R50" s="719">
        <v>254</v>
      </c>
      <c r="S50" s="720">
        <v>2.2200000000000002</v>
      </c>
      <c r="T50" s="720"/>
      <c r="U50" s="724">
        <v>81</v>
      </c>
      <c r="V50" s="724" t="str">
        <f t="shared" si="2"/>
        <v>0081</v>
      </c>
      <c r="W50" s="724">
        <v>300</v>
      </c>
      <c r="X50" s="720">
        <v>101.61</v>
      </c>
      <c r="Z50" s="741">
        <v>4102</v>
      </c>
      <c r="AA50" s="742">
        <f t="shared" si="3"/>
        <v>179.44</v>
      </c>
    </row>
    <row r="51" spans="1:27" ht="15" x14ac:dyDescent="0.25">
      <c r="A51" s="807" t="s">
        <v>291</v>
      </c>
      <c r="B51">
        <v>113</v>
      </c>
      <c r="C51" s="808">
        <v>5</v>
      </c>
      <c r="D51" s="809">
        <v>0</v>
      </c>
      <c r="E51" s="810">
        <v>0</v>
      </c>
      <c r="F51" s="808">
        <v>5</v>
      </c>
      <c r="H51" s="828" t="s">
        <v>291</v>
      </c>
      <c r="I51" s="815">
        <v>113</v>
      </c>
      <c r="J51" s="839">
        <v>4.46</v>
      </c>
      <c r="K51" s="839">
        <v>0</v>
      </c>
      <c r="L51" s="839">
        <v>0</v>
      </c>
      <c r="M51" s="839">
        <v>4.46</v>
      </c>
      <c r="P51" s="719">
        <v>81</v>
      </c>
      <c r="Q51" s="719" t="str">
        <f t="shared" si="0"/>
        <v>0081</v>
      </c>
      <c r="R51" s="719">
        <v>300</v>
      </c>
      <c r="S51" s="720">
        <v>103.51</v>
      </c>
      <c r="T51" s="720"/>
      <c r="U51" s="724">
        <v>100</v>
      </c>
      <c r="V51" s="724" t="str">
        <f t="shared" si="2"/>
        <v>0100</v>
      </c>
      <c r="W51" s="724">
        <v>113</v>
      </c>
      <c r="X51" s="720">
        <v>0</v>
      </c>
      <c r="Z51" s="741">
        <v>4103</v>
      </c>
      <c r="AA51" s="742">
        <f t="shared" si="3"/>
        <v>957.8</v>
      </c>
    </row>
    <row r="52" spans="1:27" ht="15" x14ac:dyDescent="0.25">
      <c r="A52" s="807" t="s">
        <v>291</v>
      </c>
      <c r="B52">
        <v>254</v>
      </c>
      <c r="C52" s="808">
        <v>37</v>
      </c>
      <c r="D52" s="809">
        <v>9</v>
      </c>
      <c r="E52" s="810">
        <v>7</v>
      </c>
      <c r="F52" s="808">
        <v>21</v>
      </c>
      <c r="H52" s="828" t="s">
        <v>291</v>
      </c>
      <c r="I52" s="815">
        <v>254</v>
      </c>
      <c r="J52" s="839">
        <v>33.96</v>
      </c>
      <c r="K52" s="839">
        <v>8.93</v>
      </c>
      <c r="L52" s="839">
        <v>5.5</v>
      </c>
      <c r="M52" s="839">
        <v>19.53</v>
      </c>
      <c r="P52" s="719">
        <v>100</v>
      </c>
      <c r="Q52" s="719" t="str">
        <f t="shared" si="0"/>
        <v>0100</v>
      </c>
      <c r="R52" s="719">
        <v>113</v>
      </c>
      <c r="S52" s="720">
        <v>0.5</v>
      </c>
      <c r="T52" s="720"/>
      <c r="U52" s="724">
        <v>100</v>
      </c>
      <c r="V52" s="724" t="str">
        <f t="shared" si="2"/>
        <v>0100</v>
      </c>
      <c r="W52" s="724">
        <v>254</v>
      </c>
      <c r="X52" s="720">
        <v>9</v>
      </c>
      <c r="Z52" s="741">
        <v>4111</v>
      </c>
      <c r="AA52" s="742">
        <f t="shared" si="3"/>
        <v>325.14</v>
      </c>
    </row>
    <row r="53" spans="1:27" ht="15" x14ac:dyDescent="0.25">
      <c r="A53" s="807" t="s">
        <v>291</v>
      </c>
      <c r="B53">
        <v>255</v>
      </c>
      <c r="C53" s="808">
        <v>46</v>
      </c>
      <c r="D53" s="809">
        <v>7.5</v>
      </c>
      <c r="E53" s="810">
        <v>13</v>
      </c>
      <c r="F53" s="808">
        <v>25.5</v>
      </c>
      <c r="H53" s="828" t="s">
        <v>291</v>
      </c>
      <c r="I53" s="815">
        <v>255</v>
      </c>
      <c r="J53" s="839">
        <v>50.480000000000004</v>
      </c>
      <c r="K53" s="839">
        <v>9.9499999999999993</v>
      </c>
      <c r="L53" s="839">
        <v>14.5</v>
      </c>
      <c r="M53" s="839">
        <v>26.03</v>
      </c>
      <c r="P53" s="719">
        <v>100</v>
      </c>
      <c r="Q53" s="719" t="str">
        <f t="shared" si="0"/>
        <v>0100</v>
      </c>
      <c r="R53" s="719">
        <v>254</v>
      </c>
      <c r="S53" s="720">
        <v>10</v>
      </c>
      <c r="T53" s="720"/>
      <c r="U53" s="724">
        <v>100</v>
      </c>
      <c r="V53" s="724" t="str">
        <f t="shared" si="2"/>
        <v>0100</v>
      </c>
      <c r="W53" s="724">
        <v>255</v>
      </c>
      <c r="X53" s="720">
        <v>4.5</v>
      </c>
      <c r="Z53" s="741">
        <v>4131</v>
      </c>
      <c r="AA53" s="742">
        <f t="shared" si="3"/>
        <v>122.12</v>
      </c>
    </row>
    <row r="54" spans="1:27" ht="15" x14ac:dyDescent="0.25">
      <c r="A54" s="807" t="s">
        <v>293</v>
      </c>
      <c r="B54">
        <v>113</v>
      </c>
      <c r="C54" s="808">
        <v>40.5</v>
      </c>
      <c r="D54" s="809">
        <v>0</v>
      </c>
      <c r="E54" s="810">
        <v>0</v>
      </c>
      <c r="F54" s="808">
        <v>40.5</v>
      </c>
      <c r="H54" s="828" t="s">
        <v>293</v>
      </c>
      <c r="I54" s="815">
        <v>113</v>
      </c>
      <c r="J54" s="839">
        <v>41</v>
      </c>
      <c r="K54" s="839">
        <v>0</v>
      </c>
      <c r="L54" s="839">
        <v>0</v>
      </c>
      <c r="M54" s="839">
        <v>41</v>
      </c>
      <c r="P54" s="719">
        <v>100</v>
      </c>
      <c r="Q54" s="719" t="str">
        <f t="shared" si="0"/>
        <v>0100</v>
      </c>
      <c r="R54" s="719">
        <v>255</v>
      </c>
      <c r="S54" s="720">
        <v>3</v>
      </c>
      <c r="T54" s="720"/>
      <c r="U54" s="724">
        <v>101</v>
      </c>
      <c r="V54" s="724" t="str">
        <f t="shared" si="2"/>
        <v>0101</v>
      </c>
      <c r="W54" s="724">
        <v>101</v>
      </c>
      <c r="X54" s="720">
        <v>100.37</v>
      </c>
      <c r="Z54" s="744" t="s">
        <v>125</v>
      </c>
      <c r="AA54" s="743">
        <f>SUM(AA3:AA53)</f>
        <v>21067.480000000003</v>
      </c>
    </row>
    <row r="55" spans="1:27" ht="15" x14ac:dyDescent="0.25">
      <c r="A55" s="807" t="s">
        <v>293</v>
      </c>
      <c r="B55">
        <v>254</v>
      </c>
      <c r="C55" s="808">
        <v>0.5</v>
      </c>
      <c r="D55" s="809">
        <v>0</v>
      </c>
      <c r="E55" s="810">
        <v>0</v>
      </c>
      <c r="F55" s="808">
        <v>0.5</v>
      </c>
      <c r="H55" s="828" t="s">
        <v>293</v>
      </c>
      <c r="I55" s="815">
        <v>254</v>
      </c>
      <c r="J55" s="839">
        <v>1</v>
      </c>
      <c r="K55" s="839">
        <v>0</v>
      </c>
      <c r="L55" s="839">
        <v>0</v>
      </c>
      <c r="M55" s="839">
        <v>1</v>
      </c>
      <c r="P55" s="719">
        <v>101</v>
      </c>
      <c r="Q55" s="719" t="str">
        <f t="shared" si="0"/>
        <v>0101</v>
      </c>
      <c r="R55" s="719">
        <v>101</v>
      </c>
      <c r="S55" s="720">
        <v>102.3</v>
      </c>
      <c r="T55" s="720"/>
      <c r="U55" s="724">
        <v>101</v>
      </c>
      <c r="V55" s="724" t="str">
        <f t="shared" si="2"/>
        <v>0101</v>
      </c>
      <c r="W55" s="724">
        <v>102</v>
      </c>
      <c r="X55" s="720">
        <v>55.87</v>
      </c>
    </row>
    <row r="56" spans="1:27" ht="15" x14ac:dyDescent="0.25">
      <c r="A56" s="807" t="s">
        <v>665</v>
      </c>
      <c r="B56">
        <v>101</v>
      </c>
      <c r="C56" s="808">
        <v>49.800000000000004</v>
      </c>
      <c r="D56" s="809">
        <v>49.800000000000004</v>
      </c>
      <c r="E56" s="810">
        <v>0</v>
      </c>
      <c r="F56" s="808">
        <v>0</v>
      </c>
      <c r="H56" s="828" t="s">
        <v>665</v>
      </c>
      <c r="I56" s="815">
        <v>101</v>
      </c>
      <c r="J56" s="839">
        <v>49.419999999999995</v>
      </c>
      <c r="K56" s="839">
        <v>49.419999999999995</v>
      </c>
      <c r="L56" s="839">
        <v>0</v>
      </c>
      <c r="M56" s="839">
        <v>0</v>
      </c>
      <c r="P56" s="719">
        <v>101</v>
      </c>
      <c r="Q56" s="719" t="str">
        <f t="shared" si="0"/>
        <v>0101</v>
      </c>
      <c r="R56" s="719">
        <v>102</v>
      </c>
      <c r="S56" s="720">
        <v>55.7</v>
      </c>
      <c r="T56" s="720"/>
      <c r="U56" s="724">
        <v>101</v>
      </c>
      <c r="V56" s="724" t="str">
        <f t="shared" si="2"/>
        <v>0101</v>
      </c>
      <c r="W56" s="724">
        <v>111</v>
      </c>
      <c r="X56" s="720">
        <v>86.62</v>
      </c>
    </row>
    <row r="57" spans="1:27" ht="15" x14ac:dyDescent="0.25">
      <c r="A57" s="807" t="s">
        <v>665</v>
      </c>
      <c r="B57">
        <v>102</v>
      </c>
      <c r="C57" s="808">
        <v>13.59</v>
      </c>
      <c r="D57" s="809">
        <v>0</v>
      </c>
      <c r="E57" s="810">
        <v>13.59</v>
      </c>
      <c r="F57" s="808">
        <v>0</v>
      </c>
      <c r="H57" s="828" t="s">
        <v>665</v>
      </c>
      <c r="I57" s="815">
        <v>102</v>
      </c>
      <c r="J57" s="839">
        <v>12.56</v>
      </c>
      <c r="K57" s="839">
        <v>0</v>
      </c>
      <c r="L57" s="839">
        <v>12.56</v>
      </c>
      <c r="M57" s="839">
        <v>0</v>
      </c>
      <c r="P57" s="719">
        <v>101</v>
      </c>
      <c r="Q57" s="719" t="str">
        <f t="shared" si="0"/>
        <v>0101</v>
      </c>
      <c r="R57" s="719">
        <v>111</v>
      </c>
      <c r="S57" s="720">
        <v>77.05</v>
      </c>
      <c r="T57" s="720"/>
      <c r="U57" s="724">
        <v>101</v>
      </c>
      <c r="V57" s="724" t="str">
        <f t="shared" si="2"/>
        <v>0101</v>
      </c>
      <c r="W57" s="724">
        <v>112</v>
      </c>
      <c r="X57" s="720">
        <v>42.5</v>
      </c>
    </row>
    <row r="58" spans="1:27" ht="15" x14ac:dyDescent="0.25">
      <c r="A58" s="807" t="s">
        <v>665</v>
      </c>
      <c r="B58">
        <v>111</v>
      </c>
      <c r="C58" s="808">
        <v>6.5</v>
      </c>
      <c r="D58" s="809">
        <v>6.5</v>
      </c>
      <c r="E58" s="810">
        <v>0</v>
      </c>
      <c r="F58" s="808">
        <v>0</v>
      </c>
      <c r="H58" s="828" t="s">
        <v>665</v>
      </c>
      <c r="I58" s="815">
        <v>111</v>
      </c>
      <c r="J58" s="839">
        <v>8.51</v>
      </c>
      <c r="K58" s="839">
        <v>8.51</v>
      </c>
      <c r="L58" s="839">
        <v>0</v>
      </c>
      <c r="M58" s="839">
        <v>0</v>
      </c>
      <c r="P58" s="719">
        <v>101</v>
      </c>
      <c r="Q58" s="719" t="str">
        <f t="shared" si="0"/>
        <v>0101</v>
      </c>
      <c r="R58" s="719">
        <v>112</v>
      </c>
      <c r="S58" s="720">
        <v>41.5</v>
      </c>
      <c r="T58" s="720"/>
      <c r="U58" s="724">
        <v>101</v>
      </c>
      <c r="V58" s="724" t="str">
        <f t="shared" si="2"/>
        <v>0101</v>
      </c>
      <c r="W58" s="724">
        <v>130</v>
      </c>
      <c r="X58" s="720">
        <v>23.73</v>
      </c>
    </row>
    <row r="59" spans="1:27" ht="15" x14ac:dyDescent="0.25">
      <c r="A59" s="807" t="s">
        <v>665</v>
      </c>
      <c r="B59">
        <v>112</v>
      </c>
      <c r="C59" s="808">
        <v>3.5</v>
      </c>
      <c r="D59" s="809">
        <v>0</v>
      </c>
      <c r="E59" s="810">
        <v>3.5</v>
      </c>
      <c r="F59" s="808">
        <v>0</v>
      </c>
      <c r="H59" s="828" t="s">
        <v>665</v>
      </c>
      <c r="I59" s="815">
        <v>112</v>
      </c>
      <c r="J59" s="839">
        <v>4.0199999999999996</v>
      </c>
      <c r="K59" s="839">
        <v>0</v>
      </c>
      <c r="L59" s="839">
        <v>4.0199999999999996</v>
      </c>
      <c r="M59" s="839">
        <v>0</v>
      </c>
      <c r="P59" s="719">
        <v>101</v>
      </c>
      <c r="Q59" s="719" t="str">
        <f t="shared" si="0"/>
        <v>0101</v>
      </c>
      <c r="R59" s="719">
        <v>130</v>
      </c>
      <c r="S59" s="720">
        <v>22.49</v>
      </c>
      <c r="T59" s="720"/>
      <c r="U59" s="724">
        <v>101</v>
      </c>
      <c r="V59" s="724" t="str">
        <f t="shared" si="2"/>
        <v>0101</v>
      </c>
      <c r="W59" s="724">
        <v>254</v>
      </c>
      <c r="X59" s="720">
        <v>9.5</v>
      </c>
    </row>
    <row r="60" spans="1:27" ht="15" x14ac:dyDescent="0.25">
      <c r="A60" s="807" t="s">
        <v>665</v>
      </c>
      <c r="B60">
        <v>130</v>
      </c>
      <c r="C60" s="808">
        <v>6.61</v>
      </c>
      <c r="D60" s="809">
        <v>6.2</v>
      </c>
      <c r="E60" s="810">
        <v>0.41</v>
      </c>
      <c r="F60" s="808">
        <v>0</v>
      </c>
      <c r="H60" s="828" t="s">
        <v>665</v>
      </c>
      <c r="I60" s="815">
        <v>130</v>
      </c>
      <c r="J60" s="839">
        <v>6.6</v>
      </c>
      <c r="K60" s="839">
        <v>6.1899999999999995</v>
      </c>
      <c r="L60" s="839">
        <v>0.41</v>
      </c>
      <c r="M60" s="839">
        <v>0</v>
      </c>
      <c r="P60" s="719">
        <v>101</v>
      </c>
      <c r="Q60" s="719" t="str">
        <f t="shared" si="0"/>
        <v>0101</v>
      </c>
      <c r="R60" s="719">
        <v>254</v>
      </c>
      <c r="S60" s="720">
        <v>11.5</v>
      </c>
      <c r="T60" s="720"/>
      <c r="U60" s="724">
        <v>101</v>
      </c>
      <c r="V60" s="724" t="str">
        <f t="shared" si="2"/>
        <v>0101</v>
      </c>
      <c r="W60" s="724">
        <v>255</v>
      </c>
      <c r="X60" s="720">
        <v>1.5</v>
      </c>
    </row>
    <row r="61" spans="1:27" ht="15" x14ac:dyDescent="0.25">
      <c r="A61" s="807" t="s">
        <v>295</v>
      </c>
      <c r="B61">
        <v>101</v>
      </c>
      <c r="C61" s="808">
        <v>171.58</v>
      </c>
      <c r="D61" s="809">
        <v>171.58</v>
      </c>
      <c r="E61" s="810">
        <v>0</v>
      </c>
      <c r="F61" s="808">
        <v>0</v>
      </c>
      <c r="H61" s="828" t="s">
        <v>295</v>
      </c>
      <c r="I61" s="815">
        <v>101</v>
      </c>
      <c r="J61" s="839">
        <v>171.7</v>
      </c>
      <c r="K61" s="839">
        <v>171.7</v>
      </c>
      <c r="L61" s="839">
        <v>0</v>
      </c>
      <c r="M61" s="839">
        <v>0</v>
      </c>
      <c r="P61" s="719">
        <v>101</v>
      </c>
      <c r="Q61" s="719" t="str">
        <f t="shared" si="0"/>
        <v>0101</v>
      </c>
      <c r="R61" s="719">
        <v>255</v>
      </c>
      <c r="S61" s="720">
        <v>1.5</v>
      </c>
      <c r="T61" s="720"/>
      <c r="U61" s="724">
        <v>111</v>
      </c>
      <c r="V61" s="724" t="str">
        <f t="shared" si="2"/>
        <v>0111</v>
      </c>
      <c r="W61" s="724">
        <v>101</v>
      </c>
      <c r="X61" s="720">
        <v>126.82</v>
      </c>
    </row>
    <row r="62" spans="1:27" ht="15" x14ac:dyDescent="0.25">
      <c r="A62" s="807" t="s">
        <v>295</v>
      </c>
      <c r="B62">
        <v>102</v>
      </c>
      <c r="C62" s="808">
        <v>229.57</v>
      </c>
      <c r="D62" s="809">
        <v>0</v>
      </c>
      <c r="E62" s="810">
        <v>229.57</v>
      </c>
      <c r="F62" s="808">
        <v>0</v>
      </c>
      <c r="H62" s="828" t="s">
        <v>295</v>
      </c>
      <c r="I62" s="815">
        <v>102</v>
      </c>
      <c r="J62" s="839">
        <v>225.17</v>
      </c>
      <c r="K62" s="839">
        <v>0</v>
      </c>
      <c r="L62" s="839">
        <v>225.17</v>
      </c>
      <c r="M62" s="839">
        <v>0</v>
      </c>
      <c r="P62" s="719">
        <v>111</v>
      </c>
      <c r="Q62" s="719" t="str">
        <f t="shared" si="0"/>
        <v>0111</v>
      </c>
      <c r="R62" s="719">
        <v>101</v>
      </c>
      <c r="S62" s="720">
        <v>133.22999999999999</v>
      </c>
      <c r="T62" s="720"/>
      <c r="U62" s="724">
        <v>111</v>
      </c>
      <c r="V62" s="724" t="str">
        <f t="shared" si="2"/>
        <v>0111</v>
      </c>
      <c r="W62" s="724">
        <v>102</v>
      </c>
      <c r="X62" s="720">
        <v>56.91</v>
      </c>
    </row>
    <row r="63" spans="1:27" ht="15" x14ac:dyDescent="0.25">
      <c r="A63" s="807" t="s">
        <v>295</v>
      </c>
      <c r="B63">
        <v>111</v>
      </c>
      <c r="C63" s="808">
        <v>29</v>
      </c>
      <c r="D63" s="809">
        <v>29</v>
      </c>
      <c r="E63" s="810">
        <v>0</v>
      </c>
      <c r="F63" s="808">
        <v>0</v>
      </c>
      <c r="H63" s="828" t="s">
        <v>295</v>
      </c>
      <c r="I63" s="815">
        <v>111</v>
      </c>
      <c r="J63" s="839">
        <v>30.14</v>
      </c>
      <c r="K63" s="839">
        <v>30.14</v>
      </c>
      <c r="L63" s="839">
        <v>0</v>
      </c>
      <c r="M63" s="839">
        <v>0</v>
      </c>
      <c r="P63" s="719">
        <v>111</v>
      </c>
      <c r="Q63" s="719" t="str">
        <f t="shared" si="0"/>
        <v>0111</v>
      </c>
      <c r="R63" s="719">
        <v>102</v>
      </c>
      <c r="S63" s="720">
        <v>59.84</v>
      </c>
      <c r="T63" s="720"/>
      <c r="U63" s="724">
        <v>111</v>
      </c>
      <c r="V63" s="724" t="str">
        <f t="shared" si="2"/>
        <v>0111</v>
      </c>
      <c r="W63" s="724">
        <v>111</v>
      </c>
      <c r="X63" s="720">
        <v>66.64</v>
      </c>
    </row>
    <row r="64" spans="1:27" ht="15" x14ac:dyDescent="0.25">
      <c r="A64" s="807" t="s">
        <v>295</v>
      </c>
      <c r="B64">
        <v>112</v>
      </c>
      <c r="C64" s="808">
        <v>61.5</v>
      </c>
      <c r="D64" s="809">
        <v>0</v>
      </c>
      <c r="E64" s="810">
        <v>61.5</v>
      </c>
      <c r="F64" s="808">
        <v>0</v>
      </c>
      <c r="H64" s="828" t="s">
        <v>295</v>
      </c>
      <c r="I64" s="815">
        <v>112</v>
      </c>
      <c r="J64" s="839">
        <v>64.449999999999989</v>
      </c>
      <c r="K64" s="839">
        <v>0</v>
      </c>
      <c r="L64" s="839">
        <v>64.449999999999989</v>
      </c>
      <c r="M64" s="839">
        <v>0</v>
      </c>
      <c r="P64" s="719">
        <v>111</v>
      </c>
      <c r="Q64" s="719" t="str">
        <f t="shared" si="0"/>
        <v>0111</v>
      </c>
      <c r="R64" s="719">
        <v>111</v>
      </c>
      <c r="S64" s="720">
        <v>58.57</v>
      </c>
      <c r="T64" s="720"/>
      <c r="U64" s="724">
        <v>111</v>
      </c>
      <c r="V64" s="724" t="str">
        <f t="shared" si="2"/>
        <v>0111</v>
      </c>
      <c r="W64" s="724">
        <v>112</v>
      </c>
      <c r="X64" s="720">
        <v>43.41</v>
      </c>
    </row>
    <row r="65" spans="1:24" ht="15" x14ac:dyDescent="0.25">
      <c r="A65" s="807" t="s">
        <v>295</v>
      </c>
      <c r="B65">
        <v>130</v>
      </c>
      <c r="C65" s="808">
        <v>32.14</v>
      </c>
      <c r="D65" s="809">
        <v>27.42</v>
      </c>
      <c r="E65" s="810">
        <v>4.72</v>
      </c>
      <c r="F65" s="808">
        <v>0</v>
      </c>
      <c r="H65" s="828" t="s">
        <v>295</v>
      </c>
      <c r="I65" s="815">
        <v>130</v>
      </c>
      <c r="J65" s="839">
        <v>34.06</v>
      </c>
      <c r="K65" s="839">
        <v>29.340000000000003</v>
      </c>
      <c r="L65" s="839">
        <v>4.72</v>
      </c>
      <c r="M65" s="839">
        <v>0</v>
      </c>
      <c r="P65" s="719">
        <v>111</v>
      </c>
      <c r="Q65" s="719" t="str">
        <f t="shared" si="0"/>
        <v>0111</v>
      </c>
      <c r="R65" s="719">
        <v>112</v>
      </c>
      <c r="S65" s="720">
        <v>40.909999999999997</v>
      </c>
      <c r="T65" s="720"/>
      <c r="U65" s="724">
        <v>111</v>
      </c>
      <c r="V65" s="724" t="str">
        <f t="shared" si="2"/>
        <v>0111</v>
      </c>
      <c r="W65" s="724">
        <v>130</v>
      </c>
      <c r="X65" s="720">
        <v>38.53</v>
      </c>
    </row>
    <row r="66" spans="1:24" ht="15" x14ac:dyDescent="0.25">
      <c r="A66" s="807" t="s">
        <v>297</v>
      </c>
      <c r="B66">
        <v>101</v>
      </c>
      <c r="C66" s="808">
        <v>41.54</v>
      </c>
      <c r="D66" s="809">
        <v>41.54</v>
      </c>
      <c r="E66" s="810">
        <v>0</v>
      </c>
      <c r="F66" s="808">
        <v>0</v>
      </c>
      <c r="H66" s="828" t="s">
        <v>297</v>
      </c>
      <c r="I66" s="815">
        <v>101</v>
      </c>
      <c r="J66" s="839">
        <v>37.42</v>
      </c>
      <c r="K66" s="839">
        <v>37.42</v>
      </c>
      <c r="L66" s="839">
        <v>0</v>
      </c>
      <c r="M66" s="839">
        <v>0</v>
      </c>
      <c r="P66" s="719">
        <v>111</v>
      </c>
      <c r="Q66" s="719" t="str">
        <f t="shared" si="0"/>
        <v>0111</v>
      </c>
      <c r="R66" s="719">
        <v>130</v>
      </c>
      <c r="S66" s="720">
        <v>39.74</v>
      </c>
      <c r="T66" s="720"/>
      <c r="U66" s="724">
        <v>121</v>
      </c>
      <c r="V66" s="724" t="str">
        <f t="shared" si="2"/>
        <v>0121</v>
      </c>
      <c r="W66" s="724">
        <v>102</v>
      </c>
      <c r="X66" s="720">
        <v>205.05</v>
      </c>
    </row>
    <row r="67" spans="1:24" ht="15" x14ac:dyDescent="0.25">
      <c r="A67" s="807" t="s">
        <v>297</v>
      </c>
      <c r="B67">
        <v>102</v>
      </c>
      <c r="C67" s="808">
        <v>62.08</v>
      </c>
      <c r="D67" s="809">
        <v>0</v>
      </c>
      <c r="E67" s="810">
        <v>62.08</v>
      </c>
      <c r="F67" s="808">
        <v>0</v>
      </c>
      <c r="H67" s="828" t="s">
        <v>297</v>
      </c>
      <c r="I67" s="815">
        <v>102</v>
      </c>
      <c r="J67" s="839">
        <v>61.349999999999994</v>
      </c>
      <c r="K67" s="839">
        <v>0</v>
      </c>
      <c r="L67" s="839">
        <v>61.349999999999994</v>
      </c>
      <c r="M67" s="839">
        <v>0</v>
      </c>
      <c r="P67" s="719">
        <v>121</v>
      </c>
      <c r="Q67" s="719" t="str">
        <f t="shared" ref="Q67:Q130" si="4">TEXT(P67,"0000")</f>
        <v>0121</v>
      </c>
      <c r="R67" s="719">
        <v>102</v>
      </c>
      <c r="S67" s="720">
        <v>205.61</v>
      </c>
      <c r="T67" s="720"/>
      <c r="U67" s="724">
        <v>121</v>
      </c>
      <c r="V67" s="724" t="str">
        <f t="shared" si="2"/>
        <v>0121</v>
      </c>
      <c r="W67" s="724">
        <v>112</v>
      </c>
      <c r="X67" s="720">
        <v>70.75</v>
      </c>
    </row>
    <row r="68" spans="1:24" ht="15" x14ac:dyDescent="0.25">
      <c r="A68" s="807" t="s">
        <v>297</v>
      </c>
      <c r="B68">
        <v>111</v>
      </c>
      <c r="C68" s="808">
        <v>8</v>
      </c>
      <c r="D68" s="809">
        <v>8</v>
      </c>
      <c r="E68" s="810">
        <v>0</v>
      </c>
      <c r="F68" s="808">
        <v>0</v>
      </c>
      <c r="H68" s="828" t="s">
        <v>297</v>
      </c>
      <c r="I68" s="815">
        <v>111</v>
      </c>
      <c r="J68" s="839">
        <v>7.49</v>
      </c>
      <c r="K68" s="839">
        <v>7.49</v>
      </c>
      <c r="L68" s="839">
        <v>0</v>
      </c>
      <c r="M68" s="839">
        <v>0</v>
      </c>
      <c r="P68" s="719">
        <v>121</v>
      </c>
      <c r="Q68" s="719" t="str">
        <f t="shared" si="4"/>
        <v>0121</v>
      </c>
      <c r="R68" s="719">
        <v>112</v>
      </c>
      <c r="S68" s="720">
        <v>71.069999999999993</v>
      </c>
      <c r="T68" s="720"/>
      <c r="U68" s="724">
        <v>121</v>
      </c>
      <c r="V68" s="724" t="str">
        <f t="shared" ref="V68:V131" si="5">TEXT(U68,"0000")</f>
        <v>0121</v>
      </c>
      <c r="W68" s="724">
        <v>130</v>
      </c>
      <c r="X68" s="720">
        <v>27.15</v>
      </c>
    </row>
    <row r="69" spans="1:24" ht="15" x14ac:dyDescent="0.25">
      <c r="A69" s="807" t="s">
        <v>297</v>
      </c>
      <c r="B69">
        <v>112</v>
      </c>
      <c r="C69" s="808">
        <v>20</v>
      </c>
      <c r="D69" s="809">
        <v>0</v>
      </c>
      <c r="E69" s="810">
        <v>20</v>
      </c>
      <c r="F69" s="808">
        <v>0</v>
      </c>
      <c r="H69" s="828" t="s">
        <v>297</v>
      </c>
      <c r="I69" s="815">
        <v>112</v>
      </c>
      <c r="J69" s="839">
        <v>16.53</v>
      </c>
      <c r="K69" s="839">
        <v>0</v>
      </c>
      <c r="L69" s="839">
        <v>16.53</v>
      </c>
      <c r="M69" s="839">
        <v>0</v>
      </c>
      <c r="P69" s="719">
        <v>121</v>
      </c>
      <c r="Q69" s="719" t="str">
        <f t="shared" si="4"/>
        <v>0121</v>
      </c>
      <c r="R69" s="719">
        <v>130</v>
      </c>
      <c r="S69" s="720">
        <v>29.73</v>
      </c>
      <c r="T69" s="720"/>
      <c r="U69" s="724">
        <v>131</v>
      </c>
      <c r="V69" s="724" t="str">
        <f t="shared" si="5"/>
        <v>0131</v>
      </c>
      <c r="W69" s="724">
        <v>101</v>
      </c>
      <c r="X69" s="720">
        <v>128.87</v>
      </c>
    </row>
    <row r="70" spans="1:24" ht="15" x14ac:dyDescent="0.25">
      <c r="A70" s="807" t="s">
        <v>297</v>
      </c>
      <c r="B70">
        <v>130</v>
      </c>
      <c r="C70" s="808">
        <v>3.8899999999999997</v>
      </c>
      <c r="D70" s="809">
        <v>3.4699999999999998</v>
      </c>
      <c r="E70" s="810">
        <v>0.42</v>
      </c>
      <c r="F70" s="808">
        <v>0</v>
      </c>
      <c r="H70" s="828" t="s">
        <v>297</v>
      </c>
      <c r="I70" s="815">
        <v>130</v>
      </c>
      <c r="J70" s="839">
        <v>3.4899999999999998</v>
      </c>
      <c r="K70" s="839">
        <v>3.07</v>
      </c>
      <c r="L70" s="839">
        <v>0.42</v>
      </c>
      <c r="M70" s="839">
        <v>0</v>
      </c>
      <c r="P70" s="719">
        <v>131</v>
      </c>
      <c r="Q70" s="719" t="str">
        <f t="shared" si="4"/>
        <v>0131</v>
      </c>
      <c r="R70" s="719">
        <v>101</v>
      </c>
      <c r="S70" s="720">
        <v>136.15</v>
      </c>
      <c r="T70" s="720"/>
      <c r="U70" s="724">
        <v>131</v>
      </c>
      <c r="V70" s="724" t="str">
        <f t="shared" si="5"/>
        <v>0131</v>
      </c>
      <c r="W70" s="724">
        <v>102</v>
      </c>
      <c r="X70" s="720">
        <v>142.82</v>
      </c>
    </row>
    <row r="71" spans="1:24" ht="15" x14ac:dyDescent="0.25">
      <c r="A71" s="807" t="s">
        <v>301</v>
      </c>
      <c r="B71">
        <v>101</v>
      </c>
      <c r="C71" s="808">
        <v>39.619999999999997</v>
      </c>
      <c r="D71" s="809">
        <v>39.619999999999997</v>
      </c>
      <c r="E71" s="810">
        <v>0</v>
      </c>
      <c r="F71" s="808">
        <v>0</v>
      </c>
      <c r="H71" s="828" t="s">
        <v>301</v>
      </c>
      <c r="I71" s="815">
        <v>101</v>
      </c>
      <c r="J71" s="839">
        <v>38.08</v>
      </c>
      <c r="K71" s="839">
        <v>38.08</v>
      </c>
      <c r="L71" s="839">
        <v>0</v>
      </c>
      <c r="M71" s="839">
        <v>0</v>
      </c>
      <c r="P71" s="719">
        <v>131</v>
      </c>
      <c r="Q71" s="719" t="str">
        <f t="shared" si="4"/>
        <v>0131</v>
      </c>
      <c r="R71" s="719">
        <v>102</v>
      </c>
      <c r="S71" s="720">
        <v>145.1</v>
      </c>
      <c r="T71" s="720"/>
      <c r="U71" s="724">
        <v>131</v>
      </c>
      <c r="V71" s="724" t="str">
        <f t="shared" si="5"/>
        <v>0131</v>
      </c>
      <c r="W71" s="724">
        <v>111</v>
      </c>
      <c r="X71" s="720">
        <v>38.03</v>
      </c>
    </row>
    <row r="72" spans="1:24" ht="15" x14ac:dyDescent="0.25">
      <c r="A72" s="807" t="s">
        <v>301</v>
      </c>
      <c r="B72">
        <v>102</v>
      </c>
      <c r="C72" s="808">
        <v>14.780000000000001</v>
      </c>
      <c r="D72" s="809">
        <v>0</v>
      </c>
      <c r="E72" s="810">
        <v>14.780000000000001</v>
      </c>
      <c r="F72" s="808">
        <v>0</v>
      </c>
      <c r="H72" s="828" t="s">
        <v>301</v>
      </c>
      <c r="I72" s="815">
        <v>102</v>
      </c>
      <c r="J72" s="839">
        <v>14.83</v>
      </c>
      <c r="K72" s="839">
        <v>0</v>
      </c>
      <c r="L72" s="839">
        <v>14.83</v>
      </c>
      <c r="M72" s="839">
        <v>0</v>
      </c>
      <c r="P72" s="719">
        <v>131</v>
      </c>
      <c r="Q72" s="719" t="str">
        <f t="shared" si="4"/>
        <v>0131</v>
      </c>
      <c r="R72" s="719">
        <v>111</v>
      </c>
      <c r="S72" s="720">
        <v>32.700000000000003</v>
      </c>
      <c r="T72" s="720"/>
      <c r="U72" s="724">
        <v>131</v>
      </c>
      <c r="V72" s="724" t="str">
        <f t="shared" si="5"/>
        <v>0131</v>
      </c>
      <c r="W72" s="724">
        <v>112</v>
      </c>
      <c r="X72" s="720">
        <v>50.17</v>
      </c>
    </row>
    <row r="73" spans="1:24" ht="15" x14ac:dyDescent="0.25">
      <c r="A73" s="807" t="s">
        <v>301</v>
      </c>
      <c r="B73">
        <v>111</v>
      </c>
      <c r="C73" s="808">
        <v>4</v>
      </c>
      <c r="D73" s="809">
        <v>4</v>
      </c>
      <c r="E73" s="810">
        <v>0</v>
      </c>
      <c r="F73" s="808">
        <v>0</v>
      </c>
      <c r="H73" s="828" t="s">
        <v>301</v>
      </c>
      <c r="I73" s="815">
        <v>111</v>
      </c>
      <c r="J73" s="839">
        <v>5</v>
      </c>
      <c r="K73" s="839">
        <v>5</v>
      </c>
      <c r="L73" s="839">
        <v>0</v>
      </c>
      <c r="M73" s="839">
        <v>0</v>
      </c>
      <c r="P73" s="719">
        <v>131</v>
      </c>
      <c r="Q73" s="719" t="str">
        <f t="shared" si="4"/>
        <v>0131</v>
      </c>
      <c r="R73" s="719">
        <v>112</v>
      </c>
      <c r="S73" s="720">
        <v>51.26</v>
      </c>
      <c r="T73" s="720"/>
      <c r="U73" s="724">
        <v>131</v>
      </c>
      <c r="V73" s="724" t="str">
        <f t="shared" si="5"/>
        <v>0131</v>
      </c>
      <c r="W73" s="724">
        <v>130</v>
      </c>
      <c r="X73" s="720">
        <v>50.45</v>
      </c>
    </row>
    <row r="74" spans="1:24" ht="15" x14ac:dyDescent="0.25">
      <c r="A74" s="807" t="s">
        <v>301</v>
      </c>
      <c r="B74">
        <v>112</v>
      </c>
      <c r="C74" s="808">
        <v>4</v>
      </c>
      <c r="D74" s="809">
        <v>0</v>
      </c>
      <c r="E74" s="810">
        <v>4</v>
      </c>
      <c r="F74" s="808">
        <v>0</v>
      </c>
      <c r="H74" s="828" t="s">
        <v>301</v>
      </c>
      <c r="I74" s="815">
        <v>112</v>
      </c>
      <c r="J74" s="839">
        <v>4.5</v>
      </c>
      <c r="K74" s="839">
        <v>0</v>
      </c>
      <c r="L74" s="839">
        <v>4.5</v>
      </c>
      <c r="M74" s="839">
        <v>0</v>
      </c>
      <c r="P74" s="719">
        <v>131</v>
      </c>
      <c r="Q74" s="719" t="str">
        <f t="shared" si="4"/>
        <v>0131</v>
      </c>
      <c r="R74" s="719">
        <v>130</v>
      </c>
      <c r="S74" s="720">
        <v>52.85</v>
      </c>
      <c r="T74" s="720"/>
      <c r="U74" s="724">
        <v>141</v>
      </c>
      <c r="V74" s="724" t="str">
        <f t="shared" si="5"/>
        <v>0141</v>
      </c>
      <c r="W74" s="724">
        <v>101</v>
      </c>
      <c r="X74" s="720">
        <v>56.01</v>
      </c>
    </row>
    <row r="75" spans="1:24" ht="15" x14ac:dyDescent="0.25">
      <c r="A75" s="807" t="s">
        <v>301</v>
      </c>
      <c r="B75">
        <v>130</v>
      </c>
      <c r="C75" s="808">
        <v>34.1</v>
      </c>
      <c r="D75" s="809">
        <v>26.38</v>
      </c>
      <c r="E75" s="810">
        <v>7.7200000000000006</v>
      </c>
      <c r="F75" s="808">
        <v>0</v>
      </c>
      <c r="H75" s="828" t="s">
        <v>301</v>
      </c>
      <c r="I75" s="815">
        <v>130</v>
      </c>
      <c r="J75" s="839">
        <v>34.07</v>
      </c>
      <c r="K75" s="839">
        <v>25.9</v>
      </c>
      <c r="L75" s="839">
        <v>8.17</v>
      </c>
      <c r="M75" s="839">
        <v>0</v>
      </c>
      <c r="P75" s="719">
        <v>141</v>
      </c>
      <c r="Q75" s="719" t="str">
        <f t="shared" si="4"/>
        <v>0141</v>
      </c>
      <c r="R75" s="719">
        <v>101</v>
      </c>
      <c r="S75" s="720">
        <v>60.13</v>
      </c>
      <c r="T75" s="720"/>
      <c r="U75" s="724">
        <v>141</v>
      </c>
      <c r="V75" s="724" t="str">
        <f t="shared" si="5"/>
        <v>0141</v>
      </c>
      <c r="W75" s="724">
        <v>102</v>
      </c>
      <c r="X75" s="720">
        <v>29.53</v>
      </c>
    </row>
    <row r="76" spans="1:24" ht="15" x14ac:dyDescent="0.25">
      <c r="A76" s="807" t="s">
        <v>303</v>
      </c>
      <c r="B76">
        <v>101</v>
      </c>
      <c r="C76" s="808">
        <v>63.97</v>
      </c>
      <c r="D76" s="809">
        <v>63.97</v>
      </c>
      <c r="E76" s="810">
        <v>0</v>
      </c>
      <c r="F76" s="808">
        <v>0</v>
      </c>
      <c r="H76" s="828" t="s">
        <v>303</v>
      </c>
      <c r="I76" s="815">
        <v>101</v>
      </c>
      <c r="J76" s="839">
        <v>62.459999999999994</v>
      </c>
      <c r="K76" s="839">
        <v>62.459999999999994</v>
      </c>
      <c r="L76" s="839">
        <v>0</v>
      </c>
      <c r="M76" s="839">
        <v>0</v>
      </c>
      <c r="P76" s="719">
        <v>141</v>
      </c>
      <c r="Q76" s="719" t="str">
        <f t="shared" si="4"/>
        <v>0141</v>
      </c>
      <c r="R76" s="719">
        <v>102</v>
      </c>
      <c r="S76" s="720">
        <v>28.82</v>
      </c>
      <c r="T76" s="720"/>
      <c r="U76" s="724">
        <v>141</v>
      </c>
      <c r="V76" s="724" t="str">
        <f t="shared" si="5"/>
        <v>0141</v>
      </c>
      <c r="W76" s="724">
        <v>111</v>
      </c>
      <c r="X76" s="720">
        <v>15.99</v>
      </c>
    </row>
    <row r="77" spans="1:24" ht="15" x14ac:dyDescent="0.25">
      <c r="A77" s="807" t="s">
        <v>303</v>
      </c>
      <c r="B77">
        <v>102</v>
      </c>
      <c r="C77" s="808">
        <v>114.82</v>
      </c>
      <c r="D77" s="809">
        <v>0</v>
      </c>
      <c r="E77" s="810">
        <v>114.82</v>
      </c>
      <c r="F77" s="808">
        <v>0</v>
      </c>
      <c r="H77" s="828" t="s">
        <v>303</v>
      </c>
      <c r="I77" s="815">
        <v>102</v>
      </c>
      <c r="J77" s="839">
        <v>111.23</v>
      </c>
      <c r="K77" s="839">
        <v>0</v>
      </c>
      <c r="L77" s="839">
        <v>111.23</v>
      </c>
      <c r="M77" s="839">
        <v>0</v>
      </c>
      <c r="P77" s="719">
        <v>141</v>
      </c>
      <c r="Q77" s="719" t="str">
        <f t="shared" si="4"/>
        <v>0141</v>
      </c>
      <c r="R77" s="719">
        <v>111</v>
      </c>
      <c r="S77" s="720">
        <v>14.99</v>
      </c>
      <c r="T77" s="720"/>
      <c r="U77" s="724">
        <v>141</v>
      </c>
      <c r="V77" s="724" t="str">
        <f t="shared" si="5"/>
        <v>0141</v>
      </c>
      <c r="W77" s="724">
        <v>112</v>
      </c>
      <c r="X77" s="720">
        <v>14</v>
      </c>
    </row>
    <row r="78" spans="1:24" ht="15" x14ac:dyDescent="0.25">
      <c r="A78" s="807" t="s">
        <v>303</v>
      </c>
      <c r="B78">
        <v>111</v>
      </c>
      <c r="C78" s="808">
        <v>10.5</v>
      </c>
      <c r="D78" s="809">
        <v>10.5</v>
      </c>
      <c r="E78" s="810">
        <v>0</v>
      </c>
      <c r="F78" s="808">
        <v>0</v>
      </c>
      <c r="H78" s="828" t="s">
        <v>303</v>
      </c>
      <c r="I78" s="815">
        <v>111</v>
      </c>
      <c r="J78" s="839">
        <v>12</v>
      </c>
      <c r="K78" s="839">
        <v>12</v>
      </c>
      <c r="L78" s="839">
        <v>0</v>
      </c>
      <c r="M78" s="839">
        <v>0</v>
      </c>
      <c r="P78" s="719">
        <v>141</v>
      </c>
      <c r="Q78" s="719" t="str">
        <f t="shared" si="4"/>
        <v>0141</v>
      </c>
      <c r="R78" s="719">
        <v>112</v>
      </c>
      <c r="S78" s="720">
        <v>14</v>
      </c>
      <c r="T78" s="720"/>
      <c r="U78" s="724">
        <v>141</v>
      </c>
      <c r="V78" s="724" t="str">
        <f t="shared" si="5"/>
        <v>0141</v>
      </c>
      <c r="W78" s="724">
        <v>130</v>
      </c>
      <c r="X78" s="720">
        <v>59.92</v>
      </c>
    </row>
    <row r="79" spans="1:24" ht="15" x14ac:dyDescent="0.25">
      <c r="A79" s="807" t="s">
        <v>303</v>
      </c>
      <c r="B79">
        <v>112</v>
      </c>
      <c r="C79" s="808">
        <v>17.5</v>
      </c>
      <c r="D79" s="809">
        <v>0</v>
      </c>
      <c r="E79" s="810">
        <v>17.5</v>
      </c>
      <c r="F79" s="808">
        <v>0</v>
      </c>
      <c r="H79" s="828" t="s">
        <v>303</v>
      </c>
      <c r="I79" s="815">
        <v>112</v>
      </c>
      <c r="J79" s="839">
        <v>18.5</v>
      </c>
      <c r="K79" s="839">
        <v>0</v>
      </c>
      <c r="L79" s="839">
        <v>18.5</v>
      </c>
      <c r="M79" s="839">
        <v>0</v>
      </c>
      <c r="P79" s="719">
        <v>141</v>
      </c>
      <c r="Q79" s="719" t="str">
        <f t="shared" si="4"/>
        <v>0141</v>
      </c>
      <c r="R79" s="719">
        <v>130</v>
      </c>
      <c r="S79" s="720">
        <v>61.96</v>
      </c>
      <c r="T79" s="720"/>
      <c r="U79" s="724">
        <v>151</v>
      </c>
      <c r="V79" s="724" t="str">
        <f t="shared" si="5"/>
        <v>0151</v>
      </c>
      <c r="W79" s="724">
        <v>103</v>
      </c>
      <c r="X79" s="720">
        <v>624.5</v>
      </c>
    </row>
    <row r="80" spans="1:24" ht="15" x14ac:dyDescent="0.25">
      <c r="A80" s="807" t="s">
        <v>303</v>
      </c>
      <c r="B80">
        <v>130</v>
      </c>
      <c r="C80" s="808">
        <v>63.71</v>
      </c>
      <c r="D80" s="809">
        <v>52.53</v>
      </c>
      <c r="E80" s="810">
        <v>11.18</v>
      </c>
      <c r="F80" s="808">
        <v>0</v>
      </c>
      <c r="H80" s="828" t="s">
        <v>303</v>
      </c>
      <c r="I80" s="815">
        <v>130</v>
      </c>
      <c r="J80" s="839">
        <v>62.54</v>
      </c>
      <c r="K80" s="839">
        <v>52.53</v>
      </c>
      <c r="L80" s="839">
        <v>10.009999999999998</v>
      </c>
      <c r="M80" s="839">
        <v>0</v>
      </c>
      <c r="P80" s="719">
        <v>151</v>
      </c>
      <c r="Q80" s="719" t="str">
        <f t="shared" si="4"/>
        <v>0151</v>
      </c>
      <c r="R80" s="719">
        <v>103</v>
      </c>
      <c r="S80" s="720">
        <v>664.78</v>
      </c>
      <c r="T80" s="720"/>
      <c r="U80" s="724">
        <v>151</v>
      </c>
      <c r="V80" s="724" t="str">
        <f t="shared" si="5"/>
        <v>0151</v>
      </c>
      <c r="W80" s="724">
        <v>113</v>
      </c>
      <c r="X80" s="720">
        <v>27.46</v>
      </c>
    </row>
    <row r="81" spans="1:24" ht="15" x14ac:dyDescent="0.25">
      <c r="A81" s="807" t="s">
        <v>305</v>
      </c>
      <c r="B81">
        <v>102</v>
      </c>
      <c r="C81" s="808">
        <v>105.63999999999999</v>
      </c>
      <c r="D81" s="809">
        <v>0</v>
      </c>
      <c r="E81" s="810">
        <v>105.63999999999999</v>
      </c>
      <c r="F81" s="808">
        <v>0</v>
      </c>
      <c r="H81" s="828" t="s">
        <v>305</v>
      </c>
      <c r="I81" s="815">
        <v>102</v>
      </c>
      <c r="J81" s="839">
        <v>95.830000000000013</v>
      </c>
      <c r="K81" s="839">
        <v>0</v>
      </c>
      <c r="L81" s="839">
        <v>95.830000000000013</v>
      </c>
      <c r="M81" s="839">
        <v>0</v>
      </c>
      <c r="P81" s="719">
        <v>151</v>
      </c>
      <c r="Q81" s="719" t="str">
        <f t="shared" si="4"/>
        <v>0151</v>
      </c>
      <c r="R81" s="719">
        <v>113</v>
      </c>
      <c r="S81" s="720">
        <v>30.75</v>
      </c>
      <c r="T81" s="720"/>
      <c r="U81" s="724">
        <v>151</v>
      </c>
      <c r="V81" s="724" t="str">
        <f t="shared" si="5"/>
        <v>0151</v>
      </c>
      <c r="W81" s="724">
        <v>130</v>
      </c>
      <c r="X81" s="720">
        <v>1.52</v>
      </c>
    </row>
    <row r="82" spans="1:24" ht="15" x14ac:dyDescent="0.25">
      <c r="A82" s="807" t="s">
        <v>305</v>
      </c>
      <c r="B82">
        <v>103</v>
      </c>
      <c r="C82" s="808">
        <v>169.48000000000002</v>
      </c>
      <c r="D82" s="809">
        <v>0</v>
      </c>
      <c r="E82" s="810">
        <v>0</v>
      </c>
      <c r="F82" s="808">
        <v>169.48000000000002</v>
      </c>
      <c r="H82" s="828" t="s">
        <v>305</v>
      </c>
      <c r="I82" s="815">
        <v>103</v>
      </c>
      <c r="J82" s="839">
        <v>168.27</v>
      </c>
      <c r="K82" s="839">
        <v>0</v>
      </c>
      <c r="L82" s="839">
        <v>0</v>
      </c>
      <c r="M82" s="839">
        <v>168.27</v>
      </c>
      <c r="P82" s="719">
        <v>151</v>
      </c>
      <c r="Q82" s="719" t="str">
        <f t="shared" si="4"/>
        <v>0151</v>
      </c>
      <c r="R82" s="719">
        <v>130</v>
      </c>
      <c r="S82" s="720">
        <v>1.6</v>
      </c>
      <c r="T82" s="720"/>
      <c r="U82" s="724">
        <v>151</v>
      </c>
      <c r="V82" s="724" t="str">
        <f t="shared" si="5"/>
        <v>0151</v>
      </c>
      <c r="W82" s="724">
        <v>300</v>
      </c>
      <c r="X82" s="720">
        <v>22.52</v>
      </c>
    </row>
    <row r="83" spans="1:24" ht="15" x14ac:dyDescent="0.25">
      <c r="A83" s="807" t="s">
        <v>305</v>
      </c>
      <c r="B83">
        <v>112</v>
      </c>
      <c r="C83" s="808">
        <v>11</v>
      </c>
      <c r="D83" s="809">
        <v>0</v>
      </c>
      <c r="E83" s="810">
        <v>11</v>
      </c>
      <c r="F83" s="808">
        <v>0</v>
      </c>
      <c r="H83" s="828" t="s">
        <v>305</v>
      </c>
      <c r="I83" s="815">
        <v>112</v>
      </c>
      <c r="J83" s="839">
        <v>10.48</v>
      </c>
      <c r="K83" s="839">
        <v>0</v>
      </c>
      <c r="L83" s="839">
        <v>10.48</v>
      </c>
      <c r="M83" s="839">
        <v>0</v>
      </c>
      <c r="P83" s="719">
        <v>151</v>
      </c>
      <c r="Q83" s="719" t="str">
        <f t="shared" si="4"/>
        <v>0151</v>
      </c>
      <c r="R83" s="719">
        <v>300</v>
      </c>
      <c r="S83" s="720">
        <v>25.92</v>
      </c>
      <c r="T83" s="720"/>
      <c r="U83" s="724">
        <v>191</v>
      </c>
      <c r="V83" s="724" t="str">
        <f t="shared" si="5"/>
        <v>0191</v>
      </c>
      <c r="W83" s="724">
        <v>101</v>
      </c>
      <c r="X83" s="720">
        <v>60.86</v>
      </c>
    </row>
    <row r="84" spans="1:24" ht="15" x14ac:dyDescent="0.25">
      <c r="A84" s="807" t="s">
        <v>305</v>
      </c>
      <c r="B84">
        <v>113</v>
      </c>
      <c r="C84" s="808">
        <v>35</v>
      </c>
      <c r="D84" s="809">
        <v>0</v>
      </c>
      <c r="E84" s="810">
        <v>0</v>
      </c>
      <c r="F84" s="808">
        <v>35</v>
      </c>
      <c r="H84" s="828" t="s">
        <v>305</v>
      </c>
      <c r="I84" s="815">
        <v>113</v>
      </c>
      <c r="J84" s="839">
        <v>33.880000000000003</v>
      </c>
      <c r="K84" s="839">
        <v>0</v>
      </c>
      <c r="L84" s="839">
        <v>0</v>
      </c>
      <c r="M84" s="839">
        <v>33.880000000000003</v>
      </c>
      <c r="P84" s="719">
        <v>191</v>
      </c>
      <c r="Q84" s="719" t="str">
        <f t="shared" si="4"/>
        <v>0191</v>
      </c>
      <c r="R84" s="719">
        <v>101</v>
      </c>
      <c r="S84" s="720">
        <v>62.38</v>
      </c>
      <c r="T84" s="720"/>
      <c r="U84" s="724">
        <v>191</v>
      </c>
      <c r="V84" s="724" t="str">
        <f t="shared" si="5"/>
        <v>0191</v>
      </c>
      <c r="W84" s="724">
        <v>102</v>
      </c>
      <c r="X84" s="720">
        <v>30.49</v>
      </c>
    </row>
    <row r="85" spans="1:24" ht="15" x14ac:dyDescent="0.25">
      <c r="A85" s="807" t="s">
        <v>305</v>
      </c>
      <c r="B85">
        <v>130</v>
      </c>
      <c r="C85" s="808">
        <v>15.709999999999999</v>
      </c>
      <c r="D85" s="809">
        <v>0</v>
      </c>
      <c r="E85" s="810">
        <v>6.21</v>
      </c>
      <c r="F85" s="808">
        <v>9.5</v>
      </c>
      <c r="H85" s="828" t="s">
        <v>305</v>
      </c>
      <c r="I85" s="815">
        <v>130</v>
      </c>
      <c r="J85" s="839">
        <v>12.53</v>
      </c>
      <c r="K85" s="839">
        <v>0</v>
      </c>
      <c r="L85" s="839">
        <v>4.5599999999999996</v>
      </c>
      <c r="M85" s="839">
        <v>7.97</v>
      </c>
      <c r="P85" s="719">
        <v>191</v>
      </c>
      <c r="Q85" s="719" t="str">
        <f t="shared" si="4"/>
        <v>0191</v>
      </c>
      <c r="R85" s="719">
        <v>102</v>
      </c>
      <c r="S85" s="720">
        <v>33.43</v>
      </c>
      <c r="T85" s="720"/>
      <c r="U85" s="724">
        <v>191</v>
      </c>
      <c r="V85" s="724" t="str">
        <f t="shared" si="5"/>
        <v>0191</v>
      </c>
      <c r="W85" s="724">
        <v>111</v>
      </c>
      <c r="X85" s="720">
        <v>14.5</v>
      </c>
    </row>
    <row r="86" spans="1:24" ht="15" x14ac:dyDescent="0.25">
      <c r="A86" s="807" t="s">
        <v>305</v>
      </c>
      <c r="B86">
        <v>300</v>
      </c>
      <c r="C86" s="808">
        <v>21.86</v>
      </c>
      <c r="D86" s="809">
        <v>0</v>
      </c>
      <c r="E86" s="810">
        <v>0</v>
      </c>
      <c r="F86" s="808">
        <v>21.86</v>
      </c>
      <c r="H86" s="828" t="s">
        <v>305</v>
      </c>
      <c r="I86" s="815">
        <v>300</v>
      </c>
      <c r="J86" s="839">
        <v>22.26</v>
      </c>
      <c r="K86" s="839">
        <v>0</v>
      </c>
      <c r="L86" s="839">
        <v>0</v>
      </c>
      <c r="M86" s="839">
        <v>22.26</v>
      </c>
      <c r="P86" s="719">
        <v>191</v>
      </c>
      <c r="Q86" s="719" t="str">
        <f t="shared" si="4"/>
        <v>0191</v>
      </c>
      <c r="R86" s="719">
        <v>111</v>
      </c>
      <c r="S86" s="720">
        <v>13.5</v>
      </c>
      <c r="T86" s="720"/>
      <c r="U86" s="724">
        <v>191</v>
      </c>
      <c r="V86" s="724" t="str">
        <f t="shared" si="5"/>
        <v>0191</v>
      </c>
      <c r="W86" s="724">
        <v>112</v>
      </c>
      <c r="X86" s="720">
        <v>5.01</v>
      </c>
    </row>
    <row r="87" spans="1:24" ht="15" x14ac:dyDescent="0.25">
      <c r="A87" s="807" t="s">
        <v>307</v>
      </c>
      <c r="B87">
        <v>102</v>
      </c>
      <c r="C87" s="808">
        <v>3</v>
      </c>
      <c r="D87" s="809">
        <v>0</v>
      </c>
      <c r="E87" s="810">
        <v>3</v>
      </c>
      <c r="F87" s="808">
        <v>0</v>
      </c>
      <c r="H87" s="828" t="s">
        <v>307</v>
      </c>
      <c r="I87" s="815">
        <v>102</v>
      </c>
      <c r="J87" s="839">
        <v>3.52</v>
      </c>
      <c r="K87" s="839">
        <v>0</v>
      </c>
      <c r="L87" s="839">
        <v>3.52</v>
      </c>
      <c r="M87" s="839">
        <v>0</v>
      </c>
      <c r="P87" s="719">
        <v>191</v>
      </c>
      <c r="Q87" s="719" t="str">
        <f t="shared" si="4"/>
        <v>0191</v>
      </c>
      <c r="R87" s="719">
        <v>112</v>
      </c>
      <c r="S87" s="720">
        <v>4.99</v>
      </c>
      <c r="T87" s="720"/>
      <c r="U87" s="724">
        <v>191</v>
      </c>
      <c r="V87" s="724" t="str">
        <f t="shared" si="5"/>
        <v>0191</v>
      </c>
      <c r="W87" s="724">
        <v>130</v>
      </c>
      <c r="X87" s="720">
        <v>11.77</v>
      </c>
    </row>
    <row r="88" spans="1:24" ht="15" x14ac:dyDescent="0.25">
      <c r="A88" s="807" t="s">
        <v>307</v>
      </c>
      <c r="B88">
        <v>103</v>
      </c>
      <c r="C88" s="808">
        <v>32.300000000000004</v>
      </c>
      <c r="D88" s="809">
        <v>0</v>
      </c>
      <c r="E88" s="810">
        <v>0</v>
      </c>
      <c r="F88" s="808">
        <v>32.300000000000004</v>
      </c>
      <c r="H88" s="828" t="s">
        <v>307</v>
      </c>
      <c r="I88" s="815">
        <v>103</v>
      </c>
      <c r="J88" s="839">
        <v>33.68</v>
      </c>
      <c r="K88" s="839">
        <v>0</v>
      </c>
      <c r="L88" s="839">
        <v>0</v>
      </c>
      <c r="M88" s="839">
        <v>33.68</v>
      </c>
      <c r="P88" s="719">
        <v>191</v>
      </c>
      <c r="Q88" s="719" t="str">
        <f t="shared" si="4"/>
        <v>0191</v>
      </c>
      <c r="R88" s="719">
        <v>130</v>
      </c>
      <c r="S88" s="720">
        <v>11.76</v>
      </c>
      <c r="T88" s="720"/>
      <c r="U88" s="724">
        <v>201</v>
      </c>
      <c r="V88" s="724" t="str">
        <f t="shared" si="5"/>
        <v>0201</v>
      </c>
      <c r="W88" s="724">
        <v>102</v>
      </c>
      <c r="X88" s="720">
        <v>263.89999999999998</v>
      </c>
    </row>
    <row r="89" spans="1:24" ht="15" x14ac:dyDescent="0.25">
      <c r="A89" s="807" t="s">
        <v>307</v>
      </c>
      <c r="B89">
        <v>112</v>
      </c>
      <c r="C89" s="808">
        <v>0</v>
      </c>
      <c r="D89" s="809">
        <v>0</v>
      </c>
      <c r="E89" s="810">
        <v>0</v>
      </c>
      <c r="F89" s="808">
        <v>0</v>
      </c>
      <c r="H89" s="828" t="s">
        <v>307</v>
      </c>
      <c r="I89" s="815">
        <v>112</v>
      </c>
      <c r="J89" s="839">
        <v>2.5</v>
      </c>
      <c r="K89" s="839">
        <v>0</v>
      </c>
      <c r="L89" s="839">
        <v>2.5</v>
      </c>
      <c r="M89" s="839">
        <v>0</v>
      </c>
      <c r="P89" s="719">
        <v>201</v>
      </c>
      <c r="Q89" s="719" t="str">
        <f t="shared" si="4"/>
        <v>0201</v>
      </c>
      <c r="R89" s="719">
        <v>102</v>
      </c>
      <c r="S89" s="720">
        <v>250.64</v>
      </c>
      <c r="T89" s="720"/>
      <c r="U89" s="724">
        <v>201</v>
      </c>
      <c r="V89" s="724" t="str">
        <f t="shared" si="5"/>
        <v>0201</v>
      </c>
      <c r="W89" s="724">
        <v>112</v>
      </c>
      <c r="X89" s="720">
        <v>60.34</v>
      </c>
    </row>
    <row r="90" spans="1:24" ht="15" x14ac:dyDescent="0.25">
      <c r="A90" s="807" t="s">
        <v>307</v>
      </c>
      <c r="B90">
        <v>113</v>
      </c>
      <c r="C90" s="808">
        <v>12.5</v>
      </c>
      <c r="D90" s="809">
        <v>0</v>
      </c>
      <c r="E90" s="810">
        <v>0</v>
      </c>
      <c r="F90" s="808">
        <v>12.5</v>
      </c>
      <c r="H90" s="828" t="s">
        <v>307</v>
      </c>
      <c r="I90" s="815">
        <v>113</v>
      </c>
      <c r="J90" s="839">
        <v>9.3500000000000014</v>
      </c>
      <c r="K90" s="839">
        <v>0</v>
      </c>
      <c r="L90" s="839">
        <v>0</v>
      </c>
      <c r="M90" s="839">
        <v>9.3500000000000014</v>
      </c>
      <c r="P90" s="719">
        <v>201</v>
      </c>
      <c r="Q90" s="719" t="str">
        <f t="shared" si="4"/>
        <v>0201</v>
      </c>
      <c r="R90" s="719">
        <v>112</v>
      </c>
      <c r="S90" s="720">
        <v>60.55</v>
      </c>
      <c r="T90" s="720"/>
      <c r="U90" s="724">
        <v>201</v>
      </c>
      <c r="V90" s="724" t="str">
        <f t="shared" si="5"/>
        <v>0201</v>
      </c>
      <c r="W90" s="724">
        <v>130</v>
      </c>
      <c r="X90" s="720">
        <v>41.03</v>
      </c>
    </row>
    <row r="91" spans="1:24" ht="15" x14ac:dyDescent="0.25">
      <c r="A91" s="807" t="s">
        <v>307</v>
      </c>
      <c r="B91">
        <v>130</v>
      </c>
      <c r="C91" s="808">
        <v>0.4</v>
      </c>
      <c r="D91" s="809">
        <v>0</v>
      </c>
      <c r="E91" s="810">
        <v>0</v>
      </c>
      <c r="F91" s="808">
        <v>0.4</v>
      </c>
      <c r="H91" s="828" t="s">
        <v>307</v>
      </c>
      <c r="I91" s="815">
        <v>130</v>
      </c>
      <c r="J91" s="839">
        <v>0.41</v>
      </c>
      <c r="K91" s="839">
        <v>0</v>
      </c>
      <c r="L91" s="839">
        <v>0</v>
      </c>
      <c r="M91" s="839">
        <v>0.41</v>
      </c>
      <c r="P91" s="719">
        <v>201</v>
      </c>
      <c r="Q91" s="719" t="str">
        <f t="shared" si="4"/>
        <v>0201</v>
      </c>
      <c r="R91" s="719">
        <v>130</v>
      </c>
      <c r="S91" s="720">
        <v>49.79</v>
      </c>
      <c r="T91" s="720"/>
      <c r="U91" s="724">
        <v>211</v>
      </c>
      <c r="V91" s="724" t="str">
        <f t="shared" si="5"/>
        <v>0211</v>
      </c>
      <c r="W91" s="724">
        <v>101</v>
      </c>
      <c r="X91" s="720">
        <v>72.45</v>
      </c>
    </row>
    <row r="92" spans="1:24" ht="15" x14ac:dyDescent="0.25">
      <c r="A92" s="807" t="s">
        <v>307</v>
      </c>
      <c r="B92">
        <v>300</v>
      </c>
      <c r="C92" s="808">
        <v>1.6900000000000002</v>
      </c>
      <c r="D92" s="809">
        <v>0</v>
      </c>
      <c r="E92" s="810">
        <v>0</v>
      </c>
      <c r="F92" s="808">
        <v>1.6900000000000002</v>
      </c>
      <c r="H92" s="828" t="s">
        <v>307</v>
      </c>
      <c r="I92" s="815">
        <v>300</v>
      </c>
      <c r="J92" s="839">
        <v>2.5499999999999998</v>
      </c>
      <c r="K92" s="839">
        <v>0</v>
      </c>
      <c r="L92" s="839">
        <v>0</v>
      </c>
      <c r="M92" s="839">
        <v>2.5499999999999998</v>
      </c>
      <c r="P92" s="719">
        <v>211</v>
      </c>
      <c r="Q92" s="719" t="str">
        <f t="shared" si="4"/>
        <v>0211</v>
      </c>
      <c r="R92" s="719">
        <v>101</v>
      </c>
      <c r="S92" s="720">
        <v>72.2</v>
      </c>
      <c r="T92" s="720"/>
      <c r="U92" s="724">
        <v>211</v>
      </c>
      <c r="V92" s="724" t="str">
        <f t="shared" si="5"/>
        <v>0211</v>
      </c>
      <c r="W92" s="724">
        <v>102</v>
      </c>
      <c r="X92" s="720">
        <v>38.03</v>
      </c>
    </row>
    <row r="93" spans="1:24" ht="15" x14ac:dyDescent="0.25">
      <c r="A93" s="807" t="s">
        <v>309</v>
      </c>
      <c r="B93">
        <v>112</v>
      </c>
      <c r="C93" s="808">
        <v>1.5</v>
      </c>
      <c r="D93" s="809">
        <v>0</v>
      </c>
      <c r="E93" s="810">
        <v>1.5</v>
      </c>
      <c r="F93" s="808">
        <v>0</v>
      </c>
      <c r="H93" s="828" t="s">
        <v>309</v>
      </c>
      <c r="I93" s="815">
        <v>112</v>
      </c>
      <c r="J93" s="839">
        <v>1</v>
      </c>
      <c r="K93" s="839">
        <v>0</v>
      </c>
      <c r="L93" s="839">
        <v>1</v>
      </c>
      <c r="M93" s="839">
        <v>0</v>
      </c>
      <c r="P93" s="719">
        <v>211</v>
      </c>
      <c r="Q93" s="719" t="str">
        <f t="shared" si="4"/>
        <v>0211</v>
      </c>
      <c r="R93" s="719">
        <v>102</v>
      </c>
      <c r="S93" s="720">
        <v>39.200000000000003</v>
      </c>
      <c r="T93" s="720"/>
      <c r="U93" s="724">
        <v>211</v>
      </c>
      <c r="V93" s="724" t="str">
        <f t="shared" si="5"/>
        <v>0211</v>
      </c>
      <c r="W93" s="724">
        <v>111</v>
      </c>
      <c r="X93" s="720">
        <v>34.54</v>
      </c>
    </row>
    <row r="94" spans="1:24" ht="15" x14ac:dyDescent="0.25">
      <c r="A94" s="807" t="s">
        <v>309</v>
      </c>
      <c r="B94">
        <v>113</v>
      </c>
      <c r="C94" s="808">
        <v>44.44</v>
      </c>
      <c r="D94" s="809">
        <v>0</v>
      </c>
      <c r="E94" s="810">
        <v>0</v>
      </c>
      <c r="F94" s="808">
        <v>44.44</v>
      </c>
      <c r="H94" s="828" t="s">
        <v>309</v>
      </c>
      <c r="I94" s="815">
        <v>113</v>
      </c>
      <c r="J94" s="839">
        <v>44.120000000000005</v>
      </c>
      <c r="K94" s="839">
        <v>0</v>
      </c>
      <c r="L94" s="839">
        <v>0</v>
      </c>
      <c r="M94" s="839">
        <v>44.120000000000005</v>
      </c>
      <c r="P94" s="719">
        <v>211</v>
      </c>
      <c r="Q94" s="719" t="str">
        <f t="shared" si="4"/>
        <v>0211</v>
      </c>
      <c r="R94" s="719">
        <v>111</v>
      </c>
      <c r="S94" s="720">
        <v>31</v>
      </c>
      <c r="T94" s="720"/>
      <c r="U94" s="724">
        <v>211</v>
      </c>
      <c r="V94" s="724" t="str">
        <f t="shared" si="5"/>
        <v>0211</v>
      </c>
      <c r="W94" s="724">
        <v>112</v>
      </c>
      <c r="X94" s="720">
        <v>14</v>
      </c>
    </row>
    <row r="95" spans="1:24" ht="15" x14ac:dyDescent="0.25">
      <c r="A95" s="807" t="s">
        <v>311</v>
      </c>
      <c r="B95">
        <v>102</v>
      </c>
      <c r="C95" s="808">
        <v>3.1</v>
      </c>
      <c r="D95" s="809">
        <v>0</v>
      </c>
      <c r="E95" s="810">
        <v>3.1</v>
      </c>
      <c r="F95" s="808">
        <v>0</v>
      </c>
      <c r="H95" s="828" t="s">
        <v>311</v>
      </c>
      <c r="I95" s="815">
        <v>102</v>
      </c>
      <c r="J95" s="839">
        <v>4.0500000000000007</v>
      </c>
      <c r="K95" s="839">
        <v>0</v>
      </c>
      <c r="L95" s="839">
        <v>4.0500000000000007</v>
      </c>
      <c r="M95" s="839">
        <v>0</v>
      </c>
      <c r="P95" s="719">
        <v>211</v>
      </c>
      <c r="Q95" s="719" t="str">
        <f t="shared" si="4"/>
        <v>0211</v>
      </c>
      <c r="R95" s="719">
        <v>112</v>
      </c>
      <c r="S95" s="720">
        <v>13.52</v>
      </c>
      <c r="T95" s="720"/>
      <c r="U95" s="724">
        <v>211</v>
      </c>
      <c r="V95" s="724" t="str">
        <f t="shared" si="5"/>
        <v>0211</v>
      </c>
      <c r="W95" s="724">
        <v>130</v>
      </c>
      <c r="X95" s="720">
        <v>29.75</v>
      </c>
    </row>
    <row r="96" spans="1:24" ht="15" x14ac:dyDescent="0.25">
      <c r="A96" s="807" t="s">
        <v>311</v>
      </c>
      <c r="B96">
        <v>103</v>
      </c>
      <c r="C96" s="808">
        <v>135.99</v>
      </c>
      <c r="D96" s="809">
        <v>0</v>
      </c>
      <c r="E96" s="810">
        <v>0</v>
      </c>
      <c r="F96" s="808">
        <v>135.99</v>
      </c>
      <c r="H96" s="828" t="s">
        <v>311</v>
      </c>
      <c r="I96" s="815">
        <v>103</v>
      </c>
      <c r="J96" s="839">
        <v>142.19</v>
      </c>
      <c r="K96" s="839">
        <v>0</v>
      </c>
      <c r="L96" s="839">
        <v>0</v>
      </c>
      <c r="M96" s="839">
        <v>142.19</v>
      </c>
      <c r="P96" s="719">
        <v>211</v>
      </c>
      <c r="Q96" s="719" t="str">
        <f t="shared" si="4"/>
        <v>0211</v>
      </c>
      <c r="R96" s="719">
        <v>130</v>
      </c>
      <c r="S96" s="720">
        <v>29.29</v>
      </c>
      <c r="T96" s="720"/>
      <c r="U96" s="724">
        <v>211</v>
      </c>
      <c r="V96" s="724" t="str">
        <f t="shared" si="5"/>
        <v>0211</v>
      </c>
      <c r="W96" s="724">
        <v>254</v>
      </c>
      <c r="X96" s="720">
        <v>4.5199999999999996</v>
      </c>
    </row>
    <row r="97" spans="1:24" ht="15" x14ac:dyDescent="0.25">
      <c r="A97" s="807" t="s">
        <v>311</v>
      </c>
      <c r="B97">
        <v>112</v>
      </c>
      <c r="C97" s="808">
        <v>4</v>
      </c>
      <c r="D97" s="809">
        <v>0</v>
      </c>
      <c r="E97" s="810">
        <v>4</v>
      </c>
      <c r="F97" s="808">
        <v>0</v>
      </c>
      <c r="H97" s="828" t="s">
        <v>311</v>
      </c>
      <c r="I97" s="815">
        <v>112</v>
      </c>
      <c r="J97" s="839">
        <v>2.94</v>
      </c>
      <c r="K97" s="839">
        <v>0</v>
      </c>
      <c r="L97" s="839">
        <v>2.94</v>
      </c>
      <c r="M97" s="839">
        <v>0</v>
      </c>
      <c r="P97" s="719">
        <v>211</v>
      </c>
      <c r="Q97" s="719" t="str">
        <f t="shared" si="4"/>
        <v>0211</v>
      </c>
      <c r="R97" s="719">
        <v>254</v>
      </c>
      <c r="S97" s="720">
        <v>3.5</v>
      </c>
      <c r="T97" s="720"/>
      <c r="U97" s="724">
        <v>235</v>
      </c>
      <c r="V97" s="724" t="str">
        <f t="shared" si="5"/>
        <v>0235</v>
      </c>
      <c r="W97" s="724">
        <v>101</v>
      </c>
      <c r="X97" s="720">
        <v>160.93</v>
      </c>
    </row>
    <row r="98" spans="1:24" ht="15" x14ac:dyDescent="0.25">
      <c r="A98" s="807" t="s">
        <v>311</v>
      </c>
      <c r="B98">
        <v>113</v>
      </c>
      <c r="C98" s="808">
        <v>36.130000000000003</v>
      </c>
      <c r="D98" s="809">
        <v>0</v>
      </c>
      <c r="E98" s="810">
        <v>0</v>
      </c>
      <c r="F98" s="808">
        <v>36.130000000000003</v>
      </c>
      <c r="H98" s="828" t="s">
        <v>311</v>
      </c>
      <c r="I98" s="815">
        <v>113</v>
      </c>
      <c r="J98" s="839">
        <v>37.349999999999994</v>
      </c>
      <c r="K98" s="839">
        <v>0</v>
      </c>
      <c r="L98" s="839">
        <v>0</v>
      </c>
      <c r="M98" s="839">
        <v>37.349999999999994</v>
      </c>
      <c r="P98" s="719">
        <v>235</v>
      </c>
      <c r="Q98" s="719" t="str">
        <f t="shared" si="4"/>
        <v>0235</v>
      </c>
      <c r="R98" s="719">
        <v>101</v>
      </c>
      <c r="S98" s="720">
        <v>158</v>
      </c>
      <c r="T98" s="720"/>
      <c r="U98" s="724">
        <v>235</v>
      </c>
      <c r="V98" s="724" t="str">
        <f t="shared" si="5"/>
        <v>0235</v>
      </c>
      <c r="W98" s="724">
        <v>102</v>
      </c>
      <c r="X98" s="720">
        <v>71.36</v>
      </c>
    </row>
    <row r="99" spans="1:24" ht="15" x14ac:dyDescent="0.25">
      <c r="A99" s="807" t="s">
        <v>311</v>
      </c>
      <c r="B99">
        <v>130</v>
      </c>
      <c r="C99" s="808">
        <v>12.2</v>
      </c>
      <c r="D99" s="809">
        <v>0</v>
      </c>
      <c r="E99" s="810">
        <v>0.4</v>
      </c>
      <c r="F99" s="808">
        <v>11.799999999999999</v>
      </c>
      <c r="H99" s="828" t="s">
        <v>311</v>
      </c>
      <c r="I99" s="815">
        <v>130</v>
      </c>
      <c r="J99" s="839">
        <v>12.3</v>
      </c>
      <c r="K99" s="839">
        <v>0</v>
      </c>
      <c r="L99" s="839">
        <v>0.4</v>
      </c>
      <c r="M99" s="839">
        <v>11.9</v>
      </c>
      <c r="P99" s="719">
        <v>235</v>
      </c>
      <c r="Q99" s="719" t="str">
        <f t="shared" si="4"/>
        <v>0235</v>
      </c>
      <c r="R99" s="719">
        <v>102</v>
      </c>
      <c r="S99" s="720">
        <v>69.31</v>
      </c>
      <c r="T99" s="720"/>
      <c r="U99" s="724">
        <v>235</v>
      </c>
      <c r="V99" s="724" t="str">
        <f t="shared" si="5"/>
        <v>0235</v>
      </c>
      <c r="W99" s="724">
        <v>111</v>
      </c>
      <c r="X99" s="720">
        <v>56.22</v>
      </c>
    </row>
    <row r="100" spans="1:24" ht="15" x14ac:dyDescent="0.25">
      <c r="A100" s="807" t="s">
        <v>311</v>
      </c>
      <c r="B100">
        <v>300</v>
      </c>
      <c r="C100" s="808">
        <v>2</v>
      </c>
      <c r="D100" s="809">
        <v>0</v>
      </c>
      <c r="E100" s="810">
        <v>0</v>
      </c>
      <c r="F100" s="808">
        <v>2</v>
      </c>
      <c r="H100" s="828" t="s">
        <v>311</v>
      </c>
      <c r="I100" s="815">
        <v>300</v>
      </c>
      <c r="J100" s="839">
        <v>2.6799999999999997</v>
      </c>
      <c r="K100" s="839">
        <v>0</v>
      </c>
      <c r="L100" s="839">
        <v>0</v>
      </c>
      <c r="M100" s="839">
        <v>2.6799999999999997</v>
      </c>
      <c r="P100" s="719">
        <v>235</v>
      </c>
      <c r="Q100" s="719" t="str">
        <f t="shared" si="4"/>
        <v>0235</v>
      </c>
      <c r="R100" s="719">
        <v>111</v>
      </c>
      <c r="S100" s="720">
        <v>47.32</v>
      </c>
      <c r="T100" s="720"/>
      <c r="U100" s="724">
        <v>235</v>
      </c>
      <c r="V100" s="724" t="str">
        <f t="shared" si="5"/>
        <v>0235</v>
      </c>
      <c r="W100" s="724">
        <v>112</v>
      </c>
      <c r="X100" s="720">
        <v>23.44</v>
      </c>
    </row>
    <row r="101" spans="1:24" ht="15" x14ac:dyDescent="0.25">
      <c r="A101" s="807" t="s">
        <v>313</v>
      </c>
      <c r="B101">
        <v>101</v>
      </c>
      <c r="C101" s="808">
        <v>96.41</v>
      </c>
      <c r="D101" s="809">
        <v>96.41</v>
      </c>
      <c r="E101" s="810">
        <v>0</v>
      </c>
      <c r="F101" s="808">
        <v>0</v>
      </c>
      <c r="H101" s="828" t="s">
        <v>313</v>
      </c>
      <c r="I101" s="815">
        <v>101</v>
      </c>
      <c r="J101" s="839">
        <v>91.51</v>
      </c>
      <c r="K101" s="839">
        <v>91.51</v>
      </c>
      <c r="L101" s="839">
        <v>0</v>
      </c>
      <c r="M101" s="839">
        <v>0</v>
      </c>
      <c r="P101" s="719">
        <v>235</v>
      </c>
      <c r="Q101" s="719" t="str">
        <f t="shared" si="4"/>
        <v>0235</v>
      </c>
      <c r="R101" s="719">
        <v>112</v>
      </c>
      <c r="S101" s="720">
        <v>22.38</v>
      </c>
      <c r="T101" s="720"/>
      <c r="U101" s="724">
        <v>235</v>
      </c>
      <c r="V101" s="724" t="str">
        <f t="shared" si="5"/>
        <v>0235</v>
      </c>
      <c r="W101" s="724">
        <v>130</v>
      </c>
      <c r="X101" s="720">
        <v>15.26</v>
      </c>
    </row>
    <row r="102" spans="1:24" ht="15" x14ac:dyDescent="0.25">
      <c r="A102" s="807" t="s">
        <v>313</v>
      </c>
      <c r="B102">
        <v>102</v>
      </c>
      <c r="C102" s="808">
        <v>44.739999999999995</v>
      </c>
      <c r="D102" s="809">
        <v>0</v>
      </c>
      <c r="E102" s="810">
        <v>44.739999999999995</v>
      </c>
      <c r="F102" s="808">
        <v>0</v>
      </c>
      <c r="H102" s="828" t="s">
        <v>313</v>
      </c>
      <c r="I102" s="815">
        <v>102</v>
      </c>
      <c r="J102" s="839">
        <v>44.97</v>
      </c>
      <c r="K102" s="839">
        <v>0</v>
      </c>
      <c r="L102" s="839">
        <v>44.97</v>
      </c>
      <c r="M102" s="839">
        <v>0</v>
      </c>
      <c r="P102" s="719">
        <v>235</v>
      </c>
      <c r="Q102" s="719" t="str">
        <f t="shared" si="4"/>
        <v>0235</v>
      </c>
      <c r="R102" s="719">
        <v>130</v>
      </c>
      <c r="S102" s="720">
        <v>15.88</v>
      </c>
      <c r="T102" s="720"/>
      <c r="U102" s="724">
        <v>235</v>
      </c>
      <c r="V102" s="724" t="str">
        <f t="shared" si="5"/>
        <v>0235</v>
      </c>
      <c r="W102" s="724">
        <v>254</v>
      </c>
      <c r="X102" s="720">
        <v>0.5</v>
      </c>
    </row>
    <row r="103" spans="1:24" ht="15" x14ac:dyDescent="0.25">
      <c r="A103" s="807" t="s">
        <v>313</v>
      </c>
      <c r="B103">
        <v>111</v>
      </c>
      <c r="C103" s="808">
        <v>22.5</v>
      </c>
      <c r="D103" s="809">
        <v>22.5</v>
      </c>
      <c r="E103" s="810">
        <v>0</v>
      </c>
      <c r="F103" s="808">
        <v>0</v>
      </c>
      <c r="H103" s="828" t="s">
        <v>313</v>
      </c>
      <c r="I103" s="815">
        <v>111</v>
      </c>
      <c r="J103" s="839">
        <v>27</v>
      </c>
      <c r="K103" s="839">
        <v>27</v>
      </c>
      <c r="L103" s="839">
        <v>0</v>
      </c>
      <c r="M103" s="839">
        <v>0</v>
      </c>
      <c r="P103" s="719">
        <v>235</v>
      </c>
      <c r="Q103" s="719" t="str">
        <f t="shared" si="4"/>
        <v>0235</v>
      </c>
      <c r="R103" s="719">
        <v>254</v>
      </c>
      <c r="S103" s="720">
        <v>0.5</v>
      </c>
      <c r="T103" s="720"/>
      <c r="U103" s="724">
        <v>271</v>
      </c>
      <c r="V103" s="724" t="str">
        <f t="shared" si="5"/>
        <v>0271</v>
      </c>
      <c r="W103" s="724">
        <v>101</v>
      </c>
      <c r="X103" s="720">
        <v>93.98</v>
      </c>
    </row>
    <row r="104" spans="1:24" ht="15" x14ac:dyDescent="0.25">
      <c r="A104" s="807" t="s">
        <v>313</v>
      </c>
      <c r="B104">
        <v>112</v>
      </c>
      <c r="C104" s="808">
        <v>18</v>
      </c>
      <c r="D104" s="809">
        <v>0</v>
      </c>
      <c r="E104" s="810">
        <v>18</v>
      </c>
      <c r="F104" s="808">
        <v>0</v>
      </c>
      <c r="H104" s="828" t="s">
        <v>313</v>
      </c>
      <c r="I104" s="815">
        <v>112</v>
      </c>
      <c r="J104" s="839">
        <v>18</v>
      </c>
      <c r="K104" s="839">
        <v>0</v>
      </c>
      <c r="L104" s="839">
        <v>18</v>
      </c>
      <c r="M104" s="839">
        <v>0</v>
      </c>
      <c r="P104" s="719">
        <v>271</v>
      </c>
      <c r="Q104" s="719" t="str">
        <f t="shared" si="4"/>
        <v>0271</v>
      </c>
      <c r="R104" s="719">
        <v>101</v>
      </c>
      <c r="S104" s="720">
        <v>94.67</v>
      </c>
      <c r="T104" s="720"/>
      <c r="U104" s="724">
        <v>271</v>
      </c>
      <c r="V104" s="724" t="str">
        <f t="shared" si="5"/>
        <v>0271</v>
      </c>
      <c r="W104" s="724">
        <v>102</v>
      </c>
      <c r="X104" s="720">
        <v>64.599999999999994</v>
      </c>
    </row>
    <row r="105" spans="1:24" ht="15" x14ac:dyDescent="0.25">
      <c r="A105" s="807" t="s">
        <v>313</v>
      </c>
      <c r="B105">
        <v>130</v>
      </c>
      <c r="C105" s="808">
        <v>14.110000000000003</v>
      </c>
      <c r="D105" s="809">
        <v>12.090000000000002</v>
      </c>
      <c r="E105" s="810">
        <v>2.02</v>
      </c>
      <c r="F105" s="808">
        <v>0</v>
      </c>
      <c r="H105" s="828" t="s">
        <v>313</v>
      </c>
      <c r="I105" s="815">
        <v>130</v>
      </c>
      <c r="J105" s="839">
        <v>14.52</v>
      </c>
      <c r="K105" s="839">
        <v>12.5</v>
      </c>
      <c r="L105" s="839">
        <v>2.02</v>
      </c>
      <c r="M105" s="839">
        <v>0</v>
      </c>
      <c r="P105" s="719">
        <v>271</v>
      </c>
      <c r="Q105" s="719" t="str">
        <f t="shared" si="4"/>
        <v>0271</v>
      </c>
      <c r="R105" s="719">
        <v>102</v>
      </c>
      <c r="S105" s="720">
        <v>65.75</v>
      </c>
      <c r="T105" s="720"/>
      <c r="U105" s="724">
        <v>271</v>
      </c>
      <c r="V105" s="724" t="str">
        <f t="shared" si="5"/>
        <v>0271</v>
      </c>
      <c r="W105" s="724">
        <v>111</v>
      </c>
      <c r="X105" s="720">
        <v>26.6</v>
      </c>
    </row>
    <row r="106" spans="1:24" ht="15" x14ac:dyDescent="0.25">
      <c r="A106" s="807" t="s">
        <v>315</v>
      </c>
      <c r="B106">
        <v>102</v>
      </c>
      <c r="C106" s="808">
        <v>2.5</v>
      </c>
      <c r="D106" s="809">
        <v>0</v>
      </c>
      <c r="E106" s="810">
        <v>2.5</v>
      </c>
      <c r="F106" s="808">
        <v>0</v>
      </c>
      <c r="H106" s="828" t="s">
        <v>315</v>
      </c>
      <c r="I106" s="815">
        <v>102</v>
      </c>
      <c r="J106" s="839">
        <v>5.28</v>
      </c>
      <c r="K106" s="839">
        <v>0</v>
      </c>
      <c r="L106" s="839">
        <v>5.28</v>
      </c>
      <c r="M106" s="839">
        <v>0</v>
      </c>
      <c r="P106" s="719">
        <v>271</v>
      </c>
      <c r="Q106" s="719" t="str">
        <f t="shared" si="4"/>
        <v>0271</v>
      </c>
      <c r="R106" s="719">
        <v>111</v>
      </c>
      <c r="S106" s="720">
        <v>25.12</v>
      </c>
      <c r="T106" s="720"/>
      <c r="U106" s="724">
        <v>271</v>
      </c>
      <c r="V106" s="724" t="str">
        <f t="shared" si="5"/>
        <v>0271</v>
      </c>
      <c r="W106" s="724">
        <v>112</v>
      </c>
      <c r="X106" s="720">
        <v>29.02</v>
      </c>
    </row>
    <row r="107" spans="1:24" ht="15" x14ac:dyDescent="0.25">
      <c r="A107" s="807" t="s">
        <v>315</v>
      </c>
      <c r="B107">
        <v>103</v>
      </c>
      <c r="C107" s="808">
        <v>220.27</v>
      </c>
      <c r="D107" s="809">
        <v>0</v>
      </c>
      <c r="E107" s="810">
        <v>0</v>
      </c>
      <c r="F107" s="808">
        <v>220.27</v>
      </c>
      <c r="H107" s="828" t="s">
        <v>315</v>
      </c>
      <c r="I107" s="815">
        <v>103</v>
      </c>
      <c r="J107" s="839">
        <v>231.05</v>
      </c>
      <c r="K107" s="839">
        <v>0</v>
      </c>
      <c r="L107" s="839">
        <v>0</v>
      </c>
      <c r="M107" s="839">
        <v>231.05</v>
      </c>
      <c r="P107" s="719">
        <v>271</v>
      </c>
      <c r="Q107" s="719" t="str">
        <f t="shared" si="4"/>
        <v>0271</v>
      </c>
      <c r="R107" s="719">
        <v>112</v>
      </c>
      <c r="S107" s="720">
        <v>25.98</v>
      </c>
      <c r="T107" s="720"/>
      <c r="U107" s="724">
        <v>271</v>
      </c>
      <c r="V107" s="724" t="str">
        <f t="shared" si="5"/>
        <v>0271</v>
      </c>
      <c r="W107" s="724">
        <v>130</v>
      </c>
      <c r="X107" s="720">
        <v>119.76</v>
      </c>
    </row>
    <row r="108" spans="1:24" ht="15" x14ac:dyDescent="0.25">
      <c r="A108" s="807" t="s">
        <v>315</v>
      </c>
      <c r="B108">
        <v>112</v>
      </c>
      <c r="C108" s="808">
        <v>1</v>
      </c>
      <c r="D108" s="809">
        <v>0</v>
      </c>
      <c r="E108" s="810">
        <v>1</v>
      </c>
      <c r="F108" s="808">
        <v>0</v>
      </c>
      <c r="H108" s="828" t="s">
        <v>315</v>
      </c>
      <c r="I108" s="815">
        <v>112</v>
      </c>
      <c r="J108" s="839">
        <v>1.45</v>
      </c>
      <c r="K108" s="839">
        <v>0</v>
      </c>
      <c r="L108" s="839">
        <v>1.45</v>
      </c>
      <c r="M108" s="839">
        <v>0</v>
      </c>
      <c r="P108" s="719">
        <v>271</v>
      </c>
      <c r="Q108" s="719" t="str">
        <f t="shared" si="4"/>
        <v>0271</v>
      </c>
      <c r="R108" s="719">
        <v>130</v>
      </c>
      <c r="S108" s="720">
        <v>125.94</v>
      </c>
      <c r="T108" s="720"/>
      <c r="U108" s="724">
        <v>281</v>
      </c>
      <c r="V108" s="724" t="str">
        <f t="shared" si="5"/>
        <v>0281</v>
      </c>
      <c r="W108" s="724">
        <v>101</v>
      </c>
      <c r="X108" s="720">
        <v>168.24</v>
      </c>
    </row>
    <row r="109" spans="1:24" ht="15" x14ac:dyDescent="0.25">
      <c r="A109" s="807" t="s">
        <v>315</v>
      </c>
      <c r="B109">
        <v>113</v>
      </c>
      <c r="C109" s="808">
        <v>48.76</v>
      </c>
      <c r="D109" s="809">
        <v>0</v>
      </c>
      <c r="E109" s="810">
        <v>0</v>
      </c>
      <c r="F109" s="808">
        <v>48.76</v>
      </c>
      <c r="H109" s="828" t="s">
        <v>315</v>
      </c>
      <c r="I109" s="815">
        <v>113</v>
      </c>
      <c r="J109" s="839">
        <v>58.650000000000006</v>
      </c>
      <c r="K109" s="839">
        <v>0</v>
      </c>
      <c r="L109" s="839">
        <v>0</v>
      </c>
      <c r="M109" s="839">
        <v>58.650000000000006</v>
      </c>
      <c r="P109" s="719">
        <v>281</v>
      </c>
      <c r="Q109" s="719" t="str">
        <f t="shared" si="4"/>
        <v>0281</v>
      </c>
      <c r="R109" s="719">
        <v>101</v>
      </c>
      <c r="S109" s="720">
        <v>170.33</v>
      </c>
      <c r="T109" s="720"/>
      <c r="U109" s="724">
        <v>281</v>
      </c>
      <c r="V109" s="724" t="str">
        <f t="shared" si="5"/>
        <v>0281</v>
      </c>
      <c r="W109" s="724">
        <v>102</v>
      </c>
      <c r="X109" s="720">
        <v>92.58</v>
      </c>
    </row>
    <row r="110" spans="1:24" ht="15" x14ac:dyDescent="0.25">
      <c r="A110" s="807" t="s">
        <v>315</v>
      </c>
      <c r="B110">
        <v>130</v>
      </c>
      <c r="C110" s="808">
        <v>5.0999999999999996</v>
      </c>
      <c r="D110" s="809">
        <v>0</v>
      </c>
      <c r="E110" s="810">
        <v>0</v>
      </c>
      <c r="F110" s="808">
        <v>5.0999999999999996</v>
      </c>
      <c r="H110" s="828" t="s">
        <v>315</v>
      </c>
      <c r="I110" s="815">
        <v>130</v>
      </c>
      <c r="J110" s="839">
        <v>16.650000000000002</v>
      </c>
      <c r="K110" s="839">
        <v>0</v>
      </c>
      <c r="L110" s="839">
        <v>0</v>
      </c>
      <c r="M110" s="839">
        <v>16.650000000000002</v>
      </c>
      <c r="P110" s="719">
        <v>281</v>
      </c>
      <c r="Q110" s="719" t="str">
        <f t="shared" si="4"/>
        <v>0281</v>
      </c>
      <c r="R110" s="719">
        <v>102</v>
      </c>
      <c r="S110" s="720">
        <v>90.62</v>
      </c>
      <c r="T110" s="720"/>
      <c r="U110" s="724">
        <v>281</v>
      </c>
      <c r="V110" s="724" t="str">
        <f t="shared" si="5"/>
        <v>0281</v>
      </c>
      <c r="W110" s="724">
        <v>111</v>
      </c>
      <c r="X110" s="720">
        <v>89.5</v>
      </c>
    </row>
    <row r="111" spans="1:24" ht="15" x14ac:dyDescent="0.25">
      <c r="A111" s="807" t="s">
        <v>315</v>
      </c>
      <c r="B111">
        <v>300</v>
      </c>
      <c r="C111" s="808">
        <v>4.57</v>
      </c>
      <c r="D111" s="809">
        <v>0</v>
      </c>
      <c r="E111" s="810">
        <v>0</v>
      </c>
      <c r="F111" s="808">
        <v>4.57</v>
      </c>
      <c r="H111" s="828" t="s">
        <v>315</v>
      </c>
      <c r="I111" s="815">
        <v>300</v>
      </c>
      <c r="J111" s="839">
        <v>2.58</v>
      </c>
      <c r="K111" s="839">
        <v>0</v>
      </c>
      <c r="L111" s="839">
        <v>0</v>
      </c>
      <c r="M111" s="839">
        <v>2.58</v>
      </c>
      <c r="P111" s="719">
        <v>281</v>
      </c>
      <c r="Q111" s="719" t="str">
        <f t="shared" si="4"/>
        <v>0281</v>
      </c>
      <c r="R111" s="719">
        <v>111</v>
      </c>
      <c r="S111" s="720">
        <v>88.49</v>
      </c>
      <c r="T111" s="720"/>
      <c r="U111" s="724">
        <v>281</v>
      </c>
      <c r="V111" s="724" t="str">
        <f t="shared" si="5"/>
        <v>0281</v>
      </c>
      <c r="W111" s="724">
        <v>112</v>
      </c>
      <c r="X111" s="720">
        <v>70.5</v>
      </c>
    </row>
    <row r="112" spans="1:24" ht="15" x14ac:dyDescent="0.25">
      <c r="A112" s="807" t="s">
        <v>317</v>
      </c>
      <c r="B112">
        <v>101</v>
      </c>
      <c r="C112" s="808">
        <v>185.53</v>
      </c>
      <c r="D112" s="809">
        <v>185.53</v>
      </c>
      <c r="E112" s="810">
        <v>0</v>
      </c>
      <c r="F112" s="808">
        <v>0</v>
      </c>
      <c r="H112" s="828" t="s">
        <v>317</v>
      </c>
      <c r="I112" s="815">
        <v>101</v>
      </c>
      <c r="J112" s="839">
        <v>179.55</v>
      </c>
      <c r="K112" s="839">
        <v>179.55</v>
      </c>
      <c r="L112" s="839">
        <v>0</v>
      </c>
      <c r="M112" s="839">
        <v>0</v>
      </c>
      <c r="P112" s="719">
        <v>281</v>
      </c>
      <c r="Q112" s="719" t="str">
        <f t="shared" si="4"/>
        <v>0281</v>
      </c>
      <c r="R112" s="719">
        <v>112</v>
      </c>
      <c r="S112" s="720">
        <v>73.510000000000005</v>
      </c>
      <c r="T112" s="720"/>
      <c r="U112" s="724">
        <v>281</v>
      </c>
      <c r="V112" s="724" t="str">
        <f t="shared" si="5"/>
        <v>0281</v>
      </c>
      <c r="W112" s="724">
        <v>130</v>
      </c>
      <c r="X112" s="720">
        <v>15.06</v>
      </c>
    </row>
    <row r="113" spans="1:24" ht="15" x14ac:dyDescent="0.25">
      <c r="A113" s="807" t="s">
        <v>317</v>
      </c>
      <c r="B113">
        <v>102</v>
      </c>
      <c r="C113" s="808">
        <v>208.16</v>
      </c>
      <c r="D113" s="809">
        <v>0</v>
      </c>
      <c r="E113" s="810">
        <v>208.16</v>
      </c>
      <c r="F113" s="808">
        <v>0</v>
      </c>
      <c r="H113" s="828" t="s">
        <v>317</v>
      </c>
      <c r="I113" s="815">
        <v>102</v>
      </c>
      <c r="J113" s="839">
        <v>203.46999999999997</v>
      </c>
      <c r="K113" s="839">
        <v>0</v>
      </c>
      <c r="L113" s="839">
        <v>203.46999999999997</v>
      </c>
      <c r="M113" s="839">
        <v>0</v>
      </c>
      <c r="P113" s="719">
        <v>281</v>
      </c>
      <c r="Q113" s="719" t="str">
        <f t="shared" si="4"/>
        <v>0281</v>
      </c>
      <c r="R113" s="719">
        <v>130</v>
      </c>
      <c r="S113" s="720">
        <v>15.47</v>
      </c>
      <c r="T113" s="720"/>
      <c r="U113" s="724">
        <v>281</v>
      </c>
      <c r="V113" s="724" t="str">
        <f t="shared" si="5"/>
        <v>0281</v>
      </c>
      <c r="W113" s="724">
        <v>254</v>
      </c>
      <c r="X113" s="720">
        <v>1</v>
      </c>
    </row>
    <row r="114" spans="1:24" ht="15" x14ac:dyDescent="0.25">
      <c r="A114" s="807" t="s">
        <v>317</v>
      </c>
      <c r="B114">
        <v>111</v>
      </c>
      <c r="C114" s="808">
        <v>26.5</v>
      </c>
      <c r="D114" s="809">
        <v>26.5</v>
      </c>
      <c r="E114" s="810">
        <v>0</v>
      </c>
      <c r="F114" s="808">
        <v>0</v>
      </c>
      <c r="H114" s="828" t="s">
        <v>317</v>
      </c>
      <c r="I114" s="815">
        <v>111</v>
      </c>
      <c r="J114" s="839">
        <v>32</v>
      </c>
      <c r="K114" s="839">
        <v>32</v>
      </c>
      <c r="L114" s="839">
        <v>0</v>
      </c>
      <c r="M114" s="839">
        <v>0</v>
      </c>
      <c r="P114" s="719">
        <v>281</v>
      </c>
      <c r="Q114" s="719" t="str">
        <f t="shared" si="4"/>
        <v>0281</v>
      </c>
      <c r="R114" s="719">
        <v>254</v>
      </c>
      <c r="S114" s="720">
        <v>1</v>
      </c>
      <c r="T114" s="720"/>
      <c r="U114" s="724">
        <v>281</v>
      </c>
      <c r="V114" s="724" t="str">
        <f t="shared" si="5"/>
        <v>0281</v>
      </c>
      <c r="W114" s="724">
        <v>255</v>
      </c>
      <c r="X114" s="720">
        <v>0.5</v>
      </c>
    </row>
    <row r="115" spans="1:24" ht="15" x14ac:dyDescent="0.25">
      <c r="A115" s="807" t="s">
        <v>317</v>
      </c>
      <c r="B115">
        <v>112</v>
      </c>
      <c r="C115" s="808">
        <v>42.5</v>
      </c>
      <c r="D115" s="809">
        <v>0</v>
      </c>
      <c r="E115" s="810">
        <v>42.5</v>
      </c>
      <c r="F115" s="808">
        <v>0</v>
      </c>
      <c r="H115" s="828" t="s">
        <v>317</v>
      </c>
      <c r="I115" s="815">
        <v>112</v>
      </c>
      <c r="J115" s="839">
        <v>42.480000000000004</v>
      </c>
      <c r="K115" s="839">
        <v>0</v>
      </c>
      <c r="L115" s="839">
        <v>42.480000000000004</v>
      </c>
      <c r="M115" s="839">
        <v>0</v>
      </c>
      <c r="P115" s="719">
        <v>281</v>
      </c>
      <c r="Q115" s="719" t="str">
        <f t="shared" si="4"/>
        <v>0281</v>
      </c>
      <c r="R115" s="719">
        <v>255</v>
      </c>
      <c r="S115" s="720">
        <v>0.5</v>
      </c>
      <c r="T115" s="720"/>
      <c r="U115" s="724">
        <v>291</v>
      </c>
      <c r="V115" s="724" t="str">
        <f t="shared" si="5"/>
        <v>0291</v>
      </c>
      <c r="W115" s="724">
        <v>101</v>
      </c>
      <c r="X115" s="720">
        <v>105.95</v>
      </c>
    </row>
    <row r="116" spans="1:24" ht="15" x14ac:dyDescent="0.25">
      <c r="A116" s="807" t="s">
        <v>317</v>
      </c>
      <c r="B116">
        <v>130</v>
      </c>
      <c r="C116" s="808">
        <v>39.309999999999995</v>
      </c>
      <c r="D116" s="809">
        <v>33.97</v>
      </c>
      <c r="E116" s="810">
        <v>5.34</v>
      </c>
      <c r="F116" s="808">
        <v>0</v>
      </c>
      <c r="H116" s="828" t="s">
        <v>317</v>
      </c>
      <c r="I116" s="815">
        <v>130</v>
      </c>
      <c r="J116" s="839">
        <v>38.110000000000007</v>
      </c>
      <c r="K116" s="839">
        <v>32.720000000000006</v>
      </c>
      <c r="L116" s="839">
        <v>5.39</v>
      </c>
      <c r="M116" s="839">
        <v>0</v>
      </c>
      <c r="P116" s="719">
        <v>291</v>
      </c>
      <c r="Q116" s="719" t="str">
        <f t="shared" si="4"/>
        <v>0291</v>
      </c>
      <c r="R116" s="719">
        <v>101</v>
      </c>
      <c r="S116" s="720">
        <v>108.87</v>
      </c>
      <c r="T116" s="720"/>
      <c r="U116" s="724">
        <v>291</v>
      </c>
      <c r="V116" s="724" t="str">
        <f t="shared" si="5"/>
        <v>0291</v>
      </c>
      <c r="W116" s="724">
        <v>102</v>
      </c>
      <c r="X116" s="720">
        <v>60.97</v>
      </c>
    </row>
    <row r="117" spans="1:24" ht="15" x14ac:dyDescent="0.25">
      <c r="A117" s="807" t="s">
        <v>379</v>
      </c>
      <c r="B117">
        <v>102</v>
      </c>
      <c r="C117" s="808">
        <v>217.6</v>
      </c>
      <c r="D117" s="809">
        <v>0</v>
      </c>
      <c r="E117" s="810">
        <v>217.6</v>
      </c>
      <c r="F117" s="808">
        <v>0</v>
      </c>
      <c r="H117" s="828" t="s">
        <v>379</v>
      </c>
      <c r="I117" s="815">
        <v>102</v>
      </c>
      <c r="J117" s="839">
        <v>217.62</v>
      </c>
      <c r="K117" s="839">
        <v>0</v>
      </c>
      <c r="L117" s="839">
        <v>217.62</v>
      </c>
      <c r="M117" s="839">
        <v>0</v>
      </c>
      <c r="P117" s="719">
        <v>291</v>
      </c>
      <c r="Q117" s="719" t="str">
        <f t="shared" si="4"/>
        <v>0291</v>
      </c>
      <c r="R117" s="719">
        <v>102</v>
      </c>
      <c r="S117" s="720">
        <v>61.14</v>
      </c>
      <c r="T117" s="720"/>
      <c r="U117" s="724">
        <v>291</v>
      </c>
      <c r="V117" s="724" t="str">
        <f t="shared" si="5"/>
        <v>0291</v>
      </c>
      <c r="W117" s="724">
        <v>111</v>
      </c>
      <c r="X117" s="720">
        <v>35.75</v>
      </c>
    </row>
    <row r="118" spans="1:24" ht="15" x14ac:dyDescent="0.25">
      <c r="A118" s="807" t="s">
        <v>379</v>
      </c>
      <c r="B118">
        <v>112</v>
      </c>
      <c r="C118" s="808">
        <v>36</v>
      </c>
      <c r="D118" s="809">
        <v>0</v>
      </c>
      <c r="E118" s="810">
        <v>36</v>
      </c>
      <c r="F118" s="808">
        <v>0</v>
      </c>
      <c r="H118" s="828" t="s">
        <v>379</v>
      </c>
      <c r="I118" s="815">
        <v>112</v>
      </c>
      <c r="J118" s="839">
        <v>35</v>
      </c>
      <c r="K118" s="839">
        <v>0</v>
      </c>
      <c r="L118" s="839">
        <v>35</v>
      </c>
      <c r="M118" s="839">
        <v>0</v>
      </c>
      <c r="P118" s="719">
        <v>291</v>
      </c>
      <c r="Q118" s="719" t="str">
        <f t="shared" si="4"/>
        <v>0291</v>
      </c>
      <c r="R118" s="719">
        <v>111</v>
      </c>
      <c r="S118" s="720">
        <v>33.200000000000003</v>
      </c>
      <c r="T118" s="720"/>
      <c r="U118" s="724">
        <v>291</v>
      </c>
      <c r="V118" s="724" t="str">
        <f t="shared" si="5"/>
        <v>0291</v>
      </c>
      <c r="W118" s="724">
        <v>112</v>
      </c>
      <c r="X118" s="720">
        <v>20.5</v>
      </c>
    </row>
    <row r="119" spans="1:24" ht="15" x14ac:dyDescent="0.25">
      <c r="A119" s="807" t="s">
        <v>379</v>
      </c>
      <c r="B119">
        <v>130</v>
      </c>
      <c r="C119" s="808">
        <v>8.3000000000000007</v>
      </c>
      <c r="D119" s="809">
        <v>0</v>
      </c>
      <c r="E119" s="810">
        <v>8.3000000000000007</v>
      </c>
      <c r="F119" s="808">
        <v>0</v>
      </c>
      <c r="H119" s="828" t="s">
        <v>379</v>
      </c>
      <c r="I119" s="815">
        <v>130</v>
      </c>
      <c r="J119" s="839">
        <v>8.25</v>
      </c>
      <c r="K119" s="839">
        <v>0</v>
      </c>
      <c r="L119" s="839">
        <v>8.25</v>
      </c>
      <c r="M119" s="839">
        <v>0</v>
      </c>
      <c r="P119" s="719">
        <v>291</v>
      </c>
      <c r="Q119" s="719" t="str">
        <f t="shared" si="4"/>
        <v>0291</v>
      </c>
      <c r="R119" s="719">
        <v>112</v>
      </c>
      <c r="S119" s="720">
        <v>21</v>
      </c>
      <c r="T119" s="720"/>
      <c r="U119" s="724">
        <v>291</v>
      </c>
      <c r="V119" s="724" t="str">
        <f t="shared" si="5"/>
        <v>0291</v>
      </c>
      <c r="W119" s="724">
        <v>130</v>
      </c>
      <c r="X119" s="720">
        <v>72.58</v>
      </c>
    </row>
    <row r="120" spans="1:24" ht="15" x14ac:dyDescent="0.25">
      <c r="A120" s="807" t="s">
        <v>376</v>
      </c>
      <c r="B120">
        <v>102</v>
      </c>
      <c r="C120" s="808">
        <v>95.429999999999993</v>
      </c>
      <c r="D120" s="809">
        <v>0</v>
      </c>
      <c r="E120" s="810">
        <v>95.429999999999993</v>
      </c>
      <c r="F120" s="808">
        <v>0</v>
      </c>
      <c r="H120" s="828" t="s">
        <v>376</v>
      </c>
      <c r="I120" s="815">
        <v>102</v>
      </c>
      <c r="J120" s="839">
        <v>92.91</v>
      </c>
      <c r="K120" s="839">
        <v>0</v>
      </c>
      <c r="L120" s="839">
        <v>92.91</v>
      </c>
      <c r="M120" s="839">
        <v>0</v>
      </c>
      <c r="P120" s="719">
        <v>291</v>
      </c>
      <c r="Q120" s="719" t="str">
        <f t="shared" si="4"/>
        <v>0291</v>
      </c>
      <c r="R120" s="719">
        <v>130</v>
      </c>
      <c r="S120" s="720">
        <v>74.47</v>
      </c>
      <c r="T120" s="720"/>
      <c r="U120" s="724">
        <v>311</v>
      </c>
      <c r="V120" s="724" t="str">
        <f t="shared" si="5"/>
        <v>0311</v>
      </c>
      <c r="W120" s="724">
        <v>102</v>
      </c>
      <c r="X120" s="720">
        <v>266.04000000000002</v>
      </c>
    </row>
    <row r="121" spans="1:24" ht="15" x14ac:dyDescent="0.25">
      <c r="A121" s="807" t="s">
        <v>376</v>
      </c>
      <c r="B121">
        <v>103</v>
      </c>
      <c r="C121" s="808">
        <v>55.34</v>
      </c>
      <c r="D121" s="809">
        <v>0</v>
      </c>
      <c r="E121" s="810">
        <v>0</v>
      </c>
      <c r="F121" s="808">
        <v>55.34</v>
      </c>
      <c r="H121" s="828" t="s">
        <v>376</v>
      </c>
      <c r="I121" s="815">
        <v>103</v>
      </c>
      <c r="J121" s="839">
        <v>56.72</v>
      </c>
      <c r="K121" s="839">
        <v>0</v>
      </c>
      <c r="L121" s="839">
        <v>0</v>
      </c>
      <c r="M121" s="839">
        <v>56.72</v>
      </c>
      <c r="P121" s="719">
        <v>311</v>
      </c>
      <c r="Q121" s="719" t="str">
        <f t="shared" si="4"/>
        <v>0311</v>
      </c>
      <c r="R121" s="719">
        <v>102</v>
      </c>
      <c r="S121" s="720">
        <v>267.39999999999998</v>
      </c>
      <c r="T121" s="720"/>
      <c r="U121" s="724">
        <v>311</v>
      </c>
      <c r="V121" s="724" t="str">
        <f t="shared" si="5"/>
        <v>0311</v>
      </c>
      <c r="W121" s="724">
        <v>112</v>
      </c>
      <c r="X121" s="720">
        <v>78.44</v>
      </c>
    </row>
    <row r="122" spans="1:24" ht="15" x14ac:dyDescent="0.25">
      <c r="A122" s="807" t="s">
        <v>376</v>
      </c>
      <c r="B122">
        <v>112</v>
      </c>
      <c r="C122" s="808">
        <v>27.5</v>
      </c>
      <c r="D122" s="809">
        <v>0</v>
      </c>
      <c r="E122" s="810">
        <v>27.5</v>
      </c>
      <c r="F122" s="808">
        <v>0</v>
      </c>
      <c r="H122" s="828" t="s">
        <v>376</v>
      </c>
      <c r="I122" s="815">
        <v>112</v>
      </c>
      <c r="J122" s="839">
        <v>26</v>
      </c>
      <c r="K122" s="839">
        <v>0</v>
      </c>
      <c r="L122" s="839">
        <v>26</v>
      </c>
      <c r="M122" s="839">
        <v>0</v>
      </c>
      <c r="P122" s="719">
        <v>311</v>
      </c>
      <c r="Q122" s="719" t="str">
        <f t="shared" si="4"/>
        <v>0311</v>
      </c>
      <c r="R122" s="719">
        <v>112</v>
      </c>
      <c r="S122" s="720">
        <v>79.069999999999993</v>
      </c>
      <c r="T122" s="720"/>
      <c r="U122" s="724">
        <v>311</v>
      </c>
      <c r="V122" s="724" t="str">
        <f t="shared" si="5"/>
        <v>0311</v>
      </c>
      <c r="W122" s="724">
        <v>130</v>
      </c>
      <c r="X122" s="720">
        <v>12.69</v>
      </c>
    </row>
    <row r="123" spans="1:24" ht="15" x14ac:dyDescent="0.25">
      <c r="A123" s="807" t="s">
        <v>376</v>
      </c>
      <c r="B123">
        <v>113</v>
      </c>
      <c r="C123" s="808">
        <v>11.5</v>
      </c>
      <c r="D123" s="809">
        <v>0</v>
      </c>
      <c r="E123" s="810">
        <v>0</v>
      </c>
      <c r="F123" s="808">
        <v>11.5</v>
      </c>
      <c r="H123" s="828" t="s">
        <v>376</v>
      </c>
      <c r="I123" s="815">
        <v>113</v>
      </c>
      <c r="J123" s="839">
        <v>10.969999999999999</v>
      </c>
      <c r="K123" s="839">
        <v>0</v>
      </c>
      <c r="L123" s="839">
        <v>0</v>
      </c>
      <c r="M123" s="839">
        <v>10.969999999999999</v>
      </c>
      <c r="P123" s="719">
        <v>311</v>
      </c>
      <c r="Q123" s="719" t="str">
        <f t="shared" si="4"/>
        <v>0311</v>
      </c>
      <c r="R123" s="719">
        <v>130</v>
      </c>
      <c r="S123" s="720">
        <v>12.37</v>
      </c>
      <c r="T123" s="720"/>
      <c r="U123" s="724">
        <v>341</v>
      </c>
      <c r="V123" s="724" t="str">
        <f t="shared" si="5"/>
        <v>0341</v>
      </c>
      <c r="W123" s="724">
        <v>101</v>
      </c>
      <c r="X123" s="720">
        <v>88.56</v>
      </c>
    </row>
    <row r="124" spans="1:24" ht="15" x14ac:dyDescent="0.25">
      <c r="A124" s="807" t="s">
        <v>376</v>
      </c>
      <c r="B124">
        <v>130</v>
      </c>
      <c r="C124" s="808">
        <v>14.36</v>
      </c>
      <c r="D124" s="809">
        <v>0</v>
      </c>
      <c r="E124" s="810">
        <v>8.07</v>
      </c>
      <c r="F124" s="808">
        <v>6.29</v>
      </c>
      <c r="H124" s="828" t="s">
        <v>376</v>
      </c>
      <c r="I124" s="815">
        <v>130</v>
      </c>
      <c r="J124" s="839">
        <v>14.629999999999999</v>
      </c>
      <c r="K124" s="839">
        <v>0</v>
      </c>
      <c r="L124" s="839">
        <v>8.5599999999999987</v>
      </c>
      <c r="M124" s="839">
        <v>6.07</v>
      </c>
      <c r="P124" s="719">
        <v>341</v>
      </c>
      <c r="Q124" s="719" t="str">
        <f t="shared" si="4"/>
        <v>0341</v>
      </c>
      <c r="R124" s="719">
        <v>101</v>
      </c>
      <c r="S124" s="720">
        <v>91.24</v>
      </c>
      <c r="T124" s="720"/>
      <c r="U124" s="724">
        <v>341</v>
      </c>
      <c r="V124" s="724" t="str">
        <f t="shared" si="5"/>
        <v>0341</v>
      </c>
      <c r="W124" s="724">
        <v>102</v>
      </c>
      <c r="X124" s="720">
        <v>31.1</v>
      </c>
    </row>
    <row r="125" spans="1:24" ht="15" x14ac:dyDescent="0.25">
      <c r="A125" s="807" t="s">
        <v>376</v>
      </c>
      <c r="B125">
        <v>300</v>
      </c>
      <c r="C125" s="808">
        <v>0.78</v>
      </c>
      <c r="D125" s="809">
        <v>0</v>
      </c>
      <c r="E125" s="810">
        <v>0</v>
      </c>
      <c r="F125" s="808">
        <v>0.78</v>
      </c>
      <c r="H125" s="828" t="s">
        <v>376</v>
      </c>
      <c r="I125" s="815">
        <v>300</v>
      </c>
      <c r="J125" s="839">
        <v>0.79</v>
      </c>
      <c r="K125" s="839">
        <v>0</v>
      </c>
      <c r="L125" s="839">
        <v>0</v>
      </c>
      <c r="M125" s="839">
        <v>0.79</v>
      </c>
      <c r="P125" s="719">
        <v>341</v>
      </c>
      <c r="Q125" s="719" t="str">
        <f t="shared" si="4"/>
        <v>0341</v>
      </c>
      <c r="R125" s="719">
        <v>102</v>
      </c>
      <c r="S125" s="720">
        <v>31.33</v>
      </c>
      <c r="T125" s="720"/>
      <c r="U125" s="724">
        <v>341</v>
      </c>
      <c r="V125" s="724" t="str">
        <f t="shared" si="5"/>
        <v>0341</v>
      </c>
      <c r="W125" s="724">
        <v>111</v>
      </c>
      <c r="X125" s="720">
        <v>17.87</v>
      </c>
    </row>
    <row r="126" spans="1:24" ht="15" x14ac:dyDescent="0.25">
      <c r="A126" s="807" t="s">
        <v>321</v>
      </c>
      <c r="B126">
        <v>101</v>
      </c>
      <c r="C126" s="808">
        <v>54.97</v>
      </c>
      <c r="D126" s="809">
        <v>54.97</v>
      </c>
      <c r="E126" s="810">
        <v>0</v>
      </c>
      <c r="F126" s="808">
        <v>0</v>
      </c>
      <c r="H126" s="828" t="s">
        <v>321</v>
      </c>
      <c r="I126" s="815">
        <v>101</v>
      </c>
      <c r="J126" s="839">
        <v>52</v>
      </c>
      <c r="K126" s="839">
        <v>52</v>
      </c>
      <c r="L126" s="839">
        <v>0</v>
      </c>
      <c r="M126" s="839">
        <v>0</v>
      </c>
      <c r="P126" s="719">
        <v>341</v>
      </c>
      <c r="Q126" s="719" t="str">
        <f t="shared" si="4"/>
        <v>0341</v>
      </c>
      <c r="R126" s="719">
        <v>111</v>
      </c>
      <c r="S126" s="720">
        <v>22.79</v>
      </c>
      <c r="T126" s="720"/>
      <c r="U126" s="724">
        <v>341</v>
      </c>
      <c r="V126" s="724" t="str">
        <f t="shared" si="5"/>
        <v>0341</v>
      </c>
      <c r="W126" s="724">
        <v>112</v>
      </c>
      <c r="X126" s="720">
        <v>10.01</v>
      </c>
    </row>
    <row r="127" spans="1:24" ht="15" x14ac:dyDescent="0.25">
      <c r="A127" s="807" t="s">
        <v>321</v>
      </c>
      <c r="B127">
        <v>102</v>
      </c>
      <c r="C127" s="808">
        <v>29.55</v>
      </c>
      <c r="D127" s="809">
        <v>0</v>
      </c>
      <c r="E127" s="810">
        <v>29.55</v>
      </c>
      <c r="F127" s="808">
        <v>0</v>
      </c>
      <c r="H127" s="828" t="s">
        <v>321</v>
      </c>
      <c r="I127" s="815">
        <v>102</v>
      </c>
      <c r="J127" s="839">
        <v>29.56</v>
      </c>
      <c r="K127" s="839">
        <v>0</v>
      </c>
      <c r="L127" s="839">
        <v>29.56</v>
      </c>
      <c r="M127" s="839">
        <v>0</v>
      </c>
      <c r="P127" s="719">
        <v>341</v>
      </c>
      <c r="Q127" s="719" t="str">
        <f t="shared" si="4"/>
        <v>0341</v>
      </c>
      <c r="R127" s="719">
        <v>112</v>
      </c>
      <c r="S127" s="720">
        <v>11.01</v>
      </c>
      <c r="T127" s="720"/>
      <c r="U127" s="724">
        <v>341</v>
      </c>
      <c r="V127" s="724" t="str">
        <f t="shared" si="5"/>
        <v>0341</v>
      </c>
      <c r="W127" s="724">
        <v>130</v>
      </c>
      <c r="X127" s="720">
        <v>19.7</v>
      </c>
    </row>
    <row r="128" spans="1:24" ht="15" x14ac:dyDescent="0.25">
      <c r="A128" s="807" t="s">
        <v>321</v>
      </c>
      <c r="B128">
        <v>111</v>
      </c>
      <c r="C128" s="808">
        <v>10.5</v>
      </c>
      <c r="D128" s="809">
        <v>10.5</v>
      </c>
      <c r="E128" s="810">
        <v>0</v>
      </c>
      <c r="F128" s="808">
        <v>0</v>
      </c>
      <c r="H128" s="828" t="s">
        <v>321</v>
      </c>
      <c r="I128" s="815">
        <v>111</v>
      </c>
      <c r="J128" s="839">
        <v>11.01</v>
      </c>
      <c r="K128" s="839">
        <v>11.01</v>
      </c>
      <c r="L128" s="839">
        <v>0</v>
      </c>
      <c r="M128" s="839">
        <v>0</v>
      </c>
      <c r="P128" s="719">
        <v>341</v>
      </c>
      <c r="Q128" s="719" t="str">
        <f t="shared" si="4"/>
        <v>0341</v>
      </c>
      <c r="R128" s="719">
        <v>130</v>
      </c>
      <c r="S128" s="720">
        <v>17.170000000000002</v>
      </c>
      <c r="T128" s="720"/>
      <c r="U128" s="724">
        <v>341</v>
      </c>
      <c r="V128" s="724" t="str">
        <f t="shared" si="5"/>
        <v>0341</v>
      </c>
      <c r="W128" s="724">
        <v>254</v>
      </c>
      <c r="X128" s="720">
        <v>1.1299999999999999</v>
      </c>
    </row>
    <row r="129" spans="1:24" ht="15" x14ac:dyDescent="0.25">
      <c r="A129" s="807" t="s">
        <v>321</v>
      </c>
      <c r="B129">
        <v>112</v>
      </c>
      <c r="C129" s="808">
        <v>6</v>
      </c>
      <c r="D129" s="809">
        <v>0</v>
      </c>
      <c r="E129" s="810">
        <v>6</v>
      </c>
      <c r="F129" s="808">
        <v>0</v>
      </c>
      <c r="H129" s="828" t="s">
        <v>321</v>
      </c>
      <c r="I129" s="815">
        <v>112</v>
      </c>
      <c r="J129" s="839">
        <v>5.52</v>
      </c>
      <c r="K129" s="839">
        <v>0</v>
      </c>
      <c r="L129" s="839">
        <v>5.52</v>
      </c>
      <c r="M129" s="839">
        <v>0</v>
      </c>
      <c r="P129" s="719">
        <v>341</v>
      </c>
      <c r="Q129" s="719" t="str">
        <f t="shared" si="4"/>
        <v>0341</v>
      </c>
      <c r="R129" s="719">
        <v>254</v>
      </c>
      <c r="S129" s="720">
        <v>1.76</v>
      </c>
      <c r="T129" s="720"/>
      <c r="U129" s="724">
        <v>351</v>
      </c>
      <c r="V129" s="724" t="str">
        <f t="shared" si="5"/>
        <v>0351</v>
      </c>
      <c r="W129" s="724">
        <v>101</v>
      </c>
      <c r="X129" s="720">
        <v>95.13</v>
      </c>
    </row>
    <row r="130" spans="1:24" ht="15" x14ac:dyDescent="0.25">
      <c r="A130" s="807" t="s">
        <v>321</v>
      </c>
      <c r="B130">
        <v>130</v>
      </c>
      <c r="C130" s="808">
        <v>12.98</v>
      </c>
      <c r="D130" s="809">
        <v>8.0299999999999994</v>
      </c>
      <c r="E130" s="810">
        <v>4.9499999999999993</v>
      </c>
      <c r="F130" s="808">
        <v>0</v>
      </c>
      <c r="H130" s="828" t="s">
        <v>321</v>
      </c>
      <c r="I130" s="815">
        <v>130</v>
      </c>
      <c r="J130" s="839">
        <v>12.21</v>
      </c>
      <c r="K130" s="839">
        <v>7.26</v>
      </c>
      <c r="L130" s="839">
        <v>4.9499999999999993</v>
      </c>
      <c r="M130" s="839">
        <v>0</v>
      </c>
      <c r="P130" s="719">
        <v>351</v>
      </c>
      <c r="Q130" s="719" t="str">
        <f t="shared" si="4"/>
        <v>0351</v>
      </c>
      <c r="R130" s="719">
        <v>101</v>
      </c>
      <c r="S130" s="720">
        <v>100.16</v>
      </c>
      <c r="T130" s="720"/>
      <c r="U130" s="724">
        <v>351</v>
      </c>
      <c r="V130" s="724" t="str">
        <f t="shared" si="5"/>
        <v>0351</v>
      </c>
      <c r="W130" s="724">
        <v>102</v>
      </c>
      <c r="X130" s="720">
        <v>43.6</v>
      </c>
    </row>
    <row r="131" spans="1:24" ht="15" x14ac:dyDescent="0.25">
      <c r="A131" s="807" t="s">
        <v>325</v>
      </c>
      <c r="B131">
        <v>103</v>
      </c>
      <c r="C131" s="808">
        <v>223.27999999999997</v>
      </c>
      <c r="D131" s="809">
        <v>0</v>
      </c>
      <c r="E131" s="810">
        <v>0</v>
      </c>
      <c r="F131" s="808">
        <v>223.27999999999997</v>
      </c>
      <c r="H131" s="828" t="s">
        <v>325</v>
      </c>
      <c r="I131" s="815">
        <v>103</v>
      </c>
      <c r="J131" s="839">
        <v>229.33</v>
      </c>
      <c r="K131" s="839">
        <v>0</v>
      </c>
      <c r="L131" s="839">
        <v>0</v>
      </c>
      <c r="M131" s="839">
        <v>229.33</v>
      </c>
      <c r="P131" s="719">
        <v>351</v>
      </c>
      <c r="Q131" s="719" t="str">
        <f t="shared" ref="Q131:Q194" si="6">TEXT(P131,"0000")</f>
        <v>0351</v>
      </c>
      <c r="R131" s="719">
        <v>102</v>
      </c>
      <c r="S131" s="720">
        <v>43.98</v>
      </c>
      <c r="T131" s="720"/>
      <c r="U131" s="724">
        <v>351</v>
      </c>
      <c r="V131" s="724" t="str">
        <f t="shared" si="5"/>
        <v>0351</v>
      </c>
      <c r="W131" s="724">
        <v>111</v>
      </c>
      <c r="X131" s="720">
        <v>27.99</v>
      </c>
    </row>
    <row r="132" spans="1:24" ht="15" x14ac:dyDescent="0.25">
      <c r="A132" s="807" t="s">
        <v>325</v>
      </c>
      <c r="B132">
        <v>113</v>
      </c>
      <c r="C132" s="808">
        <v>57.72</v>
      </c>
      <c r="D132" s="809">
        <v>0</v>
      </c>
      <c r="E132" s="810">
        <v>0</v>
      </c>
      <c r="F132" s="808">
        <v>57.72</v>
      </c>
      <c r="H132" s="828" t="s">
        <v>325</v>
      </c>
      <c r="I132" s="815">
        <v>113</v>
      </c>
      <c r="J132" s="839">
        <v>68.64</v>
      </c>
      <c r="K132" s="839">
        <v>0</v>
      </c>
      <c r="L132" s="839">
        <v>0</v>
      </c>
      <c r="M132" s="839">
        <v>68.64</v>
      </c>
      <c r="P132" s="719">
        <v>351</v>
      </c>
      <c r="Q132" s="719" t="str">
        <f t="shared" si="6"/>
        <v>0351</v>
      </c>
      <c r="R132" s="719">
        <v>111</v>
      </c>
      <c r="S132" s="720">
        <v>27.03</v>
      </c>
      <c r="T132" s="720"/>
      <c r="U132" s="724">
        <v>351</v>
      </c>
      <c r="V132" s="724" t="str">
        <f t="shared" ref="V132:V195" si="7">TEXT(U132,"0000")</f>
        <v>0351</v>
      </c>
      <c r="W132" s="724">
        <v>112</v>
      </c>
      <c r="X132" s="720">
        <v>18.98</v>
      </c>
    </row>
    <row r="133" spans="1:24" ht="15" x14ac:dyDescent="0.25">
      <c r="A133" s="807" t="s">
        <v>325</v>
      </c>
      <c r="B133">
        <v>130</v>
      </c>
      <c r="C133" s="808">
        <v>23.9</v>
      </c>
      <c r="D133" s="809">
        <v>0</v>
      </c>
      <c r="E133" s="810">
        <v>0</v>
      </c>
      <c r="F133" s="808">
        <v>23.9</v>
      </c>
      <c r="H133" s="828" t="s">
        <v>325</v>
      </c>
      <c r="I133" s="815">
        <v>130</v>
      </c>
      <c r="J133" s="839">
        <v>24.659999999999997</v>
      </c>
      <c r="K133" s="839">
        <v>0</v>
      </c>
      <c r="L133" s="839">
        <v>0</v>
      </c>
      <c r="M133" s="839">
        <v>24.659999999999997</v>
      </c>
      <c r="P133" s="719">
        <v>351</v>
      </c>
      <c r="Q133" s="719" t="str">
        <f t="shared" si="6"/>
        <v>0351</v>
      </c>
      <c r="R133" s="719">
        <v>112</v>
      </c>
      <c r="S133" s="720">
        <v>20.48</v>
      </c>
      <c r="T133" s="720"/>
      <c r="U133" s="724">
        <v>351</v>
      </c>
      <c r="V133" s="724" t="str">
        <f t="shared" si="7"/>
        <v>0351</v>
      </c>
      <c r="W133" s="724">
        <v>130</v>
      </c>
      <c r="X133" s="720">
        <v>38.97</v>
      </c>
    </row>
    <row r="134" spans="1:24" ht="15" x14ac:dyDescent="0.25">
      <c r="A134" s="807" t="s">
        <v>327</v>
      </c>
      <c r="B134">
        <v>101</v>
      </c>
      <c r="C134" s="808">
        <v>90.9</v>
      </c>
      <c r="D134" s="809">
        <v>90.9</v>
      </c>
      <c r="E134" s="810">
        <v>0</v>
      </c>
      <c r="F134" s="808">
        <v>0</v>
      </c>
      <c r="H134" s="828" t="s">
        <v>327</v>
      </c>
      <c r="I134" s="815">
        <v>101</v>
      </c>
      <c r="J134" s="839">
        <v>88.039999999999992</v>
      </c>
      <c r="K134" s="839">
        <v>88.039999999999992</v>
      </c>
      <c r="L134" s="839">
        <v>0</v>
      </c>
      <c r="M134" s="839">
        <v>0</v>
      </c>
      <c r="P134" s="719">
        <v>351</v>
      </c>
      <c r="Q134" s="719" t="str">
        <f t="shared" si="6"/>
        <v>0351</v>
      </c>
      <c r="R134" s="719">
        <v>130</v>
      </c>
      <c r="S134" s="720">
        <v>38.56</v>
      </c>
      <c r="T134" s="720"/>
      <c r="U134" s="724">
        <v>361</v>
      </c>
      <c r="V134" s="724" t="str">
        <f t="shared" si="7"/>
        <v>0361</v>
      </c>
      <c r="W134" s="724">
        <v>101</v>
      </c>
      <c r="X134" s="720">
        <v>111.15</v>
      </c>
    </row>
    <row r="135" spans="1:24" ht="15" x14ac:dyDescent="0.25">
      <c r="A135" s="807" t="s">
        <v>327</v>
      </c>
      <c r="B135">
        <v>102</v>
      </c>
      <c r="C135" s="808">
        <v>149.74</v>
      </c>
      <c r="D135" s="809">
        <v>0</v>
      </c>
      <c r="E135" s="810">
        <v>149.74</v>
      </c>
      <c r="F135" s="808">
        <v>0</v>
      </c>
      <c r="H135" s="828" t="s">
        <v>327</v>
      </c>
      <c r="I135" s="815">
        <v>102</v>
      </c>
      <c r="J135" s="839">
        <v>148.94</v>
      </c>
      <c r="K135" s="839">
        <v>0</v>
      </c>
      <c r="L135" s="839">
        <v>148.94</v>
      </c>
      <c r="M135" s="839">
        <v>0</v>
      </c>
      <c r="P135" s="719">
        <v>361</v>
      </c>
      <c r="Q135" s="719" t="str">
        <f t="shared" si="6"/>
        <v>0361</v>
      </c>
      <c r="R135" s="719">
        <v>101</v>
      </c>
      <c r="S135" s="720">
        <v>112.75</v>
      </c>
      <c r="T135" s="720"/>
      <c r="U135" s="724">
        <v>361</v>
      </c>
      <c r="V135" s="724" t="str">
        <f t="shared" si="7"/>
        <v>0361</v>
      </c>
      <c r="W135" s="724">
        <v>102</v>
      </c>
      <c r="X135" s="720">
        <v>60.82</v>
      </c>
    </row>
    <row r="136" spans="1:24" ht="15" x14ac:dyDescent="0.25">
      <c r="A136" s="807" t="s">
        <v>327</v>
      </c>
      <c r="B136">
        <v>111</v>
      </c>
      <c r="C136" s="808">
        <v>13</v>
      </c>
      <c r="D136" s="809">
        <v>13</v>
      </c>
      <c r="E136" s="810">
        <v>0</v>
      </c>
      <c r="F136" s="808">
        <v>0</v>
      </c>
      <c r="H136" s="828" t="s">
        <v>327</v>
      </c>
      <c r="I136" s="815">
        <v>111</v>
      </c>
      <c r="J136" s="839">
        <v>15.059999999999999</v>
      </c>
      <c r="K136" s="839">
        <v>15.059999999999999</v>
      </c>
      <c r="L136" s="839">
        <v>0</v>
      </c>
      <c r="M136" s="839">
        <v>0</v>
      </c>
      <c r="P136" s="719">
        <v>361</v>
      </c>
      <c r="Q136" s="719" t="str">
        <f t="shared" si="6"/>
        <v>0361</v>
      </c>
      <c r="R136" s="719">
        <v>102</v>
      </c>
      <c r="S136" s="720">
        <v>63.29</v>
      </c>
      <c r="T136" s="720"/>
      <c r="U136" s="724">
        <v>361</v>
      </c>
      <c r="V136" s="724" t="str">
        <f t="shared" si="7"/>
        <v>0361</v>
      </c>
      <c r="W136" s="724">
        <v>111</v>
      </c>
      <c r="X136" s="720">
        <v>25.05</v>
      </c>
    </row>
    <row r="137" spans="1:24" ht="15" x14ac:dyDescent="0.25">
      <c r="A137" s="807" t="s">
        <v>327</v>
      </c>
      <c r="B137">
        <v>112</v>
      </c>
      <c r="C137" s="808">
        <v>24</v>
      </c>
      <c r="D137" s="809">
        <v>0</v>
      </c>
      <c r="E137" s="810">
        <v>24</v>
      </c>
      <c r="F137" s="808">
        <v>0</v>
      </c>
      <c r="H137" s="828" t="s">
        <v>327</v>
      </c>
      <c r="I137" s="815">
        <v>112</v>
      </c>
      <c r="J137" s="839">
        <v>23.5</v>
      </c>
      <c r="K137" s="839">
        <v>0</v>
      </c>
      <c r="L137" s="839">
        <v>23.5</v>
      </c>
      <c r="M137" s="839">
        <v>0</v>
      </c>
      <c r="P137" s="719">
        <v>361</v>
      </c>
      <c r="Q137" s="719" t="str">
        <f t="shared" si="6"/>
        <v>0361</v>
      </c>
      <c r="R137" s="719">
        <v>111</v>
      </c>
      <c r="S137" s="720">
        <v>27.52</v>
      </c>
      <c r="T137" s="720"/>
      <c r="U137" s="724">
        <v>361</v>
      </c>
      <c r="V137" s="724" t="str">
        <f t="shared" si="7"/>
        <v>0361</v>
      </c>
      <c r="W137" s="724">
        <v>112</v>
      </c>
      <c r="X137" s="720">
        <v>15</v>
      </c>
    </row>
    <row r="138" spans="1:24" ht="15" x14ac:dyDescent="0.25">
      <c r="A138" s="807" t="s">
        <v>327</v>
      </c>
      <c r="B138">
        <v>130</v>
      </c>
      <c r="C138" s="808">
        <v>43.860000000000007</v>
      </c>
      <c r="D138" s="809">
        <v>28.6</v>
      </c>
      <c r="E138" s="810">
        <v>15.260000000000002</v>
      </c>
      <c r="F138" s="808">
        <v>0</v>
      </c>
      <c r="H138" s="828" t="s">
        <v>327</v>
      </c>
      <c r="I138" s="815">
        <v>130</v>
      </c>
      <c r="J138" s="839">
        <v>41.74</v>
      </c>
      <c r="K138" s="839">
        <v>28.16</v>
      </c>
      <c r="L138" s="839">
        <v>13.580000000000002</v>
      </c>
      <c r="M138" s="839">
        <v>0</v>
      </c>
      <c r="P138" s="719">
        <v>361</v>
      </c>
      <c r="Q138" s="719" t="str">
        <f t="shared" si="6"/>
        <v>0361</v>
      </c>
      <c r="R138" s="719">
        <v>112</v>
      </c>
      <c r="S138" s="720">
        <v>14</v>
      </c>
      <c r="T138" s="720"/>
      <c r="U138" s="724">
        <v>361</v>
      </c>
      <c r="V138" s="724" t="str">
        <f t="shared" si="7"/>
        <v>0361</v>
      </c>
      <c r="W138" s="724">
        <v>130</v>
      </c>
      <c r="X138" s="720">
        <v>12.68</v>
      </c>
    </row>
    <row r="139" spans="1:24" ht="15" x14ac:dyDescent="0.25">
      <c r="A139" s="807" t="s">
        <v>382</v>
      </c>
      <c r="B139">
        <v>101</v>
      </c>
      <c r="C139" s="808">
        <v>97.49</v>
      </c>
      <c r="D139" s="809">
        <v>97.49</v>
      </c>
      <c r="E139" s="810">
        <v>0</v>
      </c>
      <c r="F139" s="808">
        <v>0</v>
      </c>
      <c r="H139" s="828" t="s">
        <v>382</v>
      </c>
      <c r="I139" s="815">
        <v>101</v>
      </c>
      <c r="J139" s="839">
        <v>93.34</v>
      </c>
      <c r="K139" s="839">
        <v>93.34</v>
      </c>
      <c r="L139" s="839">
        <v>0</v>
      </c>
      <c r="M139" s="839">
        <v>0</v>
      </c>
      <c r="P139" s="719">
        <v>361</v>
      </c>
      <c r="Q139" s="719" t="str">
        <f t="shared" si="6"/>
        <v>0361</v>
      </c>
      <c r="R139" s="719">
        <v>130</v>
      </c>
      <c r="S139" s="720">
        <v>13.12</v>
      </c>
      <c r="T139" s="720"/>
      <c r="U139" s="724">
        <v>395</v>
      </c>
      <c r="V139" s="724" t="str">
        <f t="shared" si="7"/>
        <v>0395</v>
      </c>
      <c r="W139" s="724">
        <v>103</v>
      </c>
      <c r="X139" s="720">
        <v>575.58000000000004</v>
      </c>
    </row>
    <row r="140" spans="1:24" ht="15" x14ac:dyDescent="0.25">
      <c r="A140" s="807" t="s">
        <v>382</v>
      </c>
      <c r="B140">
        <v>102</v>
      </c>
      <c r="C140" s="808">
        <v>177.15</v>
      </c>
      <c r="D140" s="809">
        <v>0</v>
      </c>
      <c r="E140" s="810">
        <v>177.15</v>
      </c>
      <c r="F140" s="808">
        <v>0</v>
      </c>
      <c r="H140" s="828" t="s">
        <v>382</v>
      </c>
      <c r="I140" s="815">
        <v>102</v>
      </c>
      <c r="J140" s="839">
        <v>173.72</v>
      </c>
      <c r="K140" s="839">
        <v>0</v>
      </c>
      <c r="L140" s="839">
        <v>173.72</v>
      </c>
      <c r="M140" s="839">
        <v>0</v>
      </c>
      <c r="P140" s="719">
        <v>395</v>
      </c>
      <c r="Q140" s="719" t="str">
        <f t="shared" si="6"/>
        <v>0395</v>
      </c>
      <c r="R140" s="719">
        <v>103</v>
      </c>
      <c r="S140" s="720">
        <v>590.08000000000004</v>
      </c>
      <c r="T140" s="720"/>
      <c r="U140" s="724">
        <v>395</v>
      </c>
      <c r="V140" s="724" t="str">
        <f t="shared" si="7"/>
        <v>0395</v>
      </c>
      <c r="W140" s="724">
        <v>113</v>
      </c>
      <c r="X140" s="720">
        <v>23.03</v>
      </c>
    </row>
    <row r="141" spans="1:24" ht="15" x14ac:dyDescent="0.25">
      <c r="A141" s="807" t="s">
        <v>382</v>
      </c>
      <c r="B141">
        <v>111</v>
      </c>
      <c r="C141" s="808">
        <v>14</v>
      </c>
      <c r="D141" s="809">
        <v>14</v>
      </c>
      <c r="E141" s="810">
        <v>0</v>
      </c>
      <c r="F141" s="808">
        <v>0</v>
      </c>
      <c r="H141" s="828" t="s">
        <v>382</v>
      </c>
      <c r="I141" s="815">
        <v>111</v>
      </c>
      <c r="J141" s="839">
        <v>13</v>
      </c>
      <c r="K141" s="839">
        <v>13</v>
      </c>
      <c r="L141" s="839">
        <v>0</v>
      </c>
      <c r="M141" s="839">
        <v>0</v>
      </c>
      <c r="P141" s="719">
        <v>395</v>
      </c>
      <c r="Q141" s="719" t="str">
        <f t="shared" si="6"/>
        <v>0395</v>
      </c>
      <c r="R141" s="719">
        <v>113</v>
      </c>
      <c r="S141" s="720">
        <v>23.34</v>
      </c>
      <c r="T141" s="720"/>
      <c r="U141" s="724">
        <v>395</v>
      </c>
      <c r="V141" s="724" t="str">
        <f t="shared" si="7"/>
        <v>0395</v>
      </c>
      <c r="W141" s="724">
        <v>130</v>
      </c>
      <c r="X141" s="720">
        <v>0.95</v>
      </c>
    </row>
    <row r="142" spans="1:24" ht="15" x14ac:dyDescent="0.25">
      <c r="A142" s="807" t="s">
        <v>382</v>
      </c>
      <c r="B142">
        <v>112</v>
      </c>
      <c r="C142" s="808">
        <v>25.5</v>
      </c>
      <c r="D142" s="809">
        <v>0</v>
      </c>
      <c r="E142" s="810">
        <v>25.5</v>
      </c>
      <c r="F142" s="808">
        <v>0</v>
      </c>
      <c r="H142" s="828" t="s">
        <v>382</v>
      </c>
      <c r="I142" s="815">
        <v>112</v>
      </c>
      <c r="J142" s="839">
        <v>23.939999999999998</v>
      </c>
      <c r="K142" s="839">
        <v>0</v>
      </c>
      <c r="L142" s="839">
        <v>23.939999999999998</v>
      </c>
      <c r="M142" s="839">
        <v>0</v>
      </c>
      <c r="P142" s="719">
        <v>395</v>
      </c>
      <c r="Q142" s="719" t="str">
        <f t="shared" si="6"/>
        <v>0395</v>
      </c>
      <c r="R142" s="719">
        <v>130</v>
      </c>
      <c r="S142" s="720">
        <v>0.67</v>
      </c>
      <c r="T142" s="720"/>
      <c r="U142" s="724">
        <v>395</v>
      </c>
      <c r="V142" s="724" t="str">
        <f t="shared" si="7"/>
        <v>0395</v>
      </c>
      <c r="W142" s="724">
        <v>300</v>
      </c>
      <c r="X142" s="720">
        <v>10.49</v>
      </c>
    </row>
    <row r="143" spans="1:24" ht="15" x14ac:dyDescent="0.25">
      <c r="A143" s="807" t="s">
        <v>382</v>
      </c>
      <c r="B143">
        <v>130</v>
      </c>
      <c r="C143" s="808">
        <v>130.86000000000001</v>
      </c>
      <c r="D143" s="809">
        <v>92.51</v>
      </c>
      <c r="E143" s="810">
        <v>38.35</v>
      </c>
      <c r="F143" s="808">
        <v>0</v>
      </c>
      <c r="H143" s="828" t="s">
        <v>382</v>
      </c>
      <c r="I143" s="815">
        <v>130</v>
      </c>
      <c r="J143" s="839">
        <v>125.47</v>
      </c>
      <c r="K143" s="839">
        <v>87.22</v>
      </c>
      <c r="L143" s="839">
        <v>38.25</v>
      </c>
      <c r="M143" s="839">
        <v>0</v>
      </c>
      <c r="P143" s="719">
        <v>395</v>
      </c>
      <c r="Q143" s="719" t="str">
        <f t="shared" si="6"/>
        <v>0395</v>
      </c>
      <c r="R143" s="719">
        <v>300</v>
      </c>
      <c r="S143" s="720">
        <v>10.64</v>
      </c>
      <c r="T143" s="720"/>
      <c r="U143" s="724">
        <v>421</v>
      </c>
      <c r="V143" s="724" t="str">
        <f t="shared" si="7"/>
        <v>0421</v>
      </c>
      <c r="W143" s="724">
        <v>101</v>
      </c>
      <c r="X143" s="720">
        <v>60.46</v>
      </c>
    </row>
    <row r="144" spans="1:24" ht="15" x14ac:dyDescent="0.25">
      <c r="A144" s="854">
        <v>4013</v>
      </c>
      <c r="B144">
        <v>102</v>
      </c>
      <c r="C144" s="808">
        <v>222.88</v>
      </c>
      <c r="D144" s="809">
        <v>0</v>
      </c>
      <c r="E144" s="810">
        <v>222.88</v>
      </c>
      <c r="F144" s="808">
        <v>0</v>
      </c>
      <c r="H144" s="855">
        <v>4013</v>
      </c>
      <c r="I144" s="815">
        <v>102</v>
      </c>
      <c r="J144" s="839">
        <v>216.48000000000002</v>
      </c>
      <c r="K144" s="839">
        <v>0</v>
      </c>
      <c r="L144" s="839">
        <v>216.48000000000002</v>
      </c>
      <c r="M144" s="839">
        <v>0</v>
      </c>
      <c r="P144" s="719">
        <v>421</v>
      </c>
      <c r="Q144" s="719" t="str">
        <f t="shared" si="6"/>
        <v>0421</v>
      </c>
      <c r="R144" s="719">
        <v>101</v>
      </c>
      <c r="S144" s="720">
        <v>65.05</v>
      </c>
      <c r="T144" s="720"/>
      <c r="U144" s="724">
        <v>421</v>
      </c>
      <c r="V144" s="724" t="str">
        <f t="shared" si="7"/>
        <v>0421</v>
      </c>
      <c r="W144" s="724">
        <v>102</v>
      </c>
      <c r="X144" s="720">
        <v>21.46</v>
      </c>
    </row>
    <row r="145" spans="1:24" ht="15" x14ac:dyDescent="0.25">
      <c r="A145" s="854">
        <v>4013</v>
      </c>
      <c r="B145">
        <v>112</v>
      </c>
      <c r="C145" s="808">
        <v>41.94</v>
      </c>
      <c r="D145" s="809">
        <v>0</v>
      </c>
      <c r="E145" s="810">
        <v>41.94</v>
      </c>
      <c r="F145" s="808">
        <v>0</v>
      </c>
      <c r="H145" s="855">
        <v>4013</v>
      </c>
      <c r="I145" s="815">
        <v>112</v>
      </c>
      <c r="J145" s="839">
        <v>38.440000000000005</v>
      </c>
      <c r="K145" s="839">
        <v>0</v>
      </c>
      <c r="L145" s="839">
        <v>38.440000000000005</v>
      </c>
      <c r="M145" s="839">
        <v>0</v>
      </c>
      <c r="P145" s="719">
        <v>421</v>
      </c>
      <c r="Q145" s="719" t="str">
        <f t="shared" si="6"/>
        <v>0421</v>
      </c>
      <c r="R145" s="719">
        <v>102</v>
      </c>
      <c r="S145" s="720">
        <v>21.46</v>
      </c>
      <c r="T145" s="720"/>
      <c r="U145" s="724">
        <v>421</v>
      </c>
      <c r="V145" s="724" t="str">
        <f t="shared" si="7"/>
        <v>0421</v>
      </c>
      <c r="W145" s="724">
        <v>111</v>
      </c>
      <c r="X145" s="720">
        <v>39.5</v>
      </c>
    </row>
    <row r="146" spans="1:24" ht="15" x14ac:dyDescent="0.25">
      <c r="A146" s="854">
        <v>4013</v>
      </c>
      <c r="B146">
        <v>130</v>
      </c>
      <c r="C146" s="808">
        <v>5.87</v>
      </c>
      <c r="D146" s="809">
        <v>0</v>
      </c>
      <c r="E146" s="810">
        <v>5.87</v>
      </c>
      <c r="F146" s="808">
        <v>0</v>
      </c>
      <c r="H146" s="855">
        <v>4013</v>
      </c>
      <c r="I146" s="815">
        <v>130</v>
      </c>
      <c r="J146" s="839">
        <v>4.99</v>
      </c>
      <c r="K146" s="839">
        <v>0</v>
      </c>
      <c r="L146" s="839">
        <v>4.99</v>
      </c>
      <c r="M146" s="839">
        <v>0</v>
      </c>
      <c r="P146" s="719">
        <v>421</v>
      </c>
      <c r="Q146" s="719" t="str">
        <f t="shared" si="6"/>
        <v>0421</v>
      </c>
      <c r="R146" s="719">
        <v>111</v>
      </c>
      <c r="S146" s="720">
        <v>35.5</v>
      </c>
      <c r="T146" s="720"/>
      <c r="U146" s="724">
        <v>421</v>
      </c>
      <c r="V146" s="724" t="str">
        <f t="shared" si="7"/>
        <v>0421</v>
      </c>
      <c r="W146" s="724">
        <v>112</v>
      </c>
      <c r="X146" s="720">
        <v>36</v>
      </c>
    </row>
    <row r="147" spans="1:24" ht="15" x14ac:dyDescent="0.25">
      <c r="A147" s="807" t="s">
        <v>384</v>
      </c>
      <c r="B147">
        <v>103</v>
      </c>
      <c r="C147" s="808">
        <v>429.38</v>
      </c>
      <c r="D147" s="809">
        <v>0</v>
      </c>
      <c r="E147" s="810">
        <v>0</v>
      </c>
      <c r="F147" s="808">
        <v>429.38</v>
      </c>
      <c r="H147" s="828" t="s">
        <v>384</v>
      </c>
      <c r="I147" s="815">
        <v>103</v>
      </c>
      <c r="J147" s="839">
        <v>417.08</v>
      </c>
      <c r="K147" s="839">
        <v>0</v>
      </c>
      <c r="L147" s="839">
        <v>0</v>
      </c>
      <c r="M147" s="839">
        <v>417.08</v>
      </c>
      <c r="P147" s="719">
        <v>421</v>
      </c>
      <c r="Q147" s="719" t="str">
        <f t="shared" si="6"/>
        <v>0421</v>
      </c>
      <c r="R147" s="719">
        <v>112</v>
      </c>
      <c r="S147" s="720">
        <v>36.5</v>
      </c>
      <c r="T147" s="720"/>
      <c r="U147" s="724">
        <v>421</v>
      </c>
      <c r="V147" s="724" t="str">
        <f t="shared" si="7"/>
        <v>0421</v>
      </c>
      <c r="W147" s="724">
        <v>130</v>
      </c>
      <c r="X147" s="720">
        <v>11.03</v>
      </c>
    </row>
    <row r="148" spans="1:24" ht="15" x14ac:dyDescent="0.25">
      <c r="A148" s="807" t="s">
        <v>384</v>
      </c>
      <c r="B148">
        <v>113</v>
      </c>
      <c r="C148" s="808">
        <v>47</v>
      </c>
      <c r="D148" s="809">
        <v>0</v>
      </c>
      <c r="E148" s="810">
        <v>0</v>
      </c>
      <c r="F148" s="808">
        <v>47</v>
      </c>
      <c r="H148" s="828" t="s">
        <v>384</v>
      </c>
      <c r="I148" s="815">
        <v>113</v>
      </c>
      <c r="J148" s="839">
        <v>42.15</v>
      </c>
      <c r="K148" s="839">
        <v>0</v>
      </c>
      <c r="L148" s="839">
        <v>0</v>
      </c>
      <c r="M148" s="839">
        <v>42.15</v>
      </c>
      <c r="P148" s="719">
        <v>421</v>
      </c>
      <c r="Q148" s="719" t="str">
        <f t="shared" si="6"/>
        <v>0421</v>
      </c>
      <c r="R148" s="719">
        <v>130</v>
      </c>
      <c r="S148" s="720">
        <v>11.47</v>
      </c>
      <c r="T148" s="720"/>
      <c r="U148" s="724">
        <v>481</v>
      </c>
      <c r="V148" s="724" t="str">
        <f t="shared" si="7"/>
        <v>0481</v>
      </c>
      <c r="W148" s="724">
        <v>101</v>
      </c>
      <c r="X148" s="720">
        <v>75.37</v>
      </c>
    </row>
    <row r="149" spans="1:24" ht="15" x14ac:dyDescent="0.25">
      <c r="A149" s="807" t="s">
        <v>384</v>
      </c>
      <c r="B149">
        <v>130</v>
      </c>
      <c r="C149" s="808">
        <v>6.09</v>
      </c>
      <c r="D149" s="809">
        <v>0</v>
      </c>
      <c r="E149" s="810">
        <v>0</v>
      </c>
      <c r="F149" s="808">
        <v>6.09</v>
      </c>
      <c r="H149" s="828" t="s">
        <v>384</v>
      </c>
      <c r="I149" s="815">
        <v>130</v>
      </c>
      <c r="J149" s="839">
        <v>5.14</v>
      </c>
      <c r="K149" s="839">
        <v>0</v>
      </c>
      <c r="L149" s="839">
        <v>0</v>
      </c>
      <c r="M149" s="839">
        <v>5.14</v>
      </c>
      <c r="P149" s="719">
        <v>481</v>
      </c>
      <c r="Q149" s="719" t="str">
        <f t="shared" si="6"/>
        <v>0481</v>
      </c>
      <c r="R149" s="719">
        <v>101</v>
      </c>
      <c r="S149" s="720">
        <v>76.03</v>
      </c>
      <c r="T149" s="720"/>
      <c r="U149" s="724">
        <v>481</v>
      </c>
      <c r="V149" s="724" t="str">
        <f t="shared" si="7"/>
        <v>0481</v>
      </c>
      <c r="W149" s="724">
        <v>102</v>
      </c>
      <c r="X149" s="720">
        <v>46.36</v>
      </c>
    </row>
    <row r="150" spans="1:24" ht="15" x14ac:dyDescent="0.25">
      <c r="A150" s="807" t="s">
        <v>384</v>
      </c>
      <c r="B150">
        <v>300</v>
      </c>
      <c r="C150" s="808">
        <v>22.41</v>
      </c>
      <c r="D150" s="809">
        <v>0</v>
      </c>
      <c r="E150" s="810">
        <v>0</v>
      </c>
      <c r="F150" s="808">
        <v>22.41</v>
      </c>
      <c r="H150" s="828" t="s">
        <v>384</v>
      </c>
      <c r="I150" s="815">
        <v>300</v>
      </c>
      <c r="J150" s="839">
        <v>22.080000000000002</v>
      </c>
      <c r="K150" s="839">
        <v>0</v>
      </c>
      <c r="L150" s="839">
        <v>0</v>
      </c>
      <c r="M150" s="839">
        <v>22.080000000000002</v>
      </c>
      <c r="P150" s="719">
        <v>481</v>
      </c>
      <c r="Q150" s="719" t="str">
        <f t="shared" si="6"/>
        <v>0481</v>
      </c>
      <c r="R150" s="719">
        <v>102</v>
      </c>
      <c r="S150" s="720">
        <v>46.3</v>
      </c>
      <c r="T150" s="720"/>
      <c r="U150" s="724">
        <v>481</v>
      </c>
      <c r="V150" s="724" t="str">
        <f t="shared" si="7"/>
        <v>0481</v>
      </c>
      <c r="W150" s="724">
        <v>111</v>
      </c>
      <c r="X150" s="720">
        <v>32.03</v>
      </c>
    </row>
    <row r="151" spans="1:24" ht="15" x14ac:dyDescent="0.25">
      <c r="A151" s="807" t="s">
        <v>367</v>
      </c>
      <c r="B151">
        <v>101</v>
      </c>
      <c r="C151" s="808">
        <v>234.29</v>
      </c>
      <c r="D151" s="809">
        <v>234.29</v>
      </c>
      <c r="E151" s="810">
        <v>0</v>
      </c>
      <c r="F151" s="808">
        <v>0</v>
      </c>
      <c r="H151" s="828" t="s">
        <v>367</v>
      </c>
      <c r="I151" s="815">
        <v>101</v>
      </c>
      <c r="J151" s="839">
        <v>226.73000000000002</v>
      </c>
      <c r="K151" s="839">
        <v>226.73000000000002</v>
      </c>
      <c r="L151" s="839">
        <v>0</v>
      </c>
      <c r="M151" s="839">
        <v>0</v>
      </c>
      <c r="P151" s="719">
        <v>481</v>
      </c>
      <c r="Q151" s="719" t="str">
        <f t="shared" si="6"/>
        <v>0481</v>
      </c>
      <c r="R151" s="719">
        <v>111</v>
      </c>
      <c r="S151" s="720">
        <v>30.55</v>
      </c>
      <c r="T151" s="720"/>
      <c r="U151" s="724">
        <v>481</v>
      </c>
      <c r="V151" s="724" t="str">
        <f t="shared" si="7"/>
        <v>0481</v>
      </c>
      <c r="W151" s="724">
        <v>112</v>
      </c>
      <c r="X151" s="720">
        <v>22.98</v>
      </c>
    </row>
    <row r="152" spans="1:24" ht="15" x14ac:dyDescent="0.25">
      <c r="A152" s="807" t="s">
        <v>367</v>
      </c>
      <c r="B152">
        <v>102</v>
      </c>
      <c r="C152" s="808">
        <v>272.62</v>
      </c>
      <c r="D152" s="809">
        <v>0</v>
      </c>
      <c r="E152" s="810">
        <v>272.62</v>
      </c>
      <c r="F152" s="808">
        <v>0</v>
      </c>
      <c r="H152" s="828" t="s">
        <v>367</v>
      </c>
      <c r="I152" s="815">
        <v>102</v>
      </c>
      <c r="J152" s="839">
        <v>268.62</v>
      </c>
      <c r="K152" s="839">
        <v>0</v>
      </c>
      <c r="L152" s="839">
        <v>268.62</v>
      </c>
      <c r="M152" s="839">
        <v>0</v>
      </c>
      <c r="P152" s="719">
        <v>481</v>
      </c>
      <c r="Q152" s="719" t="str">
        <f t="shared" si="6"/>
        <v>0481</v>
      </c>
      <c r="R152" s="719">
        <v>112</v>
      </c>
      <c r="S152" s="720">
        <v>22.02</v>
      </c>
      <c r="T152" s="720"/>
      <c r="U152" s="724">
        <v>481</v>
      </c>
      <c r="V152" s="724" t="str">
        <f t="shared" si="7"/>
        <v>0481</v>
      </c>
      <c r="W152" s="724">
        <v>130</v>
      </c>
      <c r="X152" s="720">
        <v>175.17</v>
      </c>
    </row>
    <row r="153" spans="1:24" ht="15" x14ac:dyDescent="0.25">
      <c r="A153" s="807" t="s">
        <v>367</v>
      </c>
      <c r="B153">
        <v>111</v>
      </c>
      <c r="C153" s="808">
        <v>30</v>
      </c>
      <c r="D153" s="809">
        <v>30</v>
      </c>
      <c r="E153" s="810">
        <v>0</v>
      </c>
      <c r="F153" s="808">
        <v>0</v>
      </c>
      <c r="H153" s="828" t="s">
        <v>367</v>
      </c>
      <c r="I153" s="815">
        <v>111</v>
      </c>
      <c r="J153" s="839">
        <v>33</v>
      </c>
      <c r="K153" s="839">
        <v>33</v>
      </c>
      <c r="L153" s="839">
        <v>0</v>
      </c>
      <c r="M153" s="839">
        <v>0</v>
      </c>
      <c r="P153" s="719">
        <v>481</v>
      </c>
      <c r="Q153" s="719" t="str">
        <f t="shared" si="6"/>
        <v>0481</v>
      </c>
      <c r="R153" s="719">
        <v>130</v>
      </c>
      <c r="S153" s="720">
        <v>179.53</v>
      </c>
      <c r="T153" s="720"/>
      <c r="U153" s="724">
        <v>481</v>
      </c>
      <c r="V153" s="724" t="str">
        <f t="shared" si="7"/>
        <v>0481</v>
      </c>
      <c r="W153" s="724">
        <v>254</v>
      </c>
      <c r="X153" s="720">
        <v>0</v>
      </c>
    </row>
    <row r="154" spans="1:24" ht="15" x14ac:dyDescent="0.25">
      <c r="A154" s="807" t="s">
        <v>367</v>
      </c>
      <c r="B154">
        <v>112</v>
      </c>
      <c r="C154" s="808">
        <v>47.41</v>
      </c>
      <c r="D154" s="809">
        <v>0</v>
      </c>
      <c r="E154" s="810">
        <v>47.41</v>
      </c>
      <c r="F154" s="808">
        <v>0</v>
      </c>
      <c r="H154" s="828" t="s">
        <v>367</v>
      </c>
      <c r="I154" s="815">
        <v>112</v>
      </c>
      <c r="J154" s="839">
        <v>47.72</v>
      </c>
      <c r="K154" s="839">
        <v>0</v>
      </c>
      <c r="L154" s="839">
        <v>47.72</v>
      </c>
      <c r="M154" s="839">
        <v>0</v>
      </c>
      <c r="P154" s="719">
        <v>481</v>
      </c>
      <c r="Q154" s="719" t="str">
        <f t="shared" si="6"/>
        <v>0481</v>
      </c>
      <c r="R154" s="719">
        <v>254</v>
      </c>
      <c r="S154" s="720">
        <v>0.5</v>
      </c>
      <c r="T154" s="720"/>
      <c r="U154" s="724">
        <v>531</v>
      </c>
      <c r="V154" s="724" t="str">
        <f t="shared" si="7"/>
        <v>0531</v>
      </c>
      <c r="W154" s="724">
        <v>101</v>
      </c>
      <c r="X154" s="720">
        <v>52.08</v>
      </c>
    </row>
    <row r="155" spans="1:24" ht="15" x14ac:dyDescent="0.25">
      <c r="A155" s="807" t="s">
        <v>367</v>
      </c>
      <c r="B155">
        <v>130</v>
      </c>
      <c r="C155" s="808">
        <v>37.900000000000006</v>
      </c>
      <c r="D155" s="809">
        <v>25.21</v>
      </c>
      <c r="E155" s="810">
        <v>12.69</v>
      </c>
      <c r="F155" s="808">
        <v>0</v>
      </c>
      <c r="H155" s="828" t="s">
        <v>367</v>
      </c>
      <c r="I155" s="815">
        <v>130</v>
      </c>
      <c r="J155" s="839">
        <v>36.520000000000003</v>
      </c>
      <c r="K155" s="839">
        <v>23.380000000000003</v>
      </c>
      <c r="L155" s="839">
        <v>13.139999999999999</v>
      </c>
      <c r="M155" s="839">
        <v>0</v>
      </c>
      <c r="P155" s="719">
        <v>531</v>
      </c>
      <c r="Q155" s="719" t="str">
        <f t="shared" si="6"/>
        <v>0531</v>
      </c>
      <c r="R155" s="719">
        <v>101</v>
      </c>
      <c r="S155" s="720">
        <v>52</v>
      </c>
      <c r="T155" s="720"/>
      <c r="U155" s="724">
        <v>531</v>
      </c>
      <c r="V155" s="724" t="str">
        <f t="shared" si="7"/>
        <v>0531</v>
      </c>
      <c r="W155" s="724">
        <v>102</v>
      </c>
      <c r="X155" s="720">
        <v>32.15</v>
      </c>
    </row>
    <row r="156" spans="1:24" ht="15" x14ac:dyDescent="0.25">
      <c r="A156" s="807" t="s">
        <v>673</v>
      </c>
      <c r="B156">
        <v>101</v>
      </c>
      <c r="C156" s="808">
        <v>26.48</v>
      </c>
      <c r="D156" s="809">
        <v>26.48</v>
      </c>
      <c r="E156" s="810">
        <v>0</v>
      </c>
      <c r="F156" s="808">
        <v>0</v>
      </c>
      <c r="H156" s="807" t="s">
        <v>673</v>
      </c>
      <c r="I156" s="815">
        <v>101</v>
      </c>
      <c r="J156" s="839">
        <v>23.92</v>
      </c>
      <c r="K156" s="839">
        <v>23.92</v>
      </c>
      <c r="L156" s="839">
        <v>0</v>
      </c>
      <c r="M156" s="839">
        <v>0</v>
      </c>
      <c r="P156" s="719">
        <v>531</v>
      </c>
      <c r="Q156" s="719" t="str">
        <f t="shared" si="6"/>
        <v>0531</v>
      </c>
      <c r="R156" s="719">
        <v>102</v>
      </c>
      <c r="S156" s="720">
        <v>33.590000000000003</v>
      </c>
      <c r="T156" s="720"/>
      <c r="U156" s="724">
        <v>531</v>
      </c>
      <c r="V156" s="724" t="str">
        <f t="shared" si="7"/>
        <v>0531</v>
      </c>
      <c r="W156" s="724">
        <v>111</v>
      </c>
      <c r="X156" s="720">
        <v>49.03</v>
      </c>
    </row>
    <row r="157" spans="1:24" ht="15" x14ac:dyDescent="0.25">
      <c r="A157" s="807" t="s">
        <v>673</v>
      </c>
      <c r="B157">
        <v>102</v>
      </c>
      <c r="C157" s="808">
        <v>34.290000000000006</v>
      </c>
      <c r="D157" s="809">
        <v>0</v>
      </c>
      <c r="E157" s="810">
        <v>34.290000000000006</v>
      </c>
      <c r="F157" s="808">
        <v>0</v>
      </c>
      <c r="H157" s="807" t="s">
        <v>673</v>
      </c>
      <c r="I157" s="815">
        <v>102</v>
      </c>
      <c r="J157" s="839">
        <v>34.230000000000004</v>
      </c>
      <c r="K157" s="839">
        <v>0</v>
      </c>
      <c r="L157" s="839">
        <v>34.230000000000004</v>
      </c>
      <c r="M157" s="839">
        <v>0</v>
      </c>
      <c r="P157" s="719">
        <v>531</v>
      </c>
      <c r="Q157" s="719" t="str">
        <f t="shared" si="6"/>
        <v>0531</v>
      </c>
      <c r="R157" s="719">
        <v>111</v>
      </c>
      <c r="S157" s="720">
        <v>47.5</v>
      </c>
      <c r="T157" s="720"/>
      <c r="U157" s="724">
        <v>531</v>
      </c>
      <c r="V157" s="724" t="str">
        <f t="shared" si="7"/>
        <v>0531</v>
      </c>
      <c r="W157" s="724">
        <v>112</v>
      </c>
      <c r="X157" s="720">
        <v>26.5</v>
      </c>
    </row>
    <row r="158" spans="1:24" ht="15" x14ac:dyDescent="0.25">
      <c r="A158" s="807" t="s">
        <v>673</v>
      </c>
      <c r="B158">
        <v>111</v>
      </c>
      <c r="C158" s="808">
        <v>1</v>
      </c>
      <c r="D158" s="809">
        <v>1</v>
      </c>
      <c r="E158" s="810">
        <v>0</v>
      </c>
      <c r="F158" s="808">
        <v>0</v>
      </c>
      <c r="H158" s="807" t="s">
        <v>673</v>
      </c>
      <c r="I158" s="815">
        <v>111</v>
      </c>
      <c r="J158" s="839">
        <v>0.96</v>
      </c>
      <c r="K158" s="839">
        <v>0.96</v>
      </c>
      <c r="L158" s="839">
        <v>0</v>
      </c>
      <c r="M158" s="839">
        <v>0</v>
      </c>
      <c r="P158" s="719">
        <v>531</v>
      </c>
      <c r="Q158" s="719" t="str">
        <f t="shared" si="6"/>
        <v>0531</v>
      </c>
      <c r="R158" s="719">
        <v>112</v>
      </c>
      <c r="S158" s="720">
        <v>25.5</v>
      </c>
      <c r="T158" s="720"/>
      <c r="U158" s="724">
        <v>531</v>
      </c>
      <c r="V158" s="724" t="str">
        <f t="shared" si="7"/>
        <v>0531</v>
      </c>
      <c r="W158" s="724">
        <v>130</v>
      </c>
      <c r="X158" s="720">
        <v>70.78</v>
      </c>
    </row>
    <row r="159" spans="1:24" ht="15" x14ac:dyDescent="0.25">
      <c r="A159" s="807" t="s">
        <v>673</v>
      </c>
      <c r="B159">
        <v>112</v>
      </c>
      <c r="C159" s="808">
        <v>4</v>
      </c>
      <c r="D159" s="809">
        <v>0</v>
      </c>
      <c r="E159" s="810">
        <v>4</v>
      </c>
      <c r="F159" s="808">
        <v>0</v>
      </c>
      <c r="H159" s="807" t="s">
        <v>673</v>
      </c>
      <c r="I159" s="815">
        <v>112</v>
      </c>
      <c r="J159" s="839">
        <v>3.87</v>
      </c>
      <c r="K159" s="839">
        <v>0</v>
      </c>
      <c r="L159" s="839">
        <v>3.87</v>
      </c>
      <c r="M159" s="839">
        <v>0</v>
      </c>
      <c r="P159" s="719">
        <v>531</v>
      </c>
      <c r="Q159" s="719" t="str">
        <f t="shared" si="6"/>
        <v>0531</v>
      </c>
      <c r="R159" s="719">
        <v>130</v>
      </c>
      <c r="S159" s="720">
        <v>74.88</v>
      </c>
      <c r="T159" s="720"/>
      <c r="U159" s="724">
        <v>531</v>
      </c>
      <c r="V159" s="724" t="str">
        <f t="shared" si="7"/>
        <v>0531</v>
      </c>
      <c r="W159" s="724">
        <v>254</v>
      </c>
      <c r="X159" s="720">
        <v>2.5</v>
      </c>
    </row>
    <row r="160" spans="1:24" ht="15" x14ac:dyDescent="0.25">
      <c r="A160" s="807" t="s">
        <v>673</v>
      </c>
      <c r="B160">
        <v>130</v>
      </c>
      <c r="C160" s="808">
        <v>57.23</v>
      </c>
      <c r="D160" s="809">
        <v>41.019999999999996</v>
      </c>
      <c r="E160" s="810">
        <v>16.21</v>
      </c>
      <c r="F160" s="808">
        <v>0</v>
      </c>
      <c r="H160" s="807" t="s">
        <v>673</v>
      </c>
      <c r="I160" s="815">
        <v>130</v>
      </c>
      <c r="J160" s="839">
        <v>56.699999999999996</v>
      </c>
      <c r="K160" s="839">
        <v>39.51</v>
      </c>
      <c r="L160" s="839">
        <v>17.190000000000001</v>
      </c>
      <c r="M160" s="839">
        <v>0</v>
      </c>
      <c r="P160" s="719">
        <v>531</v>
      </c>
      <c r="Q160" s="719" t="str">
        <f t="shared" si="6"/>
        <v>0531</v>
      </c>
      <c r="R160" s="719">
        <v>254</v>
      </c>
      <c r="S160" s="720">
        <v>3.5</v>
      </c>
      <c r="T160" s="720"/>
      <c r="U160" s="724">
        <v>541</v>
      </c>
      <c r="V160" s="724" t="str">
        <f t="shared" si="7"/>
        <v>0541</v>
      </c>
      <c r="W160" s="724">
        <v>102</v>
      </c>
      <c r="X160" s="720">
        <v>326.04000000000002</v>
      </c>
    </row>
    <row r="161" spans="1:24" ht="15" x14ac:dyDescent="0.25">
      <c r="A161" s="807" t="s">
        <v>666</v>
      </c>
      <c r="B161">
        <v>101</v>
      </c>
      <c r="C161" s="808">
        <v>51.690000000000005</v>
      </c>
      <c r="D161" s="809">
        <v>51.690000000000005</v>
      </c>
      <c r="E161" s="810">
        <v>0</v>
      </c>
      <c r="F161" s="808">
        <v>0</v>
      </c>
      <c r="H161" s="828" t="s">
        <v>666</v>
      </c>
      <c r="I161" s="815">
        <v>101</v>
      </c>
      <c r="J161" s="839">
        <v>49.23</v>
      </c>
      <c r="K161" s="839">
        <v>49.23</v>
      </c>
      <c r="L161" s="839">
        <v>0</v>
      </c>
      <c r="M161" s="839">
        <v>0</v>
      </c>
      <c r="P161" s="719">
        <v>541</v>
      </c>
      <c r="Q161" s="719" t="str">
        <f t="shared" si="6"/>
        <v>0541</v>
      </c>
      <c r="R161" s="719">
        <v>102</v>
      </c>
      <c r="S161" s="720">
        <v>330.81</v>
      </c>
      <c r="T161" s="720"/>
      <c r="U161" s="724">
        <v>541</v>
      </c>
      <c r="V161" s="724" t="str">
        <f t="shared" si="7"/>
        <v>0541</v>
      </c>
      <c r="W161" s="724">
        <v>112</v>
      </c>
      <c r="X161" s="720">
        <v>136.35</v>
      </c>
    </row>
    <row r="162" spans="1:24" ht="15" x14ac:dyDescent="0.25">
      <c r="A162" s="807" t="s">
        <v>666</v>
      </c>
      <c r="B162">
        <v>102</v>
      </c>
      <c r="C162" s="808">
        <v>89.88</v>
      </c>
      <c r="D162" s="809">
        <v>0</v>
      </c>
      <c r="E162" s="810">
        <v>89.88</v>
      </c>
      <c r="F162" s="808">
        <v>0</v>
      </c>
      <c r="H162" s="828" t="s">
        <v>666</v>
      </c>
      <c r="I162" s="815">
        <v>102</v>
      </c>
      <c r="J162" s="839">
        <v>90.48</v>
      </c>
      <c r="K162" s="839">
        <v>0</v>
      </c>
      <c r="L162" s="839">
        <v>90.48</v>
      </c>
      <c r="M162" s="839">
        <v>0</v>
      </c>
      <c r="P162" s="719">
        <v>541</v>
      </c>
      <c r="Q162" s="719" t="str">
        <f t="shared" si="6"/>
        <v>0541</v>
      </c>
      <c r="R162" s="719">
        <v>112</v>
      </c>
      <c r="S162" s="720">
        <v>133.22</v>
      </c>
      <c r="T162" s="720"/>
      <c r="U162" s="724">
        <v>541</v>
      </c>
      <c r="V162" s="724" t="str">
        <f t="shared" si="7"/>
        <v>0541</v>
      </c>
      <c r="W162" s="724">
        <v>130</v>
      </c>
      <c r="X162" s="720">
        <v>57.26</v>
      </c>
    </row>
    <row r="163" spans="1:24" ht="15" x14ac:dyDescent="0.25">
      <c r="A163" s="807" t="s">
        <v>666</v>
      </c>
      <c r="B163">
        <v>111</v>
      </c>
      <c r="C163" s="808">
        <v>6</v>
      </c>
      <c r="D163" s="809">
        <v>6</v>
      </c>
      <c r="E163" s="810">
        <v>0</v>
      </c>
      <c r="F163" s="808">
        <v>0</v>
      </c>
      <c r="H163" s="828" t="s">
        <v>666</v>
      </c>
      <c r="I163" s="815">
        <v>111</v>
      </c>
      <c r="J163" s="839">
        <v>8.0399999999999991</v>
      </c>
      <c r="K163" s="839">
        <v>8.0399999999999991</v>
      </c>
      <c r="L163" s="839">
        <v>0</v>
      </c>
      <c r="M163" s="839">
        <v>0</v>
      </c>
      <c r="P163" s="719">
        <v>541</v>
      </c>
      <c r="Q163" s="719" t="str">
        <f t="shared" si="6"/>
        <v>0541</v>
      </c>
      <c r="R163" s="719">
        <v>130</v>
      </c>
      <c r="S163" s="720">
        <v>59.13</v>
      </c>
      <c r="T163" s="720"/>
      <c r="U163" s="724">
        <v>541</v>
      </c>
      <c r="V163" s="724" t="str">
        <f t="shared" si="7"/>
        <v>0541</v>
      </c>
      <c r="W163" s="724">
        <v>254</v>
      </c>
      <c r="X163" s="720">
        <v>1.5</v>
      </c>
    </row>
    <row r="164" spans="1:24" ht="15" x14ac:dyDescent="0.25">
      <c r="A164" s="807" t="s">
        <v>666</v>
      </c>
      <c r="B164">
        <v>112</v>
      </c>
      <c r="C164" s="808">
        <v>18.5</v>
      </c>
      <c r="D164" s="809">
        <v>0</v>
      </c>
      <c r="E164" s="810">
        <v>18.5</v>
      </c>
      <c r="F164" s="808">
        <v>0</v>
      </c>
      <c r="H164" s="828" t="s">
        <v>666</v>
      </c>
      <c r="I164" s="815">
        <v>112</v>
      </c>
      <c r="J164" s="839">
        <v>18.07</v>
      </c>
      <c r="K164" s="839">
        <v>0</v>
      </c>
      <c r="L164" s="839">
        <v>18.07</v>
      </c>
      <c r="M164" s="839">
        <v>0</v>
      </c>
      <c r="P164" s="719">
        <v>541</v>
      </c>
      <c r="Q164" s="719" t="str">
        <f t="shared" si="6"/>
        <v>0541</v>
      </c>
      <c r="R164" s="719">
        <v>254</v>
      </c>
      <c r="S164" s="720">
        <v>1.5</v>
      </c>
      <c r="T164" s="720"/>
      <c r="U164" s="724">
        <v>541</v>
      </c>
      <c r="V164" s="724" t="str">
        <f t="shared" si="7"/>
        <v>0541</v>
      </c>
      <c r="W164" s="724">
        <v>255</v>
      </c>
      <c r="X164" s="720">
        <v>1</v>
      </c>
    </row>
    <row r="165" spans="1:24" ht="15" x14ac:dyDescent="0.25">
      <c r="A165" s="807" t="s">
        <v>666</v>
      </c>
      <c r="B165">
        <v>130</v>
      </c>
      <c r="C165" s="808">
        <v>34.130000000000003</v>
      </c>
      <c r="D165" s="809">
        <v>20.270000000000003</v>
      </c>
      <c r="E165" s="810">
        <v>13.86</v>
      </c>
      <c r="F165" s="808">
        <v>0</v>
      </c>
      <c r="H165" s="828" t="s">
        <v>666</v>
      </c>
      <c r="I165" s="815">
        <v>130</v>
      </c>
      <c r="J165" s="839">
        <v>31.93</v>
      </c>
      <c r="K165" s="839">
        <v>19.130000000000003</v>
      </c>
      <c r="L165" s="839">
        <v>12.8</v>
      </c>
      <c r="M165" s="839">
        <v>0</v>
      </c>
      <c r="P165" s="719">
        <v>541</v>
      </c>
      <c r="Q165" s="719" t="str">
        <f t="shared" si="6"/>
        <v>0541</v>
      </c>
      <c r="R165" s="719">
        <v>255</v>
      </c>
      <c r="S165" s="720">
        <v>1</v>
      </c>
      <c r="T165" s="720"/>
      <c r="U165" s="724">
        <v>561</v>
      </c>
      <c r="V165" s="724" t="str">
        <f t="shared" si="7"/>
        <v>0561</v>
      </c>
      <c r="W165" s="724">
        <v>101</v>
      </c>
      <c r="X165" s="720">
        <v>65.760000000000005</v>
      </c>
    </row>
    <row r="166" spans="1:24" ht="15" x14ac:dyDescent="0.25">
      <c r="A166" s="807" t="s">
        <v>385</v>
      </c>
      <c r="B166">
        <v>102</v>
      </c>
      <c r="C166" s="808">
        <v>35.450000000000003</v>
      </c>
      <c r="D166" s="809">
        <v>0</v>
      </c>
      <c r="E166" s="810">
        <v>35.450000000000003</v>
      </c>
      <c r="F166" s="808">
        <v>0</v>
      </c>
      <c r="H166" s="828" t="s">
        <v>385</v>
      </c>
      <c r="I166" s="815">
        <v>102</v>
      </c>
      <c r="J166" s="839">
        <v>35.36</v>
      </c>
      <c r="K166" s="839">
        <v>0</v>
      </c>
      <c r="L166" s="839">
        <v>35.36</v>
      </c>
      <c r="M166" s="839">
        <v>0</v>
      </c>
      <c r="P166" s="719">
        <v>561</v>
      </c>
      <c r="Q166" s="719" t="str">
        <f t="shared" si="6"/>
        <v>0561</v>
      </c>
      <c r="R166" s="719">
        <v>101</v>
      </c>
      <c r="S166" s="720">
        <v>63.5</v>
      </c>
      <c r="T166" s="720"/>
      <c r="U166" s="724">
        <v>561</v>
      </c>
      <c r="V166" s="724" t="str">
        <f t="shared" si="7"/>
        <v>0561</v>
      </c>
      <c r="W166" s="724">
        <v>102</v>
      </c>
      <c r="X166" s="720">
        <v>49.06</v>
      </c>
    </row>
    <row r="167" spans="1:24" ht="15" x14ac:dyDescent="0.25">
      <c r="A167" s="807" t="s">
        <v>385</v>
      </c>
      <c r="B167">
        <v>112</v>
      </c>
      <c r="C167" s="808">
        <v>9.34</v>
      </c>
      <c r="D167" s="809">
        <v>0</v>
      </c>
      <c r="E167" s="810">
        <v>9.34</v>
      </c>
      <c r="F167" s="808">
        <v>0</v>
      </c>
      <c r="H167" s="828" t="s">
        <v>385</v>
      </c>
      <c r="I167" s="815">
        <v>112</v>
      </c>
      <c r="J167" s="839">
        <v>9.57</v>
      </c>
      <c r="K167" s="839">
        <v>0</v>
      </c>
      <c r="L167" s="839">
        <v>9.57</v>
      </c>
      <c r="M167" s="839">
        <v>0</v>
      </c>
      <c r="P167" s="719">
        <v>561</v>
      </c>
      <c r="Q167" s="719" t="str">
        <f t="shared" si="6"/>
        <v>0561</v>
      </c>
      <c r="R167" s="719">
        <v>102</v>
      </c>
      <c r="S167" s="720">
        <v>49.71</v>
      </c>
      <c r="T167" s="720"/>
      <c r="U167" s="724">
        <v>561</v>
      </c>
      <c r="V167" s="724" t="str">
        <f t="shared" si="7"/>
        <v>0561</v>
      </c>
      <c r="W167" s="724">
        <v>111</v>
      </c>
      <c r="X167" s="720">
        <v>34.85</v>
      </c>
    </row>
    <row r="168" spans="1:24" ht="15" x14ac:dyDescent="0.25">
      <c r="A168" s="807" t="s">
        <v>385</v>
      </c>
      <c r="B168">
        <v>130</v>
      </c>
      <c r="C168" s="808">
        <v>2.79</v>
      </c>
      <c r="D168" s="809">
        <v>0</v>
      </c>
      <c r="E168" s="810">
        <v>2.79</v>
      </c>
      <c r="F168" s="808">
        <v>0</v>
      </c>
      <c r="H168" s="828" t="s">
        <v>385</v>
      </c>
      <c r="I168" s="815">
        <v>130</v>
      </c>
      <c r="J168" s="839">
        <v>2.29</v>
      </c>
      <c r="K168" s="839">
        <v>0</v>
      </c>
      <c r="L168" s="839">
        <v>2.29</v>
      </c>
      <c r="M168" s="839">
        <v>0</v>
      </c>
      <c r="P168" s="719">
        <v>561</v>
      </c>
      <c r="Q168" s="719" t="str">
        <f t="shared" si="6"/>
        <v>0561</v>
      </c>
      <c r="R168" s="719">
        <v>111</v>
      </c>
      <c r="S168" s="720">
        <v>23.81</v>
      </c>
      <c r="T168" s="720"/>
      <c r="U168" s="724">
        <v>561</v>
      </c>
      <c r="V168" s="724" t="str">
        <f t="shared" si="7"/>
        <v>0561</v>
      </c>
      <c r="W168" s="724">
        <v>112</v>
      </c>
      <c r="X168" s="720">
        <v>16.5</v>
      </c>
    </row>
    <row r="169" spans="1:24" ht="15" x14ac:dyDescent="0.25">
      <c r="A169" s="807" t="s">
        <v>381</v>
      </c>
      <c r="B169">
        <v>101</v>
      </c>
      <c r="C169" s="808">
        <v>115</v>
      </c>
      <c r="D169" s="809">
        <v>115</v>
      </c>
      <c r="E169" s="810">
        <v>0</v>
      </c>
      <c r="F169" s="808">
        <v>0</v>
      </c>
      <c r="H169" s="828" t="s">
        <v>381</v>
      </c>
      <c r="I169" s="815">
        <v>101</v>
      </c>
      <c r="J169" s="839">
        <v>111.91</v>
      </c>
      <c r="K169" s="839">
        <v>111.91</v>
      </c>
      <c r="L169" s="839">
        <v>0</v>
      </c>
      <c r="M169" s="839">
        <v>0</v>
      </c>
      <c r="P169" s="719">
        <v>561</v>
      </c>
      <c r="Q169" s="719" t="str">
        <f t="shared" si="6"/>
        <v>0561</v>
      </c>
      <c r="R169" s="719">
        <v>112</v>
      </c>
      <c r="S169" s="720">
        <v>15.5</v>
      </c>
      <c r="T169" s="720"/>
      <c r="U169" s="724">
        <v>561</v>
      </c>
      <c r="V169" s="724" t="str">
        <f t="shared" si="7"/>
        <v>0561</v>
      </c>
      <c r="W169" s="724">
        <v>130</v>
      </c>
      <c r="X169" s="720">
        <v>79.099999999999994</v>
      </c>
    </row>
    <row r="170" spans="1:24" ht="15" x14ac:dyDescent="0.25">
      <c r="A170" s="807" t="s">
        <v>381</v>
      </c>
      <c r="B170">
        <v>102</v>
      </c>
      <c r="C170" s="808">
        <v>133.49</v>
      </c>
      <c r="D170" s="809">
        <v>0</v>
      </c>
      <c r="E170" s="810">
        <v>133.49</v>
      </c>
      <c r="F170" s="808">
        <v>0</v>
      </c>
      <c r="H170" s="828" t="s">
        <v>381</v>
      </c>
      <c r="I170" s="815">
        <v>102</v>
      </c>
      <c r="J170" s="839">
        <v>133.57</v>
      </c>
      <c r="K170" s="839">
        <v>0</v>
      </c>
      <c r="L170" s="839">
        <v>133.57</v>
      </c>
      <c r="M170" s="839">
        <v>0</v>
      </c>
      <c r="P170" s="719">
        <v>561</v>
      </c>
      <c r="Q170" s="719" t="str">
        <f t="shared" si="6"/>
        <v>0561</v>
      </c>
      <c r="R170" s="719">
        <v>130</v>
      </c>
      <c r="S170" s="720">
        <v>82.25</v>
      </c>
      <c r="T170" s="720"/>
      <c r="U170" s="724">
        <v>561</v>
      </c>
      <c r="V170" s="724" t="str">
        <f t="shared" si="7"/>
        <v>0561</v>
      </c>
      <c r="W170" s="724">
        <v>254</v>
      </c>
      <c r="X170" s="720">
        <v>2.31</v>
      </c>
    </row>
    <row r="171" spans="1:24" ht="15" x14ac:dyDescent="0.25">
      <c r="A171" s="807" t="s">
        <v>381</v>
      </c>
      <c r="B171">
        <v>111</v>
      </c>
      <c r="C171" s="808">
        <v>11.5</v>
      </c>
      <c r="D171" s="809">
        <v>11.5</v>
      </c>
      <c r="E171" s="810">
        <v>0</v>
      </c>
      <c r="F171" s="808">
        <v>0</v>
      </c>
      <c r="H171" s="828" t="s">
        <v>381</v>
      </c>
      <c r="I171" s="815">
        <v>111</v>
      </c>
      <c r="J171" s="839">
        <v>11.5</v>
      </c>
      <c r="K171" s="839">
        <v>11.5</v>
      </c>
      <c r="L171" s="839">
        <v>0</v>
      </c>
      <c r="M171" s="839">
        <v>0</v>
      </c>
      <c r="P171" s="719">
        <v>561</v>
      </c>
      <c r="Q171" s="719" t="str">
        <f t="shared" si="6"/>
        <v>0561</v>
      </c>
      <c r="R171" s="719">
        <v>254</v>
      </c>
      <c r="S171" s="720">
        <v>2</v>
      </c>
      <c r="T171" s="720"/>
      <c r="U171" s="724">
        <v>561</v>
      </c>
      <c r="V171" s="724" t="str">
        <f t="shared" si="7"/>
        <v>0561</v>
      </c>
      <c r="W171" s="724">
        <v>255</v>
      </c>
      <c r="X171" s="720">
        <v>1.2</v>
      </c>
    </row>
    <row r="172" spans="1:24" ht="15" x14ac:dyDescent="0.25">
      <c r="A172" s="807" t="s">
        <v>381</v>
      </c>
      <c r="B172">
        <v>112</v>
      </c>
      <c r="C172" s="808">
        <v>21.5</v>
      </c>
      <c r="D172" s="809">
        <v>0</v>
      </c>
      <c r="E172" s="810">
        <v>21.5</v>
      </c>
      <c r="F172" s="808">
        <v>0</v>
      </c>
      <c r="H172" s="828" t="s">
        <v>381</v>
      </c>
      <c r="I172" s="815">
        <v>112</v>
      </c>
      <c r="J172" s="839">
        <v>21</v>
      </c>
      <c r="K172" s="839">
        <v>0</v>
      </c>
      <c r="L172" s="839">
        <v>21</v>
      </c>
      <c r="M172" s="839">
        <v>0</v>
      </c>
      <c r="P172" s="719">
        <v>561</v>
      </c>
      <c r="Q172" s="719" t="str">
        <f t="shared" si="6"/>
        <v>0561</v>
      </c>
      <c r="R172" s="719">
        <v>255</v>
      </c>
      <c r="S172" s="720">
        <v>0.5</v>
      </c>
      <c r="T172" s="720"/>
      <c r="U172" s="724">
        <v>571</v>
      </c>
      <c r="V172" s="724" t="str">
        <f t="shared" si="7"/>
        <v>0571</v>
      </c>
      <c r="W172" s="724">
        <v>102</v>
      </c>
      <c r="X172" s="720">
        <v>2.56</v>
      </c>
    </row>
    <row r="173" spans="1:24" ht="15" x14ac:dyDescent="0.25">
      <c r="A173" s="807" t="s">
        <v>381</v>
      </c>
      <c r="B173">
        <v>130</v>
      </c>
      <c r="C173" s="808">
        <v>37.409999999999997</v>
      </c>
      <c r="D173" s="809">
        <v>15.5</v>
      </c>
      <c r="E173" s="810">
        <v>21.91</v>
      </c>
      <c r="F173" s="808">
        <v>0</v>
      </c>
      <c r="H173" s="828" t="s">
        <v>381</v>
      </c>
      <c r="I173" s="815">
        <v>130</v>
      </c>
      <c r="J173" s="839">
        <v>36.739999999999995</v>
      </c>
      <c r="K173" s="839">
        <v>17.579999999999998</v>
      </c>
      <c r="L173" s="839">
        <v>19.16</v>
      </c>
      <c r="M173" s="839">
        <v>0</v>
      </c>
      <c r="P173" s="719">
        <v>571</v>
      </c>
      <c r="Q173" s="719" t="str">
        <f t="shared" si="6"/>
        <v>0571</v>
      </c>
      <c r="R173" s="719">
        <v>102</v>
      </c>
      <c r="S173" s="720">
        <v>2.85</v>
      </c>
      <c r="T173" s="720"/>
      <c r="U173" s="724">
        <v>571</v>
      </c>
      <c r="V173" s="724" t="str">
        <f t="shared" si="7"/>
        <v>0571</v>
      </c>
      <c r="W173" s="724">
        <v>103</v>
      </c>
      <c r="X173" s="720">
        <v>54.84</v>
      </c>
    </row>
    <row r="174" spans="1:24" ht="15" x14ac:dyDescent="0.25">
      <c r="A174" s="807" t="s">
        <v>378</v>
      </c>
      <c r="B174">
        <v>101</v>
      </c>
      <c r="C174" s="808">
        <v>110.48</v>
      </c>
      <c r="D174" s="809">
        <v>110.48</v>
      </c>
      <c r="E174" s="810">
        <v>0</v>
      </c>
      <c r="F174" s="808">
        <v>0</v>
      </c>
      <c r="H174" s="828" t="s">
        <v>378</v>
      </c>
      <c r="I174" s="815">
        <v>101</v>
      </c>
      <c r="J174" s="839">
        <v>105.96000000000001</v>
      </c>
      <c r="K174" s="839">
        <v>105.96000000000001</v>
      </c>
      <c r="L174" s="839">
        <v>0</v>
      </c>
      <c r="M174" s="839">
        <v>0</v>
      </c>
      <c r="P174" s="719">
        <v>571</v>
      </c>
      <c r="Q174" s="719" t="str">
        <f t="shared" si="6"/>
        <v>0571</v>
      </c>
      <c r="R174" s="719">
        <v>103</v>
      </c>
      <c r="S174" s="720">
        <v>27.28</v>
      </c>
      <c r="T174" s="720"/>
      <c r="U174" s="724">
        <v>571</v>
      </c>
      <c r="V174" s="724" t="str">
        <f t="shared" si="7"/>
        <v>0571</v>
      </c>
      <c r="W174" s="724">
        <v>112</v>
      </c>
      <c r="X174" s="720">
        <v>0.48</v>
      </c>
    </row>
    <row r="175" spans="1:24" ht="15" x14ac:dyDescent="0.25">
      <c r="A175" s="807" t="s">
        <v>378</v>
      </c>
      <c r="B175">
        <v>102</v>
      </c>
      <c r="C175" s="808">
        <v>122.06</v>
      </c>
      <c r="D175" s="809">
        <v>0</v>
      </c>
      <c r="E175" s="810">
        <v>122.06</v>
      </c>
      <c r="F175" s="808">
        <v>0</v>
      </c>
      <c r="H175" s="828" t="s">
        <v>378</v>
      </c>
      <c r="I175" s="815">
        <v>102</v>
      </c>
      <c r="J175" s="839">
        <v>118</v>
      </c>
      <c r="K175" s="839">
        <v>0</v>
      </c>
      <c r="L175" s="839">
        <v>118</v>
      </c>
      <c r="M175" s="839">
        <v>0</v>
      </c>
      <c r="P175" s="719">
        <v>571</v>
      </c>
      <c r="Q175" s="719" t="str">
        <f t="shared" si="6"/>
        <v>0571</v>
      </c>
      <c r="R175" s="719">
        <v>112</v>
      </c>
      <c r="S175" s="720">
        <v>0.46</v>
      </c>
      <c r="T175" s="720"/>
      <c r="U175" s="724">
        <v>571</v>
      </c>
      <c r="V175" s="724" t="str">
        <f t="shared" si="7"/>
        <v>0571</v>
      </c>
      <c r="W175" s="724">
        <v>113</v>
      </c>
      <c r="X175" s="720">
        <v>20.6</v>
      </c>
    </row>
    <row r="176" spans="1:24" ht="15" x14ac:dyDescent="0.25">
      <c r="A176" s="807" t="s">
        <v>378</v>
      </c>
      <c r="B176">
        <v>111</v>
      </c>
      <c r="C176" s="808">
        <v>13.5</v>
      </c>
      <c r="D176" s="809">
        <v>13.5</v>
      </c>
      <c r="E176" s="810">
        <v>0</v>
      </c>
      <c r="F176" s="808">
        <v>0</v>
      </c>
      <c r="H176" s="828" t="s">
        <v>378</v>
      </c>
      <c r="I176" s="815">
        <v>111</v>
      </c>
      <c r="J176" s="839">
        <v>14.5</v>
      </c>
      <c r="K176" s="839">
        <v>14.5</v>
      </c>
      <c r="L176" s="839">
        <v>0</v>
      </c>
      <c r="M176" s="839">
        <v>0</v>
      </c>
      <c r="P176" s="719">
        <v>571</v>
      </c>
      <c r="Q176" s="719" t="str">
        <f t="shared" si="6"/>
        <v>0571</v>
      </c>
      <c r="R176" s="719">
        <v>113</v>
      </c>
      <c r="S176" s="720">
        <v>9.43</v>
      </c>
      <c r="T176" s="720"/>
      <c r="U176" s="724">
        <v>571</v>
      </c>
      <c r="V176" s="724" t="str">
        <f t="shared" si="7"/>
        <v>0571</v>
      </c>
      <c r="W176" s="724">
        <v>130</v>
      </c>
      <c r="X176" s="720">
        <v>5.25</v>
      </c>
    </row>
    <row r="177" spans="1:24" ht="15" x14ac:dyDescent="0.25">
      <c r="A177" s="807" t="s">
        <v>378</v>
      </c>
      <c r="B177">
        <v>112</v>
      </c>
      <c r="C177" s="808">
        <v>19.5</v>
      </c>
      <c r="D177" s="809">
        <v>0</v>
      </c>
      <c r="E177" s="810">
        <v>19.5</v>
      </c>
      <c r="F177" s="808">
        <v>0</v>
      </c>
      <c r="H177" s="828" t="s">
        <v>378</v>
      </c>
      <c r="I177" s="815">
        <v>112</v>
      </c>
      <c r="J177" s="839">
        <v>17</v>
      </c>
      <c r="K177" s="839">
        <v>0</v>
      </c>
      <c r="L177" s="839">
        <v>17</v>
      </c>
      <c r="M177" s="839">
        <v>0</v>
      </c>
      <c r="P177" s="719">
        <v>571</v>
      </c>
      <c r="Q177" s="719" t="str">
        <f t="shared" si="6"/>
        <v>0571</v>
      </c>
      <c r="R177" s="719">
        <v>130</v>
      </c>
      <c r="S177" s="720">
        <v>1.49</v>
      </c>
      <c r="T177" s="720"/>
      <c r="U177" s="724">
        <v>571</v>
      </c>
      <c r="V177" s="724" t="str">
        <f t="shared" si="7"/>
        <v>0571</v>
      </c>
      <c r="W177" s="724">
        <v>300</v>
      </c>
      <c r="X177" s="720">
        <v>0.76</v>
      </c>
    </row>
    <row r="178" spans="1:24" ht="15" x14ac:dyDescent="0.25">
      <c r="A178" s="807" t="s">
        <v>378</v>
      </c>
      <c r="B178">
        <v>130</v>
      </c>
      <c r="C178" s="808">
        <v>48.959999999999994</v>
      </c>
      <c r="D178" s="809">
        <v>28.02</v>
      </c>
      <c r="E178" s="810">
        <v>20.94</v>
      </c>
      <c r="F178" s="808">
        <v>0</v>
      </c>
      <c r="H178" s="828" t="s">
        <v>378</v>
      </c>
      <c r="I178" s="815">
        <v>130</v>
      </c>
      <c r="J178" s="839">
        <v>52.03</v>
      </c>
      <c r="K178" s="839">
        <v>29.58</v>
      </c>
      <c r="L178" s="839">
        <v>22.45</v>
      </c>
      <c r="M178" s="839">
        <v>0</v>
      </c>
      <c r="P178" s="719">
        <v>571</v>
      </c>
      <c r="Q178" s="719" t="str">
        <f t="shared" si="6"/>
        <v>0571</v>
      </c>
      <c r="R178" s="719">
        <v>300</v>
      </c>
      <c r="S178" s="720">
        <v>0</v>
      </c>
      <c r="T178" s="720"/>
      <c r="U178" s="724">
        <v>572</v>
      </c>
      <c r="V178" s="724" t="str">
        <f t="shared" si="7"/>
        <v>0572</v>
      </c>
      <c r="W178" s="724">
        <v>101</v>
      </c>
      <c r="X178" s="720">
        <v>93.83</v>
      </c>
    </row>
    <row r="179" spans="1:24" ht="15" x14ac:dyDescent="0.25">
      <c r="A179" s="807" t="s">
        <v>368</v>
      </c>
      <c r="B179">
        <v>101</v>
      </c>
      <c r="C179" s="808">
        <v>164.78</v>
      </c>
      <c r="D179" s="809">
        <v>164.78</v>
      </c>
      <c r="E179" s="810">
        <v>0</v>
      </c>
      <c r="F179" s="808">
        <v>0</v>
      </c>
      <c r="H179" s="828" t="s">
        <v>368</v>
      </c>
      <c r="I179" s="815">
        <v>101</v>
      </c>
      <c r="J179" s="839">
        <v>159.96</v>
      </c>
      <c r="K179" s="839">
        <v>159.96</v>
      </c>
      <c r="L179" s="839">
        <v>0</v>
      </c>
      <c r="M179" s="839">
        <v>0</v>
      </c>
      <c r="P179" s="719">
        <v>572</v>
      </c>
      <c r="Q179" s="719" t="str">
        <f t="shared" si="6"/>
        <v>0572</v>
      </c>
      <c r="R179" s="719">
        <v>101</v>
      </c>
      <c r="S179" s="720">
        <v>97.81</v>
      </c>
      <c r="T179" s="720"/>
      <c r="U179" s="724">
        <v>572</v>
      </c>
      <c r="V179" s="724" t="str">
        <f t="shared" si="7"/>
        <v>0572</v>
      </c>
      <c r="W179" s="724">
        <v>102</v>
      </c>
      <c r="X179" s="720">
        <v>29.86</v>
      </c>
    </row>
    <row r="180" spans="1:24" ht="15" x14ac:dyDescent="0.25">
      <c r="A180" s="807" t="s">
        <v>368</v>
      </c>
      <c r="B180">
        <v>102</v>
      </c>
      <c r="C180" s="808">
        <v>235.26999999999998</v>
      </c>
      <c r="D180" s="809">
        <v>0</v>
      </c>
      <c r="E180" s="810">
        <v>235.26999999999998</v>
      </c>
      <c r="F180" s="808">
        <v>0</v>
      </c>
      <c r="H180" s="828" t="s">
        <v>368</v>
      </c>
      <c r="I180" s="815">
        <v>102</v>
      </c>
      <c r="J180" s="839">
        <v>232.17000000000002</v>
      </c>
      <c r="K180" s="839">
        <v>0</v>
      </c>
      <c r="L180" s="839">
        <v>232.17000000000002</v>
      </c>
      <c r="M180" s="839">
        <v>0</v>
      </c>
      <c r="P180" s="719">
        <v>572</v>
      </c>
      <c r="Q180" s="719" t="str">
        <f t="shared" si="6"/>
        <v>0572</v>
      </c>
      <c r="R180" s="719">
        <v>102</v>
      </c>
      <c r="S180" s="720">
        <v>30.04</v>
      </c>
      <c r="T180" s="720"/>
      <c r="U180" s="724">
        <v>572</v>
      </c>
      <c r="V180" s="724" t="str">
        <f t="shared" si="7"/>
        <v>0572</v>
      </c>
      <c r="W180" s="724">
        <v>111</v>
      </c>
      <c r="X180" s="720">
        <v>54.84</v>
      </c>
    </row>
    <row r="181" spans="1:24" ht="15" x14ac:dyDescent="0.25">
      <c r="A181" s="807" t="s">
        <v>368</v>
      </c>
      <c r="B181">
        <v>111</v>
      </c>
      <c r="C181" s="808">
        <v>14.5</v>
      </c>
      <c r="D181" s="809">
        <v>14.5</v>
      </c>
      <c r="E181" s="810">
        <v>0</v>
      </c>
      <c r="F181" s="808">
        <v>0</v>
      </c>
      <c r="H181" s="828" t="s">
        <v>368</v>
      </c>
      <c r="I181" s="815">
        <v>111</v>
      </c>
      <c r="J181" s="839">
        <v>15.5</v>
      </c>
      <c r="K181" s="839">
        <v>15.5</v>
      </c>
      <c r="L181" s="839">
        <v>0</v>
      </c>
      <c r="M181" s="839">
        <v>0</v>
      </c>
      <c r="P181" s="719">
        <v>572</v>
      </c>
      <c r="Q181" s="719" t="str">
        <f t="shared" si="6"/>
        <v>0572</v>
      </c>
      <c r="R181" s="719">
        <v>111</v>
      </c>
      <c r="S181" s="720">
        <v>47.19</v>
      </c>
      <c r="T181" s="720"/>
      <c r="U181" s="724">
        <v>572</v>
      </c>
      <c r="V181" s="724" t="str">
        <f t="shared" si="7"/>
        <v>0572</v>
      </c>
      <c r="W181" s="724">
        <v>112</v>
      </c>
      <c r="X181" s="720">
        <v>35.5</v>
      </c>
    </row>
    <row r="182" spans="1:24" ht="15" x14ac:dyDescent="0.25">
      <c r="A182" s="807" t="s">
        <v>368</v>
      </c>
      <c r="B182">
        <v>112</v>
      </c>
      <c r="C182" s="808">
        <v>25</v>
      </c>
      <c r="D182" s="809">
        <v>0</v>
      </c>
      <c r="E182" s="810">
        <v>25</v>
      </c>
      <c r="F182" s="808">
        <v>0</v>
      </c>
      <c r="H182" s="828" t="s">
        <v>368</v>
      </c>
      <c r="I182" s="815">
        <v>112</v>
      </c>
      <c r="J182" s="839">
        <v>20.5</v>
      </c>
      <c r="K182" s="839">
        <v>0</v>
      </c>
      <c r="L182" s="839">
        <v>20.5</v>
      </c>
      <c r="M182" s="839">
        <v>0</v>
      </c>
      <c r="P182" s="719">
        <v>572</v>
      </c>
      <c r="Q182" s="719" t="str">
        <f t="shared" si="6"/>
        <v>0572</v>
      </c>
      <c r="R182" s="719">
        <v>112</v>
      </c>
      <c r="S182" s="720">
        <v>34.479999999999997</v>
      </c>
      <c r="T182" s="720"/>
      <c r="U182" s="724">
        <v>572</v>
      </c>
      <c r="V182" s="724" t="str">
        <f t="shared" si="7"/>
        <v>0572</v>
      </c>
      <c r="W182" s="724">
        <v>130</v>
      </c>
      <c r="X182" s="720">
        <v>45.28</v>
      </c>
    </row>
    <row r="183" spans="1:24" ht="15" x14ac:dyDescent="0.25">
      <c r="A183" s="807" t="s">
        <v>368</v>
      </c>
      <c r="B183">
        <v>130</v>
      </c>
      <c r="C183" s="808">
        <v>30.159999999999997</v>
      </c>
      <c r="D183" s="809">
        <v>17.72</v>
      </c>
      <c r="E183" s="810">
        <v>12.44</v>
      </c>
      <c r="F183" s="808">
        <v>0</v>
      </c>
      <c r="H183" s="828" t="s">
        <v>368</v>
      </c>
      <c r="I183" s="815">
        <v>130</v>
      </c>
      <c r="J183" s="839">
        <v>27.69</v>
      </c>
      <c r="K183" s="839">
        <v>16.52</v>
      </c>
      <c r="L183" s="839">
        <v>11.169999999999998</v>
      </c>
      <c r="M183" s="839">
        <v>0</v>
      </c>
      <c r="P183" s="719">
        <v>572</v>
      </c>
      <c r="Q183" s="719" t="str">
        <f t="shared" si="6"/>
        <v>0572</v>
      </c>
      <c r="R183" s="719">
        <v>130</v>
      </c>
      <c r="S183" s="720">
        <v>46.11</v>
      </c>
      <c r="T183" s="720"/>
      <c r="U183" s="724">
        <v>572</v>
      </c>
      <c r="V183" s="724" t="str">
        <f t="shared" si="7"/>
        <v>0572</v>
      </c>
      <c r="W183" s="724">
        <v>254</v>
      </c>
      <c r="X183" s="720">
        <v>0.5</v>
      </c>
    </row>
    <row r="184" spans="1:24" ht="15" x14ac:dyDescent="0.25">
      <c r="A184" s="807" t="s">
        <v>366</v>
      </c>
      <c r="B184">
        <v>103</v>
      </c>
      <c r="C184" s="808">
        <v>44.61</v>
      </c>
      <c r="D184" s="809">
        <v>0</v>
      </c>
      <c r="E184" s="810">
        <v>0</v>
      </c>
      <c r="F184" s="808">
        <v>44.61</v>
      </c>
      <c r="H184" s="828" t="s">
        <v>366</v>
      </c>
      <c r="I184" s="815">
        <v>103</v>
      </c>
      <c r="J184" s="839">
        <v>46.680000000000007</v>
      </c>
      <c r="K184" s="839">
        <v>0</v>
      </c>
      <c r="L184" s="839">
        <v>0</v>
      </c>
      <c r="M184" s="839">
        <v>46.680000000000007</v>
      </c>
      <c r="P184" s="719">
        <v>572</v>
      </c>
      <c r="Q184" s="719" t="str">
        <f t="shared" si="6"/>
        <v>0572</v>
      </c>
      <c r="R184" s="719">
        <v>254</v>
      </c>
      <c r="S184" s="720">
        <v>0</v>
      </c>
      <c r="T184" s="720"/>
      <c r="U184" s="724">
        <v>581</v>
      </c>
      <c r="V184" s="724" t="str">
        <f t="shared" si="7"/>
        <v>0581</v>
      </c>
      <c r="W184" s="724">
        <v>103</v>
      </c>
      <c r="X184" s="720">
        <v>558.64</v>
      </c>
    </row>
    <row r="185" spans="1:24" ht="15" x14ac:dyDescent="0.25">
      <c r="A185" s="807" t="s">
        <v>366</v>
      </c>
      <c r="B185">
        <v>113</v>
      </c>
      <c r="C185" s="808">
        <v>10.5</v>
      </c>
      <c r="D185" s="809">
        <v>0</v>
      </c>
      <c r="E185" s="810">
        <v>0</v>
      </c>
      <c r="F185" s="808">
        <v>10.5</v>
      </c>
      <c r="H185" s="828" t="s">
        <v>366</v>
      </c>
      <c r="I185" s="815">
        <v>113</v>
      </c>
      <c r="J185" s="839">
        <v>10.96</v>
      </c>
      <c r="K185" s="839">
        <v>0</v>
      </c>
      <c r="L185" s="839">
        <v>0</v>
      </c>
      <c r="M185" s="839">
        <v>10.96</v>
      </c>
      <c r="P185" s="719">
        <v>581</v>
      </c>
      <c r="Q185" s="719" t="str">
        <f t="shared" si="6"/>
        <v>0581</v>
      </c>
      <c r="R185" s="719">
        <v>103</v>
      </c>
      <c r="S185" s="720">
        <v>570.14</v>
      </c>
      <c r="T185" s="720"/>
      <c r="U185" s="724">
        <v>581</v>
      </c>
      <c r="V185" s="724" t="str">
        <f t="shared" si="7"/>
        <v>0581</v>
      </c>
      <c r="W185" s="724">
        <v>113</v>
      </c>
      <c r="X185" s="720">
        <v>137.06</v>
      </c>
    </row>
    <row r="186" spans="1:24" ht="15" x14ac:dyDescent="0.25">
      <c r="A186" s="807" t="s">
        <v>366</v>
      </c>
      <c r="B186">
        <v>130</v>
      </c>
      <c r="C186" s="808">
        <v>4.72</v>
      </c>
      <c r="D186" s="809">
        <v>0</v>
      </c>
      <c r="E186" s="810">
        <v>0</v>
      </c>
      <c r="F186" s="808">
        <v>4.72</v>
      </c>
      <c r="H186" s="828" t="s">
        <v>366</v>
      </c>
      <c r="I186" s="815">
        <v>130</v>
      </c>
      <c r="J186" s="839">
        <v>5.68</v>
      </c>
      <c r="K186" s="839">
        <v>0</v>
      </c>
      <c r="L186" s="839">
        <v>0</v>
      </c>
      <c r="M186" s="839">
        <v>5.68</v>
      </c>
      <c r="P186" s="719">
        <v>581</v>
      </c>
      <c r="Q186" s="719" t="str">
        <f t="shared" si="6"/>
        <v>0581</v>
      </c>
      <c r="R186" s="719">
        <v>113</v>
      </c>
      <c r="S186" s="720">
        <v>145.93</v>
      </c>
      <c r="T186" s="720"/>
      <c r="U186" s="724">
        <v>581</v>
      </c>
      <c r="V186" s="724" t="str">
        <f t="shared" si="7"/>
        <v>0581</v>
      </c>
      <c r="W186" s="724">
        <v>130</v>
      </c>
      <c r="X186" s="720">
        <v>84.4</v>
      </c>
    </row>
    <row r="187" spans="1:24" ht="15" x14ac:dyDescent="0.25">
      <c r="A187" s="807" t="s">
        <v>667</v>
      </c>
      <c r="B187">
        <v>102</v>
      </c>
      <c r="C187" s="808">
        <v>127.51999999999998</v>
      </c>
      <c r="D187" s="809">
        <v>0</v>
      </c>
      <c r="E187" s="810">
        <v>127.51999999999998</v>
      </c>
      <c r="F187" s="808">
        <v>0</v>
      </c>
      <c r="H187" s="828" t="s">
        <v>667</v>
      </c>
      <c r="I187" s="815">
        <v>102</v>
      </c>
      <c r="J187" s="839">
        <v>126.45999999999998</v>
      </c>
      <c r="K187" s="839">
        <v>0</v>
      </c>
      <c r="L187" s="839">
        <v>126.45999999999998</v>
      </c>
      <c r="M187" s="839">
        <v>0</v>
      </c>
      <c r="P187" s="719">
        <v>581</v>
      </c>
      <c r="Q187" s="719" t="str">
        <f t="shared" si="6"/>
        <v>0581</v>
      </c>
      <c r="R187" s="719">
        <v>130</v>
      </c>
      <c r="S187" s="720">
        <v>98.79</v>
      </c>
      <c r="T187" s="720"/>
      <c r="U187" s="724">
        <v>581</v>
      </c>
      <c r="V187" s="724" t="str">
        <f t="shared" si="7"/>
        <v>0581</v>
      </c>
      <c r="W187" s="724">
        <v>254</v>
      </c>
      <c r="X187" s="720">
        <v>1</v>
      </c>
    </row>
    <row r="188" spans="1:24" ht="15" x14ac:dyDescent="0.25">
      <c r="A188" s="807" t="s">
        <v>667</v>
      </c>
      <c r="B188">
        <v>112</v>
      </c>
      <c r="C188" s="808">
        <v>20</v>
      </c>
      <c r="D188" s="809">
        <v>0</v>
      </c>
      <c r="E188" s="810">
        <v>20</v>
      </c>
      <c r="F188" s="808">
        <v>0</v>
      </c>
      <c r="H188" s="828" t="s">
        <v>667</v>
      </c>
      <c r="I188" s="815">
        <v>112</v>
      </c>
      <c r="J188" s="839">
        <v>22.91</v>
      </c>
      <c r="K188" s="839">
        <v>0</v>
      </c>
      <c r="L188" s="839">
        <v>22.91</v>
      </c>
      <c r="M188" s="839">
        <v>0</v>
      </c>
      <c r="P188" s="719">
        <v>581</v>
      </c>
      <c r="Q188" s="719" t="str">
        <f t="shared" si="6"/>
        <v>0581</v>
      </c>
      <c r="R188" s="719">
        <v>254</v>
      </c>
      <c r="S188" s="720">
        <v>0.5</v>
      </c>
      <c r="T188" s="720"/>
      <c r="U188" s="724">
        <v>581</v>
      </c>
      <c r="V188" s="724" t="str">
        <f t="shared" si="7"/>
        <v>0581</v>
      </c>
      <c r="W188" s="724">
        <v>255</v>
      </c>
      <c r="X188" s="720">
        <v>1</v>
      </c>
    </row>
    <row r="189" spans="1:24" ht="15" x14ac:dyDescent="0.25">
      <c r="A189" s="807" t="s">
        <v>667</v>
      </c>
      <c r="B189">
        <v>130</v>
      </c>
      <c r="C189" s="808">
        <v>8.33</v>
      </c>
      <c r="D189" s="809">
        <v>0</v>
      </c>
      <c r="E189" s="810">
        <v>8.33</v>
      </c>
      <c r="F189" s="808">
        <v>0</v>
      </c>
      <c r="H189" s="828" t="s">
        <v>667</v>
      </c>
      <c r="I189" s="815">
        <v>130</v>
      </c>
      <c r="J189" s="839">
        <v>18.350000000000001</v>
      </c>
      <c r="K189" s="839">
        <v>0</v>
      </c>
      <c r="L189" s="839">
        <v>18.350000000000001</v>
      </c>
      <c r="M189" s="839">
        <v>0</v>
      </c>
      <c r="P189" s="719">
        <v>581</v>
      </c>
      <c r="Q189" s="719" t="str">
        <f t="shared" si="6"/>
        <v>0581</v>
      </c>
      <c r="R189" s="719">
        <v>255</v>
      </c>
      <c r="S189" s="720">
        <v>1</v>
      </c>
      <c r="T189" s="720"/>
      <c r="U189" s="724">
        <v>581</v>
      </c>
      <c r="V189" s="724" t="str">
        <f t="shared" si="7"/>
        <v>0581</v>
      </c>
      <c r="W189" s="724">
        <v>300</v>
      </c>
      <c r="X189" s="720">
        <v>55.6</v>
      </c>
    </row>
    <row r="190" spans="1:24" ht="15" x14ac:dyDescent="0.25">
      <c r="A190" s="807" t="s">
        <v>668</v>
      </c>
      <c r="B190">
        <v>101</v>
      </c>
      <c r="C190" s="808">
        <v>80.649999999999991</v>
      </c>
      <c r="D190" s="809">
        <v>80.649999999999991</v>
      </c>
      <c r="E190" s="810">
        <v>0</v>
      </c>
      <c r="F190" s="808">
        <v>0</v>
      </c>
      <c r="H190" s="828" t="s">
        <v>668</v>
      </c>
      <c r="I190" s="815">
        <v>101</v>
      </c>
      <c r="J190" s="839">
        <v>76.97</v>
      </c>
      <c r="K190" s="839">
        <v>76.97</v>
      </c>
      <c r="L190" s="839">
        <v>0</v>
      </c>
      <c r="M190" s="839">
        <v>0</v>
      </c>
      <c r="P190" s="719">
        <v>581</v>
      </c>
      <c r="Q190" s="719" t="str">
        <f t="shared" si="6"/>
        <v>0581</v>
      </c>
      <c r="R190" s="719">
        <v>300</v>
      </c>
      <c r="S190" s="720">
        <v>59.71</v>
      </c>
      <c r="T190" s="720"/>
      <c r="U190" s="724">
        <v>591</v>
      </c>
      <c r="V190" s="724" t="str">
        <f t="shared" si="7"/>
        <v>0591</v>
      </c>
      <c r="W190" s="724">
        <v>101</v>
      </c>
      <c r="X190" s="720">
        <v>105.61</v>
      </c>
    </row>
    <row r="191" spans="1:24" ht="15" x14ac:dyDescent="0.25">
      <c r="A191" s="807" t="s">
        <v>668</v>
      </c>
      <c r="B191">
        <v>102</v>
      </c>
      <c r="C191" s="808">
        <v>41.06</v>
      </c>
      <c r="D191" s="809">
        <v>0</v>
      </c>
      <c r="E191" s="810">
        <v>41.06</v>
      </c>
      <c r="F191" s="808">
        <v>0</v>
      </c>
      <c r="H191" s="828" t="s">
        <v>668</v>
      </c>
      <c r="I191" s="815">
        <v>102</v>
      </c>
      <c r="J191" s="839">
        <v>41.86</v>
      </c>
      <c r="K191" s="839">
        <v>0</v>
      </c>
      <c r="L191" s="839">
        <v>41.86</v>
      </c>
      <c r="M191" s="839">
        <v>0</v>
      </c>
      <c r="P191" s="719">
        <v>591</v>
      </c>
      <c r="Q191" s="719" t="str">
        <f t="shared" si="6"/>
        <v>0591</v>
      </c>
      <c r="R191" s="719">
        <v>101</v>
      </c>
      <c r="S191" s="720">
        <v>106</v>
      </c>
      <c r="T191" s="720"/>
      <c r="U191" s="724">
        <v>591</v>
      </c>
      <c r="V191" s="724" t="str">
        <f t="shared" si="7"/>
        <v>0591</v>
      </c>
      <c r="W191" s="724">
        <v>102</v>
      </c>
      <c r="X191" s="720">
        <v>75.569999999999993</v>
      </c>
    </row>
    <row r="192" spans="1:24" ht="15" x14ac:dyDescent="0.25">
      <c r="A192" s="807" t="s">
        <v>668</v>
      </c>
      <c r="B192">
        <v>111</v>
      </c>
      <c r="C192" s="808">
        <v>13</v>
      </c>
      <c r="D192" s="809">
        <v>13</v>
      </c>
      <c r="E192" s="810">
        <v>0</v>
      </c>
      <c r="F192" s="808">
        <v>0</v>
      </c>
      <c r="H192" s="828" t="s">
        <v>668</v>
      </c>
      <c r="I192" s="815">
        <v>111</v>
      </c>
      <c r="J192" s="839">
        <v>14</v>
      </c>
      <c r="K192" s="839">
        <v>14</v>
      </c>
      <c r="L192" s="839">
        <v>0</v>
      </c>
      <c r="M192" s="839">
        <v>0</v>
      </c>
      <c r="P192" s="719">
        <v>591</v>
      </c>
      <c r="Q192" s="719" t="str">
        <f t="shared" si="6"/>
        <v>0591</v>
      </c>
      <c r="R192" s="719">
        <v>102</v>
      </c>
      <c r="S192" s="720">
        <v>75.03</v>
      </c>
      <c r="T192" s="720"/>
      <c r="U192" s="724">
        <v>591</v>
      </c>
      <c r="V192" s="724" t="str">
        <f t="shared" si="7"/>
        <v>0591</v>
      </c>
      <c r="W192" s="724">
        <v>111</v>
      </c>
      <c r="X192" s="720">
        <v>61.88</v>
      </c>
    </row>
    <row r="193" spans="1:24" ht="15" x14ac:dyDescent="0.25">
      <c r="A193" s="807" t="s">
        <v>668</v>
      </c>
      <c r="B193">
        <v>112</v>
      </c>
      <c r="C193" s="808">
        <v>7</v>
      </c>
      <c r="D193" s="809">
        <v>0</v>
      </c>
      <c r="E193" s="810">
        <v>7</v>
      </c>
      <c r="F193" s="808">
        <v>0</v>
      </c>
      <c r="H193" s="828" t="s">
        <v>668</v>
      </c>
      <c r="I193" s="815">
        <v>112</v>
      </c>
      <c r="J193" s="839">
        <v>9</v>
      </c>
      <c r="K193" s="839">
        <v>0</v>
      </c>
      <c r="L193" s="839">
        <v>9</v>
      </c>
      <c r="M193" s="839">
        <v>0</v>
      </c>
      <c r="P193" s="719">
        <v>591</v>
      </c>
      <c r="Q193" s="719" t="str">
        <f t="shared" si="6"/>
        <v>0591</v>
      </c>
      <c r="R193" s="719">
        <v>111</v>
      </c>
      <c r="S193" s="720">
        <v>55.7</v>
      </c>
      <c r="T193" s="720"/>
      <c r="U193" s="724">
        <v>591</v>
      </c>
      <c r="V193" s="724" t="str">
        <f t="shared" si="7"/>
        <v>0591</v>
      </c>
      <c r="W193" s="724">
        <v>112</v>
      </c>
      <c r="X193" s="720">
        <v>21.5</v>
      </c>
    </row>
    <row r="194" spans="1:24" ht="15" x14ac:dyDescent="0.25">
      <c r="A194" s="807" t="s">
        <v>668</v>
      </c>
      <c r="B194">
        <v>130</v>
      </c>
      <c r="C194" s="808">
        <v>53.790000000000006</v>
      </c>
      <c r="D194" s="809">
        <v>41.350000000000009</v>
      </c>
      <c r="E194" s="810">
        <v>12.44</v>
      </c>
      <c r="F194" s="808">
        <v>0</v>
      </c>
      <c r="H194" s="828" t="s">
        <v>668</v>
      </c>
      <c r="I194" s="815">
        <v>130</v>
      </c>
      <c r="J194" s="839">
        <v>56.879999999999995</v>
      </c>
      <c r="K194" s="839">
        <v>42.94</v>
      </c>
      <c r="L194" s="839">
        <v>13.94</v>
      </c>
      <c r="M194" s="839">
        <v>0</v>
      </c>
      <c r="P194" s="719">
        <v>591</v>
      </c>
      <c r="Q194" s="719" t="str">
        <f t="shared" si="6"/>
        <v>0591</v>
      </c>
      <c r="R194" s="719">
        <v>112</v>
      </c>
      <c r="S194" s="720">
        <v>21.5</v>
      </c>
      <c r="T194" s="720"/>
      <c r="U194" s="724">
        <v>591</v>
      </c>
      <c r="V194" s="724" t="str">
        <f t="shared" si="7"/>
        <v>0591</v>
      </c>
      <c r="W194" s="724">
        <v>130</v>
      </c>
      <c r="X194" s="720">
        <v>91.79</v>
      </c>
    </row>
    <row r="195" spans="1:24" ht="15" x14ac:dyDescent="0.25">
      <c r="A195" s="807" t="s">
        <v>360</v>
      </c>
      <c r="B195">
        <v>111</v>
      </c>
      <c r="C195" s="808">
        <v>1</v>
      </c>
      <c r="D195" s="809">
        <v>1</v>
      </c>
      <c r="E195" s="810">
        <v>0</v>
      </c>
      <c r="F195" s="808">
        <v>0</v>
      </c>
      <c r="H195" s="828" t="s">
        <v>360</v>
      </c>
      <c r="I195" s="815">
        <v>111</v>
      </c>
      <c r="J195" s="839">
        <v>1</v>
      </c>
      <c r="K195" s="839">
        <v>1</v>
      </c>
      <c r="L195" s="839">
        <v>0</v>
      </c>
      <c r="M195" s="839">
        <v>0</v>
      </c>
      <c r="P195" s="719">
        <v>591</v>
      </c>
      <c r="Q195" s="719" t="str">
        <f t="shared" ref="Q195:Q258" si="8">TEXT(P195,"0000")</f>
        <v>0591</v>
      </c>
      <c r="R195" s="719">
        <v>130</v>
      </c>
      <c r="S195" s="720">
        <v>93.85</v>
      </c>
      <c r="T195" s="720"/>
      <c r="U195" s="724">
        <v>591</v>
      </c>
      <c r="V195" s="724" t="str">
        <f t="shared" si="7"/>
        <v>0591</v>
      </c>
      <c r="W195" s="724">
        <v>254</v>
      </c>
      <c r="X195" s="720">
        <v>5.63</v>
      </c>
    </row>
    <row r="196" spans="1:24" ht="15" x14ac:dyDescent="0.25">
      <c r="A196" s="807" t="s">
        <v>360</v>
      </c>
      <c r="B196">
        <v>112</v>
      </c>
      <c r="C196" s="808">
        <v>1</v>
      </c>
      <c r="D196" s="809">
        <v>0</v>
      </c>
      <c r="E196" s="810">
        <v>1</v>
      </c>
      <c r="F196" s="808">
        <v>0</v>
      </c>
      <c r="H196" s="828" t="s">
        <v>360</v>
      </c>
      <c r="I196" s="815">
        <v>112</v>
      </c>
      <c r="J196" s="839">
        <v>1</v>
      </c>
      <c r="K196" s="839">
        <v>0</v>
      </c>
      <c r="L196" s="839">
        <v>1</v>
      </c>
      <c r="M196" s="839">
        <v>0</v>
      </c>
      <c r="P196" s="719">
        <v>591</v>
      </c>
      <c r="Q196" s="719" t="str">
        <f t="shared" si="8"/>
        <v>0591</v>
      </c>
      <c r="R196" s="719">
        <v>254</v>
      </c>
      <c r="S196" s="720">
        <v>3.5</v>
      </c>
      <c r="T196" s="720"/>
      <c r="U196" s="724">
        <v>591</v>
      </c>
      <c r="V196" s="724" t="str">
        <f t="shared" ref="V196:V259" si="9">TEXT(U196,"0000")</f>
        <v>0591</v>
      </c>
      <c r="W196" s="724">
        <v>255</v>
      </c>
      <c r="X196" s="720">
        <v>0.5</v>
      </c>
    </row>
    <row r="197" spans="1:24" ht="15" x14ac:dyDescent="0.25">
      <c r="A197" s="807" t="s">
        <v>360</v>
      </c>
      <c r="B197">
        <v>254</v>
      </c>
      <c r="C197" s="808">
        <v>19.5</v>
      </c>
      <c r="D197" s="809">
        <v>11.5</v>
      </c>
      <c r="E197" s="810">
        <v>8</v>
      </c>
      <c r="F197" s="808">
        <v>0</v>
      </c>
      <c r="H197" s="828" t="s">
        <v>360</v>
      </c>
      <c r="I197" s="815">
        <v>254</v>
      </c>
      <c r="J197" s="839">
        <v>19.5</v>
      </c>
      <c r="K197" s="839">
        <v>11.5</v>
      </c>
      <c r="L197" s="839">
        <v>8</v>
      </c>
      <c r="M197" s="839">
        <v>0</v>
      </c>
      <c r="P197" s="719">
        <v>591</v>
      </c>
      <c r="Q197" s="719" t="str">
        <f t="shared" si="8"/>
        <v>0591</v>
      </c>
      <c r="R197" s="719">
        <v>255</v>
      </c>
      <c r="S197" s="720">
        <v>0.5</v>
      </c>
      <c r="T197" s="720"/>
      <c r="U197" s="724">
        <v>601</v>
      </c>
      <c r="V197" s="724" t="str">
        <f t="shared" si="9"/>
        <v>0601</v>
      </c>
      <c r="W197" s="724">
        <v>101</v>
      </c>
      <c r="X197" s="720">
        <v>142.21</v>
      </c>
    </row>
    <row r="198" spans="1:24" ht="15" x14ac:dyDescent="0.25">
      <c r="A198" s="807" t="s">
        <v>360</v>
      </c>
      <c r="B198">
        <v>255</v>
      </c>
      <c r="C198" s="808">
        <v>34</v>
      </c>
      <c r="D198" s="809">
        <v>12</v>
      </c>
      <c r="E198" s="810">
        <v>22</v>
      </c>
      <c r="F198" s="808">
        <v>0</v>
      </c>
      <c r="H198" s="828" t="s">
        <v>360</v>
      </c>
      <c r="I198" s="815">
        <v>255</v>
      </c>
      <c r="J198" s="839">
        <v>34</v>
      </c>
      <c r="K198" s="839">
        <v>12</v>
      </c>
      <c r="L198" s="839">
        <v>22</v>
      </c>
      <c r="M198" s="839">
        <v>0</v>
      </c>
      <c r="P198" s="719">
        <v>601</v>
      </c>
      <c r="Q198" s="719" t="str">
        <f t="shared" si="8"/>
        <v>0601</v>
      </c>
      <c r="R198" s="719">
        <v>101</v>
      </c>
      <c r="S198" s="720">
        <v>148.36000000000001</v>
      </c>
      <c r="T198" s="720"/>
      <c r="U198" s="724">
        <v>601</v>
      </c>
      <c r="V198" s="724" t="str">
        <f t="shared" si="9"/>
        <v>0601</v>
      </c>
      <c r="W198" s="724">
        <v>102</v>
      </c>
      <c r="X198" s="720">
        <v>105.27</v>
      </c>
    </row>
    <row r="199" spans="1:24" ht="15" x14ac:dyDescent="0.25">
      <c r="A199" s="807" t="s">
        <v>358</v>
      </c>
      <c r="B199">
        <v>101</v>
      </c>
      <c r="C199" s="808">
        <v>44.379999999999995</v>
      </c>
      <c r="D199" s="809">
        <v>44.379999999999995</v>
      </c>
      <c r="E199" s="810">
        <v>0</v>
      </c>
      <c r="F199" s="808">
        <v>0</v>
      </c>
      <c r="H199" s="828" t="s">
        <v>358</v>
      </c>
      <c r="I199" s="815">
        <v>101</v>
      </c>
      <c r="J199" s="839">
        <v>40.800000000000004</v>
      </c>
      <c r="K199" s="839">
        <v>40.800000000000004</v>
      </c>
      <c r="L199" s="839">
        <v>0</v>
      </c>
      <c r="M199" s="839">
        <v>0</v>
      </c>
      <c r="P199" s="719">
        <v>601</v>
      </c>
      <c r="Q199" s="719" t="str">
        <f t="shared" si="8"/>
        <v>0601</v>
      </c>
      <c r="R199" s="719">
        <v>102</v>
      </c>
      <c r="S199" s="720">
        <v>105.98</v>
      </c>
      <c r="T199" s="720"/>
      <c r="U199" s="724">
        <v>601</v>
      </c>
      <c r="V199" s="724" t="str">
        <f t="shared" si="9"/>
        <v>0601</v>
      </c>
      <c r="W199" s="724">
        <v>111</v>
      </c>
      <c r="X199" s="720">
        <v>49.59</v>
      </c>
    </row>
    <row r="200" spans="1:24" ht="15" x14ac:dyDescent="0.25">
      <c r="A200" s="807" t="s">
        <v>358</v>
      </c>
      <c r="B200">
        <v>102</v>
      </c>
      <c r="C200" s="808">
        <v>24.67</v>
      </c>
      <c r="D200" s="809">
        <v>0</v>
      </c>
      <c r="E200" s="810">
        <v>24.67</v>
      </c>
      <c r="F200" s="808">
        <v>0</v>
      </c>
      <c r="H200" s="828" t="s">
        <v>358</v>
      </c>
      <c r="I200" s="815">
        <v>102</v>
      </c>
      <c r="J200" s="839">
        <v>25.36</v>
      </c>
      <c r="K200" s="839">
        <v>0</v>
      </c>
      <c r="L200" s="839">
        <v>25.36</v>
      </c>
      <c r="M200" s="839">
        <v>0</v>
      </c>
      <c r="P200" s="719">
        <v>601</v>
      </c>
      <c r="Q200" s="719" t="str">
        <f t="shared" si="8"/>
        <v>0601</v>
      </c>
      <c r="R200" s="719">
        <v>111</v>
      </c>
      <c r="S200" s="720">
        <v>44.05</v>
      </c>
      <c r="T200" s="720"/>
      <c r="U200" s="724">
        <v>601</v>
      </c>
      <c r="V200" s="724" t="str">
        <f t="shared" si="9"/>
        <v>0601</v>
      </c>
      <c r="W200" s="724">
        <v>112</v>
      </c>
      <c r="X200" s="720">
        <v>23</v>
      </c>
    </row>
    <row r="201" spans="1:24" ht="15" x14ac:dyDescent="0.25">
      <c r="A201" s="807" t="s">
        <v>358</v>
      </c>
      <c r="B201">
        <v>111</v>
      </c>
      <c r="C201" s="808">
        <v>4</v>
      </c>
      <c r="D201" s="809">
        <v>4</v>
      </c>
      <c r="E201" s="810">
        <v>0</v>
      </c>
      <c r="F201" s="808">
        <v>0</v>
      </c>
      <c r="H201" s="828" t="s">
        <v>358</v>
      </c>
      <c r="I201" s="815">
        <v>111</v>
      </c>
      <c r="J201" s="839">
        <v>5.54</v>
      </c>
      <c r="K201" s="839">
        <v>5.54</v>
      </c>
      <c r="L201" s="839">
        <v>0</v>
      </c>
      <c r="M201" s="839">
        <v>0</v>
      </c>
      <c r="P201" s="719">
        <v>601</v>
      </c>
      <c r="Q201" s="719" t="str">
        <f t="shared" si="8"/>
        <v>0601</v>
      </c>
      <c r="R201" s="719">
        <v>112</v>
      </c>
      <c r="S201" s="720">
        <v>23.51</v>
      </c>
      <c r="T201" s="720"/>
      <c r="U201" s="724">
        <v>601</v>
      </c>
      <c r="V201" s="724" t="str">
        <f t="shared" si="9"/>
        <v>0601</v>
      </c>
      <c r="W201" s="724">
        <v>130</v>
      </c>
      <c r="X201" s="720">
        <v>183.26</v>
      </c>
    </row>
    <row r="202" spans="1:24" ht="15" x14ac:dyDescent="0.25">
      <c r="A202" s="807" t="s">
        <v>358</v>
      </c>
      <c r="B202">
        <v>112</v>
      </c>
      <c r="C202" s="808">
        <v>5.3100000000000005</v>
      </c>
      <c r="D202" s="809">
        <v>0</v>
      </c>
      <c r="E202" s="810">
        <v>5.3100000000000005</v>
      </c>
      <c r="F202" s="808">
        <v>0</v>
      </c>
      <c r="H202" s="828" t="s">
        <v>358</v>
      </c>
      <c r="I202" s="815">
        <v>112</v>
      </c>
      <c r="J202" s="839">
        <v>3.8</v>
      </c>
      <c r="K202" s="839">
        <v>0</v>
      </c>
      <c r="L202" s="839">
        <v>3.8</v>
      </c>
      <c r="M202" s="839">
        <v>0</v>
      </c>
      <c r="P202" s="719">
        <v>601</v>
      </c>
      <c r="Q202" s="719" t="str">
        <f t="shared" si="8"/>
        <v>0601</v>
      </c>
      <c r="R202" s="719">
        <v>130</v>
      </c>
      <c r="S202" s="720">
        <v>188.36</v>
      </c>
      <c r="T202" s="720"/>
      <c r="U202" s="724">
        <v>601</v>
      </c>
      <c r="V202" s="724" t="str">
        <f t="shared" si="9"/>
        <v>0601</v>
      </c>
      <c r="W202" s="724">
        <v>254</v>
      </c>
      <c r="X202" s="720">
        <v>1</v>
      </c>
    </row>
    <row r="203" spans="1:24" ht="15" x14ac:dyDescent="0.25">
      <c r="A203" s="807" t="s">
        <v>358</v>
      </c>
      <c r="B203">
        <v>130</v>
      </c>
      <c r="C203" s="808">
        <v>13.350000000000001</v>
      </c>
      <c r="D203" s="809">
        <v>12.120000000000001</v>
      </c>
      <c r="E203" s="810">
        <v>1.23</v>
      </c>
      <c r="F203" s="808">
        <v>0</v>
      </c>
      <c r="H203" s="828" t="s">
        <v>358</v>
      </c>
      <c r="I203" s="815">
        <v>130</v>
      </c>
      <c r="J203" s="839">
        <v>11.68</v>
      </c>
      <c r="K203" s="839">
        <v>10.86</v>
      </c>
      <c r="L203" s="839">
        <v>0.82</v>
      </c>
      <c r="M203" s="839">
        <v>0</v>
      </c>
      <c r="P203" s="719">
        <v>601</v>
      </c>
      <c r="Q203" s="719" t="str">
        <f t="shared" si="8"/>
        <v>0601</v>
      </c>
      <c r="R203" s="719">
        <v>254</v>
      </c>
      <c r="S203" s="720">
        <v>1.5</v>
      </c>
      <c r="T203" s="720"/>
      <c r="U203" s="724">
        <v>611</v>
      </c>
      <c r="V203" s="724" t="str">
        <f t="shared" si="9"/>
        <v>0611</v>
      </c>
      <c r="W203" s="724">
        <v>102</v>
      </c>
      <c r="X203" s="720">
        <v>427.33</v>
      </c>
    </row>
    <row r="204" spans="1:24" ht="15" x14ac:dyDescent="0.25">
      <c r="A204" s="807" t="s">
        <v>390</v>
      </c>
      <c r="B204">
        <v>102</v>
      </c>
      <c r="C204" s="808">
        <v>150.23000000000002</v>
      </c>
      <c r="D204" s="809">
        <v>0</v>
      </c>
      <c r="E204" s="810">
        <v>150.23000000000002</v>
      </c>
      <c r="F204" s="808">
        <v>0</v>
      </c>
      <c r="H204" s="828" t="s">
        <v>390</v>
      </c>
      <c r="I204" s="815">
        <v>102</v>
      </c>
      <c r="J204" s="839">
        <v>149.76</v>
      </c>
      <c r="K204" s="839">
        <v>0</v>
      </c>
      <c r="L204" s="839">
        <v>149.76</v>
      </c>
      <c r="M204" s="839">
        <v>0</v>
      </c>
      <c r="P204" s="719">
        <v>611</v>
      </c>
      <c r="Q204" s="719" t="str">
        <f t="shared" si="8"/>
        <v>0611</v>
      </c>
      <c r="R204" s="719">
        <v>102</v>
      </c>
      <c r="S204" s="720">
        <v>430.43</v>
      </c>
      <c r="T204" s="720"/>
      <c r="U204" s="724">
        <v>611</v>
      </c>
      <c r="V204" s="724" t="str">
        <f t="shared" si="9"/>
        <v>0611</v>
      </c>
      <c r="W204" s="724">
        <v>112</v>
      </c>
      <c r="X204" s="720">
        <v>119.27</v>
      </c>
    </row>
    <row r="205" spans="1:24" ht="15" x14ac:dyDescent="0.25">
      <c r="A205" s="807" t="s">
        <v>390</v>
      </c>
      <c r="B205">
        <v>103</v>
      </c>
      <c r="C205" s="808">
        <v>181.54999999999998</v>
      </c>
      <c r="D205" s="809">
        <v>0</v>
      </c>
      <c r="E205" s="810">
        <v>0</v>
      </c>
      <c r="F205" s="808">
        <v>181.54999999999998</v>
      </c>
      <c r="H205" s="828" t="s">
        <v>390</v>
      </c>
      <c r="I205" s="815">
        <v>103</v>
      </c>
      <c r="J205" s="839">
        <v>182.05999999999997</v>
      </c>
      <c r="K205" s="839">
        <v>0</v>
      </c>
      <c r="L205" s="839">
        <v>0</v>
      </c>
      <c r="M205" s="839">
        <v>182.05999999999997</v>
      </c>
      <c r="P205" s="719">
        <v>611</v>
      </c>
      <c r="Q205" s="719" t="str">
        <f t="shared" si="8"/>
        <v>0611</v>
      </c>
      <c r="R205" s="719">
        <v>112</v>
      </c>
      <c r="S205" s="720">
        <v>120.32</v>
      </c>
      <c r="T205" s="720"/>
      <c r="U205" s="724">
        <v>611</v>
      </c>
      <c r="V205" s="724" t="str">
        <f t="shared" si="9"/>
        <v>0611</v>
      </c>
      <c r="W205" s="724">
        <v>130</v>
      </c>
      <c r="X205" s="720">
        <v>93.47</v>
      </c>
    </row>
    <row r="206" spans="1:24" ht="15" x14ac:dyDescent="0.25">
      <c r="A206" s="807" t="s">
        <v>390</v>
      </c>
      <c r="B206">
        <v>112</v>
      </c>
      <c r="C206" s="808">
        <v>24.54</v>
      </c>
      <c r="D206" s="809">
        <v>0</v>
      </c>
      <c r="E206" s="810">
        <v>24.54</v>
      </c>
      <c r="F206" s="808">
        <v>0</v>
      </c>
      <c r="H206" s="828" t="s">
        <v>390</v>
      </c>
      <c r="I206" s="815">
        <v>112</v>
      </c>
      <c r="J206" s="839">
        <v>25.52</v>
      </c>
      <c r="K206" s="839">
        <v>0</v>
      </c>
      <c r="L206" s="839">
        <v>25.52</v>
      </c>
      <c r="M206" s="839">
        <v>0</v>
      </c>
      <c r="P206" s="719">
        <v>611</v>
      </c>
      <c r="Q206" s="719" t="str">
        <f t="shared" si="8"/>
        <v>0611</v>
      </c>
      <c r="R206" s="719">
        <v>130</v>
      </c>
      <c r="S206" s="720">
        <v>96.27</v>
      </c>
      <c r="T206" s="720"/>
      <c r="U206" s="724">
        <v>611</v>
      </c>
      <c r="V206" s="724" t="str">
        <f t="shared" si="9"/>
        <v>0611</v>
      </c>
      <c r="W206" s="724">
        <v>254</v>
      </c>
      <c r="X206" s="720">
        <v>0</v>
      </c>
    </row>
    <row r="207" spans="1:24" ht="15" x14ac:dyDescent="0.25">
      <c r="A207" s="807" t="s">
        <v>390</v>
      </c>
      <c r="B207">
        <v>113</v>
      </c>
      <c r="C207" s="808">
        <v>31.36</v>
      </c>
      <c r="D207" s="809">
        <v>0</v>
      </c>
      <c r="E207" s="810">
        <v>0</v>
      </c>
      <c r="F207" s="808">
        <v>31.36</v>
      </c>
      <c r="H207" s="828" t="s">
        <v>390</v>
      </c>
      <c r="I207" s="815">
        <v>113</v>
      </c>
      <c r="J207" s="839">
        <v>31.16</v>
      </c>
      <c r="K207" s="839">
        <v>0</v>
      </c>
      <c r="L207" s="839">
        <v>0</v>
      </c>
      <c r="M207" s="839">
        <v>31.16</v>
      </c>
      <c r="P207" s="719">
        <v>611</v>
      </c>
      <c r="Q207" s="719" t="str">
        <f t="shared" si="8"/>
        <v>0611</v>
      </c>
      <c r="R207" s="719">
        <v>254</v>
      </c>
      <c r="S207" s="720">
        <v>1.01</v>
      </c>
      <c r="T207" s="720"/>
      <c r="U207" s="724">
        <v>621</v>
      </c>
      <c r="V207" s="724" t="str">
        <f t="shared" si="9"/>
        <v>0621</v>
      </c>
      <c r="W207" s="724">
        <v>101</v>
      </c>
      <c r="X207" s="720">
        <v>110.76</v>
      </c>
    </row>
    <row r="208" spans="1:24" ht="15" x14ac:dyDescent="0.25">
      <c r="A208" s="807" t="s">
        <v>390</v>
      </c>
      <c r="B208">
        <v>130</v>
      </c>
      <c r="C208" s="808">
        <v>72.48</v>
      </c>
      <c r="D208" s="809">
        <v>0</v>
      </c>
      <c r="E208" s="810">
        <v>28.340000000000003</v>
      </c>
      <c r="F208" s="808">
        <v>44.14</v>
      </c>
      <c r="H208" s="828" t="s">
        <v>390</v>
      </c>
      <c r="I208" s="815">
        <v>130</v>
      </c>
      <c r="J208" s="839">
        <v>68.169999999999987</v>
      </c>
      <c r="K208" s="839">
        <v>0</v>
      </c>
      <c r="L208" s="839">
        <v>30.63</v>
      </c>
      <c r="M208" s="839">
        <v>37.540000000000006</v>
      </c>
      <c r="P208" s="719">
        <v>621</v>
      </c>
      <c r="Q208" s="719" t="str">
        <f t="shared" si="8"/>
        <v>0621</v>
      </c>
      <c r="R208" s="719">
        <v>101</v>
      </c>
      <c r="S208" s="720">
        <v>109.23</v>
      </c>
      <c r="T208" s="720"/>
      <c r="U208" s="724">
        <v>621</v>
      </c>
      <c r="V208" s="724" t="str">
        <f t="shared" si="9"/>
        <v>0621</v>
      </c>
      <c r="W208" s="724">
        <v>102</v>
      </c>
      <c r="X208" s="720">
        <v>72.41</v>
      </c>
    </row>
    <row r="209" spans="1:24" ht="15" x14ac:dyDescent="0.25">
      <c r="A209" s="807" t="s">
        <v>390</v>
      </c>
      <c r="B209">
        <v>300</v>
      </c>
      <c r="C209" s="808">
        <v>21.86</v>
      </c>
      <c r="D209" s="809">
        <v>0</v>
      </c>
      <c r="E209" s="810">
        <v>0</v>
      </c>
      <c r="F209" s="808">
        <v>21.86</v>
      </c>
      <c r="H209" s="828" t="s">
        <v>390</v>
      </c>
      <c r="I209" s="815">
        <v>300</v>
      </c>
      <c r="J209" s="839">
        <v>23.03</v>
      </c>
      <c r="K209" s="839">
        <v>0</v>
      </c>
      <c r="L209" s="839">
        <v>0</v>
      </c>
      <c r="M209" s="839">
        <v>23.03</v>
      </c>
      <c r="P209" s="719">
        <v>621</v>
      </c>
      <c r="Q209" s="719" t="str">
        <f t="shared" si="8"/>
        <v>0621</v>
      </c>
      <c r="R209" s="719">
        <v>102</v>
      </c>
      <c r="S209" s="720">
        <v>74.760000000000005</v>
      </c>
      <c r="T209" s="720"/>
      <c r="U209" s="724">
        <v>621</v>
      </c>
      <c r="V209" s="724" t="str">
        <f t="shared" si="9"/>
        <v>0621</v>
      </c>
      <c r="W209" s="724">
        <v>111</v>
      </c>
      <c r="X209" s="720">
        <v>64.209999999999994</v>
      </c>
    </row>
    <row r="210" spans="1:24" ht="15" x14ac:dyDescent="0.25">
      <c r="A210" s="807" t="s">
        <v>669</v>
      </c>
      <c r="B210">
        <v>103</v>
      </c>
      <c r="C210" s="808">
        <v>111.85000000000001</v>
      </c>
      <c r="D210" s="809">
        <v>0</v>
      </c>
      <c r="E210" s="810">
        <v>0</v>
      </c>
      <c r="F210" s="808">
        <v>111.85000000000001</v>
      </c>
      <c r="H210" s="828" t="s">
        <v>669</v>
      </c>
      <c r="I210" s="815">
        <v>103</v>
      </c>
      <c r="J210" s="839">
        <v>114.36</v>
      </c>
      <c r="K210" s="839">
        <v>0</v>
      </c>
      <c r="L210" s="839">
        <v>0</v>
      </c>
      <c r="M210" s="839">
        <v>114.36</v>
      </c>
      <c r="P210" s="719">
        <v>621</v>
      </c>
      <c r="Q210" s="719" t="str">
        <f t="shared" si="8"/>
        <v>0621</v>
      </c>
      <c r="R210" s="719">
        <v>111</v>
      </c>
      <c r="S210" s="720">
        <v>58.06</v>
      </c>
      <c r="T210" s="720"/>
      <c r="U210" s="724">
        <v>621</v>
      </c>
      <c r="V210" s="724" t="str">
        <f t="shared" si="9"/>
        <v>0621</v>
      </c>
      <c r="W210" s="724">
        <v>112</v>
      </c>
      <c r="X210" s="720">
        <v>33.49</v>
      </c>
    </row>
    <row r="211" spans="1:24" ht="15" x14ac:dyDescent="0.25">
      <c r="A211" s="807" t="s">
        <v>669</v>
      </c>
      <c r="B211">
        <v>113</v>
      </c>
      <c r="C211" s="808">
        <v>18.5</v>
      </c>
      <c r="D211" s="809">
        <v>0</v>
      </c>
      <c r="E211" s="810">
        <v>0</v>
      </c>
      <c r="F211" s="808">
        <v>18.5</v>
      </c>
      <c r="H211" s="828" t="s">
        <v>669</v>
      </c>
      <c r="I211" s="815">
        <v>113</v>
      </c>
      <c r="J211" s="839">
        <v>18.57</v>
      </c>
      <c r="K211" s="839">
        <v>0</v>
      </c>
      <c r="L211" s="839">
        <v>0</v>
      </c>
      <c r="M211" s="839">
        <v>18.57</v>
      </c>
      <c r="P211" s="719">
        <v>621</v>
      </c>
      <c r="Q211" s="719" t="str">
        <f t="shared" si="8"/>
        <v>0621</v>
      </c>
      <c r="R211" s="719">
        <v>112</v>
      </c>
      <c r="S211" s="720">
        <v>29</v>
      </c>
      <c r="T211" s="720"/>
      <c r="U211" s="724">
        <v>621</v>
      </c>
      <c r="V211" s="724" t="str">
        <f t="shared" si="9"/>
        <v>0621</v>
      </c>
      <c r="W211" s="724">
        <v>130</v>
      </c>
      <c r="X211" s="720">
        <v>179.72</v>
      </c>
    </row>
    <row r="212" spans="1:24" ht="15" x14ac:dyDescent="0.25">
      <c r="A212" s="807" t="s">
        <v>669</v>
      </c>
      <c r="B212">
        <v>130</v>
      </c>
      <c r="C212" s="808">
        <v>19.57</v>
      </c>
      <c r="D212" s="809">
        <v>0</v>
      </c>
      <c r="E212" s="810">
        <v>0</v>
      </c>
      <c r="F212" s="808">
        <v>19.57</v>
      </c>
      <c r="H212" s="828" t="s">
        <v>669</v>
      </c>
      <c r="I212" s="815">
        <v>130</v>
      </c>
      <c r="J212" s="839">
        <v>20.05</v>
      </c>
      <c r="K212" s="839">
        <v>0</v>
      </c>
      <c r="L212" s="839">
        <v>0</v>
      </c>
      <c r="M212" s="839">
        <v>20.05</v>
      </c>
      <c r="P212" s="719">
        <v>621</v>
      </c>
      <c r="Q212" s="719" t="str">
        <f t="shared" si="8"/>
        <v>0621</v>
      </c>
      <c r="R212" s="719">
        <v>130</v>
      </c>
      <c r="S212" s="720">
        <v>181.3</v>
      </c>
      <c r="T212" s="720"/>
      <c r="U212" s="724">
        <v>621</v>
      </c>
      <c r="V212" s="724" t="str">
        <f t="shared" si="9"/>
        <v>0621</v>
      </c>
      <c r="W212" s="724">
        <v>254</v>
      </c>
      <c r="X212" s="720">
        <v>2.5</v>
      </c>
    </row>
    <row r="213" spans="1:24" ht="15" x14ac:dyDescent="0.25">
      <c r="A213" s="807" t="s">
        <v>669</v>
      </c>
      <c r="B213">
        <v>300</v>
      </c>
      <c r="C213" s="808">
        <v>12.510000000000002</v>
      </c>
      <c r="D213" s="809">
        <v>0</v>
      </c>
      <c r="E213" s="810">
        <v>0</v>
      </c>
      <c r="F213" s="808">
        <v>12.510000000000002</v>
      </c>
      <c r="H213" s="828" t="s">
        <v>669</v>
      </c>
      <c r="I213" s="815">
        <v>300</v>
      </c>
      <c r="J213" s="839">
        <v>12.43</v>
      </c>
      <c r="K213" s="839">
        <v>0</v>
      </c>
      <c r="L213" s="839">
        <v>0</v>
      </c>
      <c r="M213" s="839">
        <v>12.43</v>
      </c>
      <c r="P213" s="719">
        <v>621</v>
      </c>
      <c r="Q213" s="719" t="str">
        <f t="shared" si="8"/>
        <v>0621</v>
      </c>
      <c r="R213" s="719">
        <v>254</v>
      </c>
      <c r="S213" s="720">
        <v>2.5</v>
      </c>
      <c r="T213" s="720"/>
      <c r="U213" s="724">
        <v>621</v>
      </c>
      <c r="V213" s="724" t="str">
        <f t="shared" si="9"/>
        <v>0621</v>
      </c>
      <c r="W213" s="724">
        <v>255</v>
      </c>
      <c r="X213" s="720">
        <v>0</v>
      </c>
    </row>
    <row r="214" spans="1:24" ht="15" x14ac:dyDescent="0.25">
      <c r="A214" s="807" t="s">
        <v>386</v>
      </c>
      <c r="B214">
        <v>103</v>
      </c>
      <c r="C214" s="808">
        <v>44.49</v>
      </c>
      <c r="D214" s="809">
        <v>0</v>
      </c>
      <c r="E214" s="810">
        <v>0</v>
      </c>
      <c r="F214" s="808">
        <v>44.49</v>
      </c>
      <c r="H214" s="828" t="s">
        <v>386</v>
      </c>
      <c r="I214" s="815">
        <v>103</v>
      </c>
      <c r="J214" s="839">
        <v>42.11</v>
      </c>
      <c r="K214" s="839">
        <v>0</v>
      </c>
      <c r="L214" s="839">
        <v>0</v>
      </c>
      <c r="M214" s="839">
        <v>42.11</v>
      </c>
      <c r="P214" s="719">
        <v>621</v>
      </c>
      <c r="Q214" s="719" t="str">
        <f t="shared" si="8"/>
        <v>0621</v>
      </c>
      <c r="R214" s="719">
        <v>255</v>
      </c>
      <c r="S214" s="720">
        <v>0.5</v>
      </c>
      <c r="T214" s="720"/>
      <c r="U214" s="724">
        <v>631</v>
      </c>
      <c r="V214" s="724" t="str">
        <f t="shared" si="9"/>
        <v>0631</v>
      </c>
      <c r="W214" s="724">
        <v>101</v>
      </c>
      <c r="X214" s="720">
        <v>89.73</v>
      </c>
    </row>
    <row r="215" spans="1:24" ht="15" x14ac:dyDescent="0.25">
      <c r="A215" s="807" t="s">
        <v>386</v>
      </c>
      <c r="B215">
        <v>113</v>
      </c>
      <c r="C215" s="808">
        <v>7</v>
      </c>
      <c r="D215" s="809">
        <v>0</v>
      </c>
      <c r="E215" s="810">
        <v>0</v>
      </c>
      <c r="F215" s="808">
        <v>7</v>
      </c>
      <c r="H215" s="828" t="s">
        <v>386</v>
      </c>
      <c r="I215" s="815">
        <v>113</v>
      </c>
      <c r="J215" s="839">
        <v>4.9700000000000006</v>
      </c>
      <c r="K215" s="839">
        <v>0</v>
      </c>
      <c r="L215" s="839">
        <v>0</v>
      </c>
      <c r="M215" s="839">
        <v>4.9700000000000006</v>
      </c>
      <c r="P215" s="719">
        <v>631</v>
      </c>
      <c r="Q215" s="719" t="str">
        <f t="shared" si="8"/>
        <v>0631</v>
      </c>
      <c r="R215" s="719">
        <v>101</v>
      </c>
      <c r="S215" s="720">
        <v>90.09</v>
      </c>
      <c r="T215" s="720"/>
      <c r="U215" s="724">
        <v>631</v>
      </c>
      <c r="V215" s="724" t="str">
        <f t="shared" si="9"/>
        <v>0631</v>
      </c>
      <c r="W215" s="724">
        <v>102</v>
      </c>
      <c r="X215" s="720">
        <v>62.64</v>
      </c>
    </row>
    <row r="216" spans="1:24" ht="15" x14ac:dyDescent="0.25">
      <c r="A216" s="807" t="s">
        <v>386</v>
      </c>
      <c r="B216">
        <v>130</v>
      </c>
      <c r="C216" s="808">
        <v>7.9200000000000008</v>
      </c>
      <c r="D216" s="809">
        <v>0</v>
      </c>
      <c r="E216" s="810">
        <v>0</v>
      </c>
      <c r="F216" s="808">
        <v>7.9200000000000008</v>
      </c>
      <c r="H216" s="828" t="s">
        <v>386</v>
      </c>
      <c r="I216" s="815">
        <v>130</v>
      </c>
      <c r="J216" s="839">
        <v>7.3100000000000005</v>
      </c>
      <c r="K216" s="839">
        <v>0</v>
      </c>
      <c r="L216" s="839">
        <v>0</v>
      </c>
      <c r="M216" s="839">
        <v>7.3100000000000005</v>
      </c>
      <c r="P216" s="719">
        <v>631</v>
      </c>
      <c r="Q216" s="719" t="str">
        <f t="shared" si="8"/>
        <v>0631</v>
      </c>
      <c r="R216" s="719">
        <v>102</v>
      </c>
      <c r="S216" s="720">
        <v>62.94</v>
      </c>
      <c r="T216" s="720"/>
      <c r="U216" s="724">
        <v>631</v>
      </c>
      <c r="V216" s="724" t="str">
        <f t="shared" si="9"/>
        <v>0631</v>
      </c>
      <c r="W216" s="724">
        <v>111</v>
      </c>
      <c r="X216" s="720">
        <v>46.39</v>
      </c>
    </row>
    <row r="217" spans="1:24" ht="15" x14ac:dyDescent="0.25">
      <c r="A217" s="807" t="s">
        <v>386</v>
      </c>
      <c r="B217">
        <v>300</v>
      </c>
      <c r="C217" s="808">
        <v>3.87</v>
      </c>
      <c r="D217" s="809">
        <v>0</v>
      </c>
      <c r="E217" s="810">
        <v>0</v>
      </c>
      <c r="F217" s="808">
        <v>3.87</v>
      </c>
      <c r="H217" s="828" t="s">
        <v>386</v>
      </c>
      <c r="I217" s="815">
        <v>300</v>
      </c>
      <c r="J217" s="839">
        <v>3.7700000000000005</v>
      </c>
      <c r="K217" s="839">
        <v>0</v>
      </c>
      <c r="L217" s="839">
        <v>0</v>
      </c>
      <c r="M217" s="839">
        <v>3.7700000000000005</v>
      </c>
      <c r="P217" s="719">
        <v>631</v>
      </c>
      <c r="Q217" s="719" t="str">
        <f t="shared" si="8"/>
        <v>0631</v>
      </c>
      <c r="R217" s="719">
        <v>111</v>
      </c>
      <c r="S217" s="720">
        <v>46.82</v>
      </c>
      <c r="T217" s="720"/>
      <c r="U217" s="724">
        <v>631</v>
      </c>
      <c r="V217" s="724" t="str">
        <f t="shared" si="9"/>
        <v>0631</v>
      </c>
      <c r="W217" s="724">
        <v>112</v>
      </c>
      <c r="X217" s="720">
        <v>27.94</v>
      </c>
    </row>
    <row r="218" spans="1:24" ht="15" x14ac:dyDescent="0.25">
      <c r="A218" s="811" t="s">
        <v>670</v>
      </c>
      <c r="B218" s="811" t="s">
        <v>670</v>
      </c>
      <c r="C218" s="812">
        <f>SUM(C3:C217)</f>
        <v>10713.239999999996</v>
      </c>
      <c r="D218" s="812">
        <f t="shared" ref="D218:F218" si="10">SUM(D3:D217)</f>
        <v>2970.9700000000003</v>
      </c>
      <c r="E218" s="812">
        <f t="shared" si="10"/>
        <v>4340.0000000000009</v>
      </c>
      <c r="F218" s="812">
        <f t="shared" si="10"/>
        <v>3402.27</v>
      </c>
      <c r="H218" s="811" t="s">
        <v>670</v>
      </c>
      <c r="I218" s="811" t="s">
        <v>670</v>
      </c>
      <c r="J218" s="812">
        <f>SUM(J3:J217)</f>
        <v>10651.359999999999</v>
      </c>
      <c r="K218" s="812">
        <f t="shared" ref="K218" si="11">SUM(K3:K217)</f>
        <v>2928.2500000000005</v>
      </c>
      <c r="L218" s="812">
        <f t="shared" ref="L218" si="12">SUM(L3:L217)</f>
        <v>4284.8400000000011</v>
      </c>
      <c r="M218" s="812">
        <f t="shared" ref="M218" si="13">SUM(M3:M217)</f>
        <v>3438.2699999999995</v>
      </c>
      <c r="P218" s="719">
        <v>631</v>
      </c>
      <c r="Q218" s="719" t="str">
        <f t="shared" si="8"/>
        <v>0631</v>
      </c>
      <c r="R218" s="719">
        <v>112</v>
      </c>
      <c r="S218" s="720">
        <v>27.57</v>
      </c>
      <c r="T218" s="720"/>
      <c r="U218" s="724">
        <v>631</v>
      </c>
      <c r="V218" s="724" t="str">
        <f t="shared" si="9"/>
        <v>0631</v>
      </c>
      <c r="W218" s="724">
        <v>130</v>
      </c>
      <c r="X218" s="720">
        <v>128.12</v>
      </c>
    </row>
    <row r="219" spans="1:24" ht="15" x14ac:dyDescent="0.25">
      <c r="C219" s="830">
        <f>SUM(C156:C160)</f>
        <v>123</v>
      </c>
      <c r="D219" s="830">
        <f t="shared" ref="D219:F219" si="14">SUM(D156:D160)</f>
        <v>68.5</v>
      </c>
      <c r="E219" s="830">
        <f t="shared" si="14"/>
        <v>54.500000000000007</v>
      </c>
      <c r="F219" s="830">
        <f t="shared" si="14"/>
        <v>0</v>
      </c>
      <c r="G219" s="742"/>
      <c r="H219" s="831"/>
      <c r="I219" s="832"/>
      <c r="J219" s="830">
        <f>SUM(J156:J160)</f>
        <v>119.68</v>
      </c>
      <c r="K219" s="830">
        <f t="shared" ref="K219:M219" si="15">SUM(K156:K160)</f>
        <v>64.39</v>
      </c>
      <c r="L219" s="830">
        <f t="shared" si="15"/>
        <v>55.290000000000006</v>
      </c>
      <c r="M219" s="830">
        <f t="shared" si="15"/>
        <v>0</v>
      </c>
      <c r="P219" s="719">
        <v>631</v>
      </c>
      <c r="Q219" s="719" t="str">
        <f t="shared" si="8"/>
        <v>0631</v>
      </c>
      <c r="R219" s="719">
        <v>130</v>
      </c>
      <c r="S219" s="720">
        <v>128.81</v>
      </c>
      <c r="T219" s="720"/>
      <c r="U219" s="724">
        <v>651</v>
      </c>
      <c r="V219" s="724" t="str">
        <f t="shared" si="9"/>
        <v>0651</v>
      </c>
      <c r="W219" s="724">
        <v>101</v>
      </c>
      <c r="X219" s="720">
        <v>129.24</v>
      </c>
    </row>
    <row r="220" spans="1:24" ht="15" x14ac:dyDescent="0.25">
      <c r="C220" s="830">
        <f>+C218-C219</f>
        <v>10590.239999999996</v>
      </c>
      <c r="D220" s="830">
        <f t="shared" ref="D220:F220" si="16">+D218-D219</f>
        <v>2902.4700000000003</v>
      </c>
      <c r="E220" s="830">
        <f t="shared" si="16"/>
        <v>4285.5000000000009</v>
      </c>
      <c r="F220" s="830">
        <f t="shared" si="16"/>
        <v>3402.27</v>
      </c>
      <c r="G220" s="742"/>
      <c r="H220" s="831"/>
      <c r="I220" s="832"/>
      <c r="J220" s="830">
        <f>+J218-J219</f>
        <v>10531.679999999998</v>
      </c>
      <c r="K220" s="830">
        <f t="shared" ref="K220" si="17">+K218-K219</f>
        <v>2863.8600000000006</v>
      </c>
      <c r="L220" s="830">
        <f t="shared" ref="L220" si="18">+L218-L219</f>
        <v>4229.5500000000011</v>
      </c>
      <c r="M220" s="830">
        <f t="shared" ref="M220" si="19">+M218-M219</f>
        <v>3438.2699999999995</v>
      </c>
      <c r="P220" s="719">
        <v>651</v>
      </c>
      <c r="Q220" s="719" t="str">
        <f t="shared" si="8"/>
        <v>0651</v>
      </c>
      <c r="R220" s="719">
        <v>101</v>
      </c>
      <c r="S220" s="720">
        <v>131.85</v>
      </c>
      <c r="T220" s="720"/>
      <c r="U220" s="724">
        <v>651</v>
      </c>
      <c r="V220" s="724" t="str">
        <f t="shared" si="9"/>
        <v>0651</v>
      </c>
      <c r="W220" s="724">
        <v>102</v>
      </c>
      <c r="X220" s="720">
        <v>79.930000000000007</v>
      </c>
    </row>
    <row r="221" spans="1:24" ht="15" x14ac:dyDescent="0.25">
      <c r="B221" s="833" t="b">
        <f>C221=Consolidated!E32</f>
        <v>1</v>
      </c>
      <c r="C221" s="834">
        <f>+C220+J220</f>
        <v>21121.919999999995</v>
      </c>
      <c r="P221" s="719">
        <v>651</v>
      </c>
      <c r="Q221" s="719" t="str">
        <f t="shared" si="8"/>
        <v>0651</v>
      </c>
      <c r="R221" s="719">
        <v>102</v>
      </c>
      <c r="S221" s="720">
        <v>77.709999999999994</v>
      </c>
      <c r="T221" s="720"/>
      <c r="U221" s="724">
        <v>651</v>
      </c>
      <c r="V221" s="724" t="str">
        <f t="shared" si="9"/>
        <v>0651</v>
      </c>
      <c r="W221" s="724">
        <v>111</v>
      </c>
      <c r="X221" s="720">
        <v>49.24</v>
      </c>
    </row>
    <row r="222" spans="1:24" ht="15" x14ac:dyDescent="0.25">
      <c r="P222" s="719">
        <v>651</v>
      </c>
      <c r="Q222" s="719" t="str">
        <f t="shared" si="8"/>
        <v>0651</v>
      </c>
      <c r="R222" s="719">
        <v>111</v>
      </c>
      <c r="S222" s="720">
        <v>49.89</v>
      </c>
      <c r="T222" s="720"/>
      <c r="U222" s="724">
        <v>651</v>
      </c>
      <c r="V222" s="724" t="str">
        <f t="shared" si="9"/>
        <v>0651</v>
      </c>
      <c r="W222" s="724">
        <v>112</v>
      </c>
      <c r="X222" s="720">
        <v>36.46</v>
      </c>
    </row>
    <row r="223" spans="1:24" ht="15" x14ac:dyDescent="0.25">
      <c r="P223" s="719">
        <v>651</v>
      </c>
      <c r="Q223" s="719" t="str">
        <f t="shared" si="8"/>
        <v>0651</v>
      </c>
      <c r="R223" s="719">
        <v>112</v>
      </c>
      <c r="S223" s="720">
        <v>35.03</v>
      </c>
      <c r="T223" s="720"/>
      <c r="U223" s="724">
        <v>651</v>
      </c>
      <c r="V223" s="724" t="str">
        <f t="shared" si="9"/>
        <v>0651</v>
      </c>
      <c r="W223" s="724">
        <v>130</v>
      </c>
      <c r="X223" s="720">
        <v>197.33</v>
      </c>
    </row>
    <row r="224" spans="1:24" ht="15" x14ac:dyDescent="0.25">
      <c r="P224" s="719">
        <v>651</v>
      </c>
      <c r="Q224" s="719" t="str">
        <f t="shared" si="8"/>
        <v>0651</v>
      </c>
      <c r="R224" s="719">
        <v>130</v>
      </c>
      <c r="S224" s="720">
        <v>202.84</v>
      </c>
      <c r="T224" s="720"/>
      <c r="U224" s="724">
        <v>651</v>
      </c>
      <c r="V224" s="724" t="str">
        <f t="shared" si="9"/>
        <v>0651</v>
      </c>
      <c r="W224" s="724">
        <v>254</v>
      </c>
      <c r="X224" s="720">
        <v>2</v>
      </c>
    </row>
    <row r="225" spans="16:24" ht="15" x14ac:dyDescent="0.25">
      <c r="P225" s="719">
        <v>651</v>
      </c>
      <c r="Q225" s="719" t="str">
        <f t="shared" si="8"/>
        <v>0651</v>
      </c>
      <c r="R225" s="719">
        <v>254</v>
      </c>
      <c r="S225" s="720">
        <v>2.5</v>
      </c>
      <c r="T225" s="720"/>
      <c r="U225" s="724">
        <v>661</v>
      </c>
      <c r="V225" s="724" t="str">
        <f t="shared" si="9"/>
        <v>0661</v>
      </c>
      <c r="W225" s="724">
        <v>101</v>
      </c>
      <c r="X225" s="720">
        <v>157.79</v>
      </c>
    </row>
    <row r="226" spans="16:24" ht="15" x14ac:dyDescent="0.25">
      <c r="P226" s="719">
        <v>661</v>
      </c>
      <c r="Q226" s="719" t="str">
        <f t="shared" si="8"/>
        <v>0661</v>
      </c>
      <c r="R226" s="719">
        <v>101</v>
      </c>
      <c r="S226" s="720">
        <v>177.05</v>
      </c>
      <c r="T226" s="720"/>
      <c r="U226" s="724">
        <v>661</v>
      </c>
      <c r="V226" s="724" t="str">
        <f t="shared" si="9"/>
        <v>0661</v>
      </c>
      <c r="W226" s="724">
        <v>102</v>
      </c>
      <c r="X226" s="720">
        <v>92.77</v>
      </c>
    </row>
    <row r="227" spans="16:24" ht="15" x14ac:dyDescent="0.25">
      <c r="P227" s="719">
        <v>661</v>
      </c>
      <c r="Q227" s="719" t="str">
        <f t="shared" si="8"/>
        <v>0661</v>
      </c>
      <c r="R227" s="719">
        <v>102</v>
      </c>
      <c r="S227" s="720">
        <v>91.36</v>
      </c>
      <c r="T227" s="720"/>
      <c r="U227" s="724">
        <v>661</v>
      </c>
      <c r="V227" s="724" t="str">
        <f t="shared" si="9"/>
        <v>0661</v>
      </c>
      <c r="W227" s="724">
        <v>111</v>
      </c>
      <c r="X227" s="720">
        <v>94.86</v>
      </c>
    </row>
    <row r="228" spans="16:24" ht="15" x14ac:dyDescent="0.25">
      <c r="P228" s="719">
        <v>661</v>
      </c>
      <c r="Q228" s="719" t="str">
        <f t="shared" si="8"/>
        <v>0661</v>
      </c>
      <c r="R228" s="719">
        <v>111</v>
      </c>
      <c r="S228" s="720">
        <v>73.849999999999994</v>
      </c>
      <c r="T228" s="720"/>
      <c r="U228" s="724">
        <v>661</v>
      </c>
      <c r="V228" s="724" t="str">
        <f t="shared" si="9"/>
        <v>0661</v>
      </c>
      <c r="W228" s="724">
        <v>112</v>
      </c>
      <c r="X228" s="720">
        <v>52.11</v>
      </c>
    </row>
    <row r="229" spans="16:24" ht="15" x14ac:dyDescent="0.25">
      <c r="P229" s="719">
        <v>661</v>
      </c>
      <c r="Q229" s="719" t="str">
        <f t="shared" si="8"/>
        <v>0661</v>
      </c>
      <c r="R229" s="719">
        <v>112</v>
      </c>
      <c r="S229" s="720">
        <v>53.89</v>
      </c>
      <c r="T229" s="720"/>
      <c r="U229" s="724">
        <v>661</v>
      </c>
      <c r="V229" s="724" t="str">
        <f t="shared" si="9"/>
        <v>0661</v>
      </c>
      <c r="W229" s="724">
        <v>130</v>
      </c>
      <c r="X229" s="720">
        <v>11.44</v>
      </c>
    </row>
    <row r="230" spans="16:24" ht="15" x14ac:dyDescent="0.25">
      <c r="P230" s="719">
        <v>661</v>
      </c>
      <c r="Q230" s="719" t="str">
        <f t="shared" si="8"/>
        <v>0661</v>
      </c>
      <c r="R230" s="719">
        <v>130</v>
      </c>
      <c r="S230" s="720">
        <v>13.47</v>
      </c>
      <c r="T230" s="720"/>
      <c r="U230" s="724">
        <v>661</v>
      </c>
      <c r="V230" s="724" t="str">
        <f t="shared" si="9"/>
        <v>0661</v>
      </c>
      <c r="W230" s="724">
        <v>254</v>
      </c>
      <c r="X230" s="720">
        <v>2.37</v>
      </c>
    </row>
    <row r="231" spans="16:24" ht="15" x14ac:dyDescent="0.25">
      <c r="P231" s="719">
        <v>661</v>
      </c>
      <c r="Q231" s="719" t="str">
        <f t="shared" si="8"/>
        <v>0661</v>
      </c>
      <c r="R231" s="719">
        <v>254</v>
      </c>
      <c r="S231" s="720">
        <v>2.86</v>
      </c>
      <c r="T231" s="720"/>
      <c r="U231" s="724">
        <v>661</v>
      </c>
      <c r="V231" s="724" t="str">
        <f t="shared" si="9"/>
        <v>0661</v>
      </c>
      <c r="W231" s="724">
        <v>255</v>
      </c>
      <c r="X231" s="720">
        <v>0.5</v>
      </c>
    </row>
    <row r="232" spans="16:24" ht="15" x14ac:dyDescent="0.25">
      <c r="P232" s="719">
        <v>661</v>
      </c>
      <c r="Q232" s="719" t="str">
        <f t="shared" si="8"/>
        <v>0661</v>
      </c>
      <c r="R232" s="719">
        <v>255</v>
      </c>
      <c r="S232" s="720">
        <v>0.5</v>
      </c>
      <c r="T232" s="720"/>
      <c r="U232" s="724">
        <v>671</v>
      </c>
      <c r="V232" s="724" t="str">
        <f t="shared" si="9"/>
        <v>0671</v>
      </c>
      <c r="W232" s="724">
        <v>101</v>
      </c>
      <c r="X232" s="720">
        <v>65.55</v>
      </c>
    </row>
    <row r="233" spans="16:24" ht="15" x14ac:dyDescent="0.25">
      <c r="P233" s="719">
        <v>671</v>
      </c>
      <c r="Q233" s="719" t="str">
        <f t="shared" si="8"/>
        <v>0671</v>
      </c>
      <c r="R233" s="719">
        <v>101</v>
      </c>
      <c r="S233" s="720">
        <v>68.89</v>
      </c>
      <c r="T233" s="720"/>
      <c r="U233" s="724">
        <v>671</v>
      </c>
      <c r="V233" s="724" t="str">
        <f t="shared" si="9"/>
        <v>0671</v>
      </c>
      <c r="W233" s="724">
        <v>102</v>
      </c>
      <c r="X233" s="720">
        <v>69.86</v>
      </c>
    </row>
    <row r="234" spans="16:24" ht="15" x14ac:dyDescent="0.25">
      <c r="P234" s="719">
        <v>671</v>
      </c>
      <c r="Q234" s="719" t="str">
        <f t="shared" si="8"/>
        <v>0671</v>
      </c>
      <c r="R234" s="719">
        <v>102</v>
      </c>
      <c r="S234" s="720">
        <v>69.77</v>
      </c>
      <c r="T234" s="720"/>
      <c r="U234" s="724">
        <v>671</v>
      </c>
      <c r="V234" s="724" t="str">
        <f t="shared" si="9"/>
        <v>0671</v>
      </c>
      <c r="W234" s="724">
        <v>111</v>
      </c>
      <c r="X234" s="720">
        <v>33.090000000000003</v>
      </c>
    </row>
    <row r="235" spans="16:24" ht="15" x14ac:dyDescent="0.25">
      <c r="P235" s="719">
        <v>671</v>
      </c>
      <c r="Q235" s="719" t="str">
        <f t="shared" si="8"/>
        <v>0671</v>
      </c>
      <c r="R235" s="719">
        <v>111</v>
      </c>
      <c r="S235" s="720">
        <v>29.55</v>
      </c>
      <c r="T235" s="720"/>
      <c r="U235" s="724">
        <v>671</v>
      </c>
      <c r="V235" s="724" t="str">
        <f t="shared" si="9"/>
        <v>0671</v>
      </c>
      <c r="W235" s="724">
        <v>112</v>
      </c>
      <c r="X235" s="720">
        <v>23.54</v>
      </c>
    </row>
    <row r="236" spans="16:24" ht="15" x14ac:dyDescent="0.25">
      <c r="P236" s="719">
        <v>671</v>
      </c>
      <c r="Q236" s="719" t="str">
        <f t="shared" si="8"/>
        <v>0671</v>
      </c>
      <c r="R236" s="719">
        <v>112</v>
      </c>
      <c r="S236" s="720">
        <v>22.52</v>
      </c>
      <c r="T236" s="720"/>
      <c r="U236" s="724">
        <v>671</v>
      </c>
      <c r="V236" s="724" t="str">
        <f t="shared" si="9"/>
        <v>0671</v>
      </c>
      <c r="W236" s="724">
        <v>130</v>
      </c>
      <c r="X236" s="720">
        <v>207.72</v>
      </c>
    </row>
    <row r="237" spans="16:24" ht="15" x14ac:dyDescent="0.25">
      <c r="P237" s="719">
        <v>671</v>
      </c>
      <c r="Q237" s="719" t="str">
        <f t="shared" si="8"/>
        <v>0671</v>
      </c>
      <c r="R237" s="719">
        <v>130</v>
      </c>
      <c r="S237" s="720">
        <v>214.19</v>
      </c>
      <c r="T237" s="720"/>
      <c r="U237" s="724">
        <v>671</v>
      </c>
      <c r="V237" s="724" t="str">
        <f t="shared" si="9"/>
        <v>0671</v>
      </c>
      <c r="W237" s="724">
        <v>254</v>
      </c>
      <c r="X237" s="720">
        <v>0.5</v>
      </c>
    </row>
    <row r="238" spans="16:24" ht="15" x14ac:dyDescent="0.25">
      <c r="P238" s="719">
        <v>671</v>
      </c>
      <c r="Q238" s="719" t="str">
        <f t="shared" si="8"/>
        <v>0671</v>
      </c>
      <c r="R238" s="719">
        <v>254</v>
      </c>
      <c r="S238" s="720">
        <v>0.5</v>
      </c>
      <c r="T238" s="720"/>
      <c r="U238" s="724">
        <v>681</v>
      </c>
      <c r="V238" s="724" t="str">
        <f t="shared" si="9"/>
        <v>0681</v>
      </c>
      <c r="W238" s="724">
        <v>101</v>
      </c>
      <c r="X238" s="720">
        <v>94.4</v>
      </c>
    </row>
    <row r="239" spans="16:24" ht="15" x14ac:dyDescent="0.25">
      <c r="P239" s="719">
        <v>681</v>
      </c>
      <c r="Q239" s="719" t="str">
        <f t="shared" si="8"/>
        <v>0681</v>
      </c>
      <c r="R239" s="719">
        <v>101</v>
      </c>
      <c r="S239" s="720">
        <v>92.74</v>
      </c>
      <c r="T239" s="720"/>
      <c r="U239" s="724">
        <v>681</v>
      </c>
      <c r="V239" s="724" t="str">
        <f t="shared" si="9"/>
        <v>0681</v>
      </c>
      <c r="W239" s="724">
        <v>102</v>
      </c>
      <c r="X239" s="720">
        <v>90.63</v>
      </c>
    </row>
    <row r="240" spans="16:24" ht="15" x14ac:dyDescent="0.25">
      <c r="P240" s="719">
        <v>681</v>
      </c>
      <c r="Q240" s="719" t="str">
        <f t="shared" si="8"/>
        <v>0681</v>
      </c>
      <c r="R240" s="719">
        <v>102</v>
      </c>
      <c r="S240" s="720">
        <v>92.8</v>
      </c>
      <c r="T240" s="720"/>
      <c r="U240" s="724">
        <v>681</v>
      </c>
      <c r="V240" s="724" t="str">
        <f t="shared" si="9"/>
        <v>0681</v>
      </c>
      <c r="W240" s="724">
        <v>111</v>
      </c>
      <c r="X240" s="720">
        <v>25.25</v>
      </c>
    </row>
    <row r="241" spans="16:24" ht="15" x14ac:dyDescent="0.25">
      <c r="P241" s="719">
        <v>681</v>
      </c>
      <c r="Q241" s="719" t="str">
        <f t="shared" si="8"/>
        <v>0681</v>
      </c>
      <c r="R241" s="719">
        <v>111</v>
      </c>
      <c r="S241" s="720">
        <v>22.43</v>
      </c>
      <c r="T241" s="720"/>
      <c r="U241" s="724">
        <v>681</v>
      </c>
      <c r="V241" s="724" t="str">
        <f t="shared" si="9"/>
        <v>0681</v>
      </c>
      <c r="W241" s="724">
        <v>112</v>
      </c>
      <c r="X241" s="720">
        <v>28.57</v>
      </c>
    </row>
    <row r="242" spans="16:24" ht="15" x14ac:dyDescent="0.25">
      <c r="P242" s="719">
        <v>681</v>
      </c>
      <c r="Q242" s="719" t="str">
        <f t="shared" si="8"/>
        <v>0681</v>
      </c>
      <c r="R242" s="719">
        <v>112</v>
      </c>
      <c r="S242" s="720">
        <v>28.9</v>
      </c>
      <c r="T242" s="720"/>
      <c r="U242" s="724">
        <v>681</v>
      </c>
      <c r="V242" s="724" t="str">
        <f t="shared" si="9"/>
        <v>0681</v>
      </c>
      <c r="W242" s="724">
        <v>130</v>
      </c>
      <c r="X242" s="720">
        <v>134.81</v>
      </c>
    </row>
    <row r="243" spans="16:24" ht="15" x14ac:dyDescent="0.25">
      <c r="P243" s="719">
        <v>681</v>
      </c>
      <c r="Q243" s="719" t="str">
        <f t="shared" si="8"/>
        <v>0681</v>
      </c>
      <c r="R243" s="719">
        <v>130</v>
      </c>
      <c r="S243" s="720">
        <v>137.16</v>
      </c>
      <c r="T243" s="720"/>
      <c r="U243" s="724">
        <v>681</v>
      </c>
      <c r="V243" s="724" t="str">
        <f t="shared" si="9"/>
        <v>0681</v>
      </c>
      <c r="W243" s="724">
        <v>254</v>
      </c>
      <c r="X243" s="720">
        <v>4</v>
      </c>
    </row>
    <row r="244" spans="16:24" ht="15" x14ac:dyDescent="0.25">
      <c r="P244" s="719">
        <v>681</v>
      </c>
      <c r="Q244" s="719" t="str">
        <f t="shared" si="8"/>
        <v>0681</v>
      </c>
      <c r="R244" s="719">
        <v>254</v>
      </c>
      <c r="S244" s="720">
        <v>3.5</v>
      </c>
      <c r="T244" s="720"/>
      <c r="U244" s="724">
        <v>681</v>
      </c>
      <c r="V244" s="724" t="str">
        <f t="shared" si="9"/>
        <v>0681</v>
      </c>
      <c r="W244" s="724">
        <v>255</v>
      </c>
      <c r="X244" s="720">
        <v>1</v>
      </c>
    </row>
    <row r="245" spans="16:24" ht="15" x14ac:dyDescent="0.25">
      <c r="P245" s="719">
        <v>681</v>
      </c>
      <c r="Q245" s="719" t="str">
        <f t="shared" si="8"/>
        <v>0681</v>
      </c>
      <c r="R245" s="719">
        <v>255</v>
      </c>
      <c r="S245" s="720">
        <v>1.56</v>
      </c>
      <c r="T245" s="720"/>
      <c r="U245" s="724">
        <v>691</v>
      </c>
      <c r="V245" s="724" t="str">
        <f t="shared" si="9"/>
        <v>0691</v>
      </c>
      <c r="W245" s="724">
        <v>103</v>
      </c>
      <c r="X245" s="720">
        <v>657.63</v>
      </c>
    </row>
    <row r="246" spans="16:24" ht="15" x14ac:dyDescent="0.25">
      <c r="P246" s="719">
        <v>691</v>
      </c>
      <c r="Q246" s="719" t="str">
        <f t="shared" si="8"/>
        <v>0691</v>
      </c>
      <c r="R246" s="719">
        <v>103</v>
      </c>
      <c r="S246" s="720">
        <v>674.06</v>
      </c>
      <c r="T246" s="720"/>
      <c r="U246" s="724">
        <v>691</v>
      </c>
      <c r="V246" s="724" t="str">
        <f t="shared" si="9"/>
        <v>0691</v>
      </c>
      <c r="W246" s="724">
        <v>113</v>
      </c>
      <c r="X246" s="720">
        <v>200.92</v>
      </c>
    </row>
    <row r="247" spans="16:24" ht="15" x14ac:dyDescent="0.25">
      <c r="P247" s="719">
        <v>691</v>
      </c>
      <c r="Q247" s="719" t="str">
        <f t="shared" si="8"/>
        <v>0691</v>
      </c>
      <c r="R247" s="719">
        <v>113</v>
      </c>
      <c r="S247" s="720">
        <v>212.64</v>
      </c>
      <c r="T247" s="720"/>
      <c r="U247" s="724">
        <v>691</v>
      </c>
      <c r="V247" s="724" t="str">
        <f t="shared" si="9"/>
        <v>0691</v>
      </c>
      <c r="W247" s="724">
        <v>130</v>
      </c>
      <c r="X247" s="720">
        <v>142.19</v>
      </c>
    </row>
    <row r="248" spans="16:24" ht="15" x14ac:dyDescent="0.25">
      <c r="P248" s="719">
        <v>691</v>
      </c>
      <c r="Q248" s="719" t="str">
        <f t="shared" si="8"/>
        <v>0691</v>
      </c>
      <c r="R248" s="719">
        <v>130</v>
      </c>
      <c r="S248" s="720">
        <v>175.27</v>
      </c>
      <c r="T248" s="720"/>
      <c r="U248" s="724">
        <v>691</v>
      </c>
      <c r="V248" s="724" t="str">
        <f t="shared" si="9"/>
        <v>0691</v>
      </c>
      <c r="W248" s="724">
        <v>254</v>
      </c>
      <c r="X248" s="720">
        <v>1</v>
      </c>
    </row>
    <row r="249" spans="16:24" ht="15" x14ac:dyDescent="0.25">
      <c r="P249" s="719">
        <v>691</v>
      </c>
      <c r="Q249" s="719" t="str">
        <f t="shared" si="8"/>
        <v>0691</v>
      </c>
      <c r="R249" s="719">
        <v>254</v>
      </c>
      <c r="S249" s="720">
        <v>1.5</v>
      </c>
      <c r="T249" s="720"/>
      <c r="U249" s="724">
        <v>691</v>
      </c>
      <c r="V249" s="724" t="str">
        <f t="shared" si="9"/>
        <v>0691</v>
      </c>
      <c r="W249" s="724">
        <v>300</v>
      </c>
      <c r="X249" s="720">
        <v>131.72999999999999</v>
      </c>
    </row>
    <row r="250" spans="16:24" ht="15" x14ac:dyDescent="0.25">
      <c r="P250" s="719">
        <v>691</v>
      </c>
      <c r="Q250" s="719" t="str">
        <f t="shared" si="8"/>
        <v>0691</v>
      </c>
      <c r="R250" s="719">
        <v>300</v>
      </c>
      <c r="S250" s="720">
        <v>138.97999999999999</v>
      </c>
      <c r="T250" s="720"/>
      <c r="U250" s="724">
        <v>741</v>
      </c>
      <c r="V250" s="724" t="str">
        <f t="shared" si="9"/>
        <v>0741</v>
      </c>
      <c r="W250" s="724">
        <v>101</v>
      </c>
      <c r="X250" s="720">
        <v>116.97</v>
      </c>
    </row>
    <row r="251" spans="16:24" ht="15" x14ac:dyDescent="0.25">
      <c r="P251" s="719">
        <v>741</v>
      </c>
      <c r="Q251" s="719" t="str">
        <f t="shared" si="8"/>
        <v>0741</v>
      </c>
      <c r="R251" s="719">
        <v>101</v>
      </c>
      <c r="S251" s="720">
        <v>124.21</v>
      </c>
      <c r="T251" s="720"/>
      <c r="U251" s="724">
        <v>741</v>
      </c>
      <c r="V251" s="724" t="str">
        <f t="shared" si="9"/>
        <v>0741</v>
      </c>
      <c r="W251" s="724">
        <v>102</v>
      </c>
      <c r="X251" s="720">
        <v>82.08</v>
      </c>
    </row>
    <row r="252" spans="16:24" ht="15" x14ac:dyDescent="0.25">
      <c r="P252" s="719">
        <v>741</v>
      </c>
      <c r="Q252" s="719" t="str">
        <f t="shared" si="8"/>
        <v>0741</v>
      </c>
      <c r="R252" s="719">
        <v>102</v>
      </c>
      <c r="S252" s="720">
        <v>86.4</v>
      </c>
      <c r="T252" s="720"/>
      <c r="U252" s="724">
        <v>741</v>
      </c>
      <c r="V252" s="724" t="str">
        <f t="shared" si="9"/>
        <v>0741</v>
      </c>
      <c r="W252" s="724">
        <v>111</v>
      </c>
      <c r="X252" s="720">
        <v>33.39</v>
      </c>
    </row>
    <row r="253" spans="16:24" ht="15" x14ac:dyDescent="0.25">
      <c r="P253" s="719">
        <v>741</v>
      </c>
      <c r="Q253" s="719" t="str">
        <f t="shared" si="8"/>
        <v>0741</v>
      </c>
      <c r="R253" s="719">
        <v>111</v>
      </c>
      <c r="S253" s="720">
        <v>29.75</v>
      </c>
      <c r="T253" s="720"/>
      <c r="U253" s="724">
        <v>741</v>
      </c>
      <c r="V253" s="724" t="str">
        <f t="shared" si="9"/>
        <v>0741</v>
      </c>
      <c r="W253" s="724">
        <v>112</v>
      </c>
      <c r="X253" s="720">
        <v>14</v>
      </c>
    </row>
    <row r="254" spans="16:24" ht="15" x14ac:dyDescent="0.25">
      <c r="P254" s="719">
        <v>741</v>
      </c>
      <c r="Q254" s="719" t="str">
        <f t="shared" si="8"/>
        <v>0741</v>
      </c>
      <c r="R254" s="719">
        <v>112</v>
      </c>
      <c r="S254" s="720">
        <v>15.51</v>
      </c>
      <c r="T254" s="720"/>
      <c r="U254" s="724">
        <v>741</v>
      </c>
      <c r="V254" s="724" t="str">
        <f t="shared" si="9"/>
        <v>0741</v>
      </c>
      <c r="W254" s="724">
        <v>130</v>
      </c>
      <c r="X254" s="720">
        <v>278.95</v>
      </c>
    </row>
    <row r="255" spans="16:24" ht="15" x14ac:dyDescent="0.25">
      <c r="P255" s="719">
        <v>741</v>
      </c>
      <c r="Q255" s="719" t="str">
        <f t="shared" si="8"/>
        <v>0741</v>
      </c>
      <c r="R255" s="719">
        <v>130</v>
      </c>
      <c r="S255" s="720">
        <v>288.58999999999997</v>
      </c>
      <c r="T255" s="720"/>
      <c r="U255" s="724">
        <v>741</v>
      </c>
      <c r="V255" s="724" t="str">
        <f t="shared" si="9"/>
        <v>0741</v>
      </c>
      <c r="W255" s="724">
        <v>254</v>
      </c>
      <c r="X255" s="720">
        <v>0.25</v>
      </c>
    </row>
    <row r="256" spans="16:24" ht="15" x14ac:dyDescent="0.25">
      <c r="P256" s="719">
        <v>741</v>
      </c>
      <c r="Q256" s="719" t="str">
        <f t="shared" si="8"/>
        <v>0741</v>
      </c>
      <c r="R256" s="719">
        <v>254</v>
      </c>
      <c r="S256" s="720">
        <v>0.25</v>
      </c>
      <c r="T256" s="720"/>
      <c r="U256" s="724">
        <v>751</v>
      </c>
      <c r="V256" s="724" t="str">
        <f t="shared" si="9"/>
        <v>0751</v>
      </c>
      <c r="W256" s="724">
        <v>101</v>
      </c>
      <c r="X256" s="720">
        <v>70.36</v>
      </c>
    </row>
    <row r="257" spans="16:24" ht="15" x14ac:dyDescent="0.25">
      <c r="P257" s="719">
        <v>751</v>
      </c>
      <c r="Q257" s="719" t="str">
        <f t="shared" si="8"/>
        <v>0751</v>
      </c>
      <c r="R257" s="719">
        <v>101</v>
      </c>
      <c r="S257" s="720">
        <v>68.23</v>
      </c>
      <c r="T257" s="720"/>
      <c r="U257" s="724">
        <v>751</v>
      </c>
      <c r="V257" s="724" t="str">
        <f t="shared" si="9"/>
        <v>0751</v>
      </c>
      <c r="W257" s="724">
        <v>102</v>
      </c>
      <c r="X257" s="720">
        <v>35.119999999999997</v>
      </c>
    </row>
    <row r="258" spans="16:24" ht="15" x14ac:dyDescent="0.25">
      <c r="P258" s="719">
        <v>751</v>
      </c>
      <c r="Q258" s="719" t="str">
        <f t="shared" si="8"/>
        <v>0751</v>
      </c>
      <c r="R258" s="719">
        <v>102</v>
      </c>
      <c r="S258" s="720">
        <v>34.64</v>
      </c>
      <c r="T258" s="720"/>
      <c r="U258" s="724">
        <v>751</v>
      </c>
      <c r="V258" s="724" t="str">
        <f t="shared" si="9"/>
        <v>0751</v>
      </c>
      <c r="W258" s="724">
        <v>111</v>
      </c>
      <c r="X258" s="720">
        <v>62.71</v>
      </c>
    </row>
    <row r="259" spans="16:24" ht="15" x14ac:dyDescent="0.25">
      <c r="P259" s="719">
        <v>751</v>
      </c>
      <c r="Q259" s="719" t="str">
        <f t="shared" ref="Q259:Q322" si="20">TEXT(P259,"0000")</f>
        <v>0751</v>
      </c>
      <c r="R259" s="719">
        <v>111</v>
      </c>
      <c r="S259" s="720">
        <v>62.8</v>
      </c>
      <c r="T259" s="720"/>
      <c r="U259" s="724">
        <v>751</v>
      </c>
      <c r="V259" s="724" t="str">
        <f t="shared" si="9"/>
        <v>0751</v>
      </c>
      <c r="W259" s="724">
        <v>112</v>
      </c>
      <c r="X259" s="720">
        <v>26.05</v>
      </c>
    </row>
    <row r="260" spans="16:24" ht="15" x14ac:dyDescent="0.25">
      <c r="P260" s="719">
        <v>751</v>
      </c>
      <c r="Q260" s="719" t="str">
        <f t="shared" si="20"/>
        <v>0751</v>
      </c>
      <c r="R260" s="719">
        <v>112</v>
      </c>
      <c r="S260" s="720">
        <v>24.99</v>
      </c>
      <c r="T260" s="720"/>
      <c r="U260" s="724">
        <v>751</v>
      </c>
      <c r="V260" s="724" t="str">
        <f t="shared" ref="V260:V323" si="21">TEXT(U260,"0000")</f>
        <v>0751</v>
      </c>
      <c r="W260" s="724">
        <v>130</v>
      </c>
      <c r="X260" s="720">
        <v>56.83</v>
      </c>
    </row>
    <row r="261" spans="16:24" ht="15" x14ac:dyDescent="0.25">
      <c r="P261" s="719">
        <v>751</v>
      </c>
      <c r="Q261" s="719" t="str">
        <f t="shared" si="20"/>
        <v>0751</v>
      </c>
      <c r="R261" s="719">
        <v>130</v>
      </c>
      <c r="S261" s="720">
        <v>58.37</v>
      </c>
      <c r="T261" s="720"/>
      <c r="U261" s="724">
        <v>751</v>
      </c>
      <c r="V261" s="724" t="str">
        <f t="shared" si="21"/>
        <v>0751</v>
      </c>
      <c r="W261" s="724">
        <v>254</v>
      </c>
      <c r="X261" s="720">
        <v>1.5</v>
      </c>
    </row>
    <row r="262" spans="16:24" ht="15" x14ac:dyDescent="0.25">
      <c r="P262" s="719">
        <v>751</v>
      </c>
      <c r="Q262" s="719" t="str">
        <f t="shared" si="20"/>
        <v>0751</v>
      </c>
      <c r="R262" s="719">
        <v>254</v>
      </c>
      <c r="S262" s="720">
        <v>1.5</v>
      </c>
      <c r="T262" s="720"/>
      <c r="U262" s="724">
        <v>761</v>
      </c>
      <c r="V262" s="724" t="str">
        <f t="shared" si="21"/>
        <v>0761</v>
      </c>
      <c r="W262" s="724">
        <v>102</v>
      </c>
      <c r="X262" s="720">
        <v>233.26</v>
      </c>
    </row>
    <row r="263" spans="16:24" ht="15" x14ac:dyDescent="0.25">
      <c r="P263" s="719">
        <v>761</v>
      </c>
      <c r="Q263" s="719" t="str">
        <f t="shared" si="20"/>
        <v>0761</v>
      </c>
      <c r="R263" s="719">
        <v>102</v>
      </c>
      <c r="S263" s="720">
        <v>234</v>
      </c>
      <c r="T263" s="720"/>
      <c r="U263" s="724">
        <v>761</v>
      </c>
      <c r="V263" s="724" t="str">
        <f t="shared" si="21"/>
        <v>0761</v>
      </c>
      <c r="W263" s="724">
        <v>112</v>
      </c>
      <c r="X263" s="720">
        <v>91.21</v>
      </c>
    </row>
    <row r="264" spans="16:24" ht="15" x14ac:dyDescent="0.25">
      <c r="P264" s="719">
        <v>761</v>
      </c>
      <c r="Q264" s="719" t="str">
        <f t="shared" si="20"/>
        <v>0761</v>
      </c>
      <c r="R264" s="719">
        <v>112</v>
      </c>
      <c r="S264" s="720">
        <v>90.48</v>
      </c>
      <c r="T264" s="720"/>
      <c r="U264" s="724">
        <v>761</v>
      </c>
      <c r="V264" s="724" t="str">
        <f t="shared" si="21"/>
        <v>0761</v>
      </c>
      <c r="W264" s="724">
        <v>130</v>
      </c>
      <c r="X264" s="720">
        <v>35.4</v>
      </c>
    </row>
    <row r="265" spans="16:24" ht="15" x14ac:dyDescent="0.25">
      <c r="P265" s="719">
        <v>761</v>
      </c>
      <c r="Q265" s="719" t="str">
        <f t="shared" si="20"/>
        <v>0761</v>
      </c>
      <c r="R265" s="719">
        <v>130</v>
      </c>
      <c r="S265" s="720">
        <v>39.04</v>
      </c>
      <c r="T265" s="720"/>
      <c r="U265" s="724">
        <v>761</v>
      </c>
      <c r="V265" s="724" t="str">
        <f t="shared" si="21"/>
        <v>0761</v>
      </c>
      <c r="W265" s="724">
        <v>254</v>
      </c>
      <c r="X265" s="720">
        <v>0.5</v>
      </c>
    </row>
    <row r="266" spans="16:24" ht="15" x14ac:dyDescent="0.25">
      <c r="P266" s="719">
        <v>761</v>
      </c>
      <c r="Q266" s="719" t="str">
        <f t="shared" si="20"/>
        <v>0761</v>
      </c>
      <c r="R266" s="719">
        <v>254</v>
      </c>
      <c r="S266" s="720">
        <v>0.5</v>
      </c>
      <c r="T266" s="720"/>
      <c r="U266" s="724">
        <v>771</v>
      </c>
      <c r="V266" s="724" t="str">
        <f t="shared" si="21"/>
        <v>0771</v>
      </c>
      <c r="W266" s="724">
        <v>101</v>
      </c>
      <c r="X266" s="720">
        <v>95.1</v>
      </c>
    </row>
    <row r="267" spans="16:24" ht="15" x14ac:dyDescent="0.25">
      <c r="P267" s="719">
        <v>771</v>
      </c>
      <c r="Q267" s="719" t="str">
        <f t="shared" si="20"/>
        <v>0771</v>
      </c>
      <c r="R267" s="719">
        <v>101</v>
      </c>
      <c r="S267" s="720">
        <v>96.32</v>
      </c>
      <c r="T267" s="720"/>
      <c r="U267" s="724">
        <v>771</v>
      </c>
      <c r="V267" s="724" t="str">
        <f t="shared" si="21"/>
        <v>0771</v>
      </c>
      <c r="W267" s="724">
        <v>102</v>
      </c>
      <c r="X267" s="720">
        <v>54.59</v>
      </c>
    </row>
    <row r="268" spans="16:24" ht="15" x14ac:dyDescent="0.25">
      <c r="P268" s="719">
        <v>771</v>
      </c>
      <c r="Q268" s="719" t="str">
        <f t="shared" si="20"/>
        <v>0771</v>
      </c>
      <c r="R268" s="719">
        <v>102</v>
      </c>
      <c r="S268" s="720">
        <v>53.42</v>
      </c>
      <c r="T268" s="720"/>
      <c r="U268" s="724">
        <v>771</v>
      </c>
      <c r="V268" s="724" t="str">
        <f t="shared" si="21"/>
        <v>0771</v>
      </c>
      <c r="W268" s="724">
        <v>111</v>
      </c>
      <c r="X268" s="720">
        <v>69.53</v>
      </c>
    </row>
    <row r="269" spans="16:24" ht="15" x14ac:dyDescent="0.25">
      <c r="P269" s="719">
        <v>771</v>
      </c>
      <c r="Q269" s="719" t="str">
        <f t="shared" si="20"/>
        <v>0771</v>
      </c>
      <c r="R269" s="719">
        <v>111</v>
      </c>
      <c r="S269" s="720">
        <v>64.69</v>
      </c>
      <c r="T269" s="720"/>
      <c r="U269" s="724">
        <v>771</v>
      </c>
      <c r="V269" s="724" t="str">
        <f t="shared" si="21"/>
        <v>0771</v>
      </c>
      <c r="W269" s="724">
        <v>112</v>
      </c>
      <c r="X269" s="720">
        <v>24.51</v>
      </c>
    </row>
    <row r="270" spans="16:24" ht="15" x14ac:dyDescent="0.25">
      <c r="P270" s="719">
        <v>771</v>
      </c>
      <c r="Q270" s="719" t="str">
        <f t="shared" si="20"/>
        <v>0771</v>
      </c>
      <c r="R270" s="719">
        <v>112</v>
      </c>
      <c r="S270" s="720">
        <v>22.01</v>
      </c>
      <c r="T270" s="720"/>
      <c r="U270" s="724">
        <v>771</v>
      </c>
      <c r="V270" s="724" t="str">
        <f t="shared" si="21"/>
        <v>0771</v>
      </c>
      <c r="W270" s="724">
        <v>130</v>
      </c>
      <c r="X270" s="720">
        <v>101.62</v>
      </c>
    </row>
    <row r="271" spans="16:24" ht="15" x14ac:dyDescent="0.25">
      <c r="P271" s="719">
        <v>771</v>
      </c>
      <c r="Q271" s="719" t="str">
        <f t="shared" si="20"/>
        <v>0771</v>
      </c>
      <c r="R271" s="719">
        <v>130</v>
      </c>
      <c r="S271" s="720">
        <v>110.23</v>
      </c>
      <c r="T271" s="720"/>
      <c r="U271" s="724">
        <v>771</v>
      </c>
      <c r="V271" s="724" t="str">
        <f t="shared" si="21"/>
        <v>0771</v>
      </c>
      <c r="W271" s="724">
        <v>254</v>
      </c>
      <c r="X271" s="720">
        <v>3</v>
      </c>
    </row>
    <row r="272" spans="16:24" ht="15" x14ac:dyDescent="0.25">
      <c r="P272" s="719">
        <v>771</v>
      </c>
      <c r="Q272" s="719" t="str">
        <f t="shared" si="20"/>
        <v>0771</v>
      </c>
      <c r="R272" s="719">
        <v>254</v>
      </c>
      <c r="S272" s="720">
        <v>2.75</v>
      </c>
      <c r="T272" s="720"/>
      <c r="U272" s="724">
        <v>781</v>
      </c>
      <c r="V272" s="724" t="str">
        <f t="shared" si="21"/>
        <v>0781</v>
      </c>
      <c r="W272" s="724">
        <v>101</v>
      </c>
      <c r="X272" s="720">
        <v>87.33</v>
      </c>
    </row>
    <row r="273" spans="16:24" ht="15" x14ac:dyDescent="0.25">
      <c r="P273" s="719">
        <v>781</v>
      </c>
      <c r="Q273" s="719" t="str">
        <f t="shared" si="20"/>
        <v>0781</v>
      </c>
      <c r="R273" s="719">
        <v>101</v>
      </c>
      <c r="S273" s="720">
        <v>85.88</v>
      </c>
      <c r="T273" s="720"/>
      <c r="U273" s="724">
        <v>781</v>
      </c>
      <c r="V273" s="724" t="str">
        <f t="shared" si="21"/>
        <v>0781</v>
      </c>
      <c r="W273" s="724">
        <v>102</v>
      </c>
      <c r="X273" s="720">
        <v>40.630000000000003</v>
      </c>
    </row>
    <row r="274" spans="16:24" ht="15" x14ac:dyDescent="0.25">
      <c r="P274" s="719">
        <v>781</v>
      </c>
      <c r="Q274" s="719" t="str">
        <f t="shared" si="20"/>
        <v>0781</v>
      </c>
      <c r="R274" s="719">
        <v>102</v>
      </c>
      <c r="S274" s="720">
        <v>39.549999999999997</v>
      </c>
      <c r="T274" s="720"/>
      <c r="U274" s="724">
        <v>781</v>
      </c>
      <c r="V274" s="724" t="str">
        <f t="shared" si="21"/>
        <v>0781</v>
      </c>
      <c r="W274" s="724">
        <v>111</v>
      </c>
      <c r="X274" s="720">
        <v>29.16</v>
      </c>
    </row>
    <row r="275" spans="16:24" ht="15" x14ac:dyDescent="0.25">
      <c r="P275" s="719">
        <v>781</v>
      </c>
      <c r="Q275" s="719" t="str">
        <f t="shared" si="20"/>
        <v>0781</v>
      </c>
      <c r="R275" s="719">
        <v>111</v>
      </c>
      <c r="S275" s="720">
        <v>29.6</v>
      </c>
      <c r="T275" s="720"/>
      <c r="U275" s="724">
        <v>781</v>
      </c>
      <c r="V275" s="724" t="str">
        <f t="shared" si="21"/>
        <v>0781</v>
      </c>
      <c r="W275" s="724">
        <v>112</v>
      </c>
      <c r="X275" s="720">
        <v>25.03</v>
      </c>
    </row>
    <row r="276" spans="16:24" ht="15" x14ac:dyDescent="0.25">
      <c r="P276" s="719">
        <v>781</v>
      </c>
      <c r="Q276" s="719" t="str">
        <f t="shared" si="20"/>
        <v>0781</v>
      </c>
      <c r="R276" s="719">
        <v>112</v>
      </c>
      <c r="S276" s="720">
        <v>24.99</v>
      </c>
      <c r="T276" s="720"/>
      <c r="U276" s="724">
        <v>781</v>
      </c>
      <c r="V276" s="724" t="str">
        <f t="shared" si="21"/>
        <v>0781</v>
      </c>
      <c r="W276" s="724">
        <v>130</v>
      </c>
      <c r="X276" s="720">
        <v>88.75</v>
      </c>
    </row>
    <row r="277" spans="16:24" ht="15" x14ac:dyDescent="0.25">
      <c r="P277" s="719">
        <v>781</v>
      </c>
      <c r="Q277" s="719" t="str">
        <f t="shared" si="20"/>
        <v>0781</v>
      </c>
      <c r="R277" s="719">
        <v>130</v>
      </c>
      <c r="S277" s="720">
        <v>91.7</v>
      </c>
      <c r="T277" s="720"/>
      <c r="U277" s="724">
        <v>781</v>
      </c>
      <c r="V277" s="724" t="str">
        <f t="shared" si="21"/>
        <v>0781</v>
      </c>
      <c r="W277" s="724">
        <v>254</v>
      </c>
      <c r="X277" s="720">
        <v>3</v>
      </c>
    </row>
    <row r="278" spans="16:24" ht="15" x14ac:dyDescent="0.25">
      <c r="P278" s="719">
        <v>781</v>
      </c>
      <c r="Q278" s="719" t="str">
        <f t="shared" si="20"/>
        <v>0781</v>
      </c>
      <c r="R278" s="719">
        <v>254</v>
      </c>
      <c r="S278" s="720">
        <v>3</v>
      </c>
      <c r="T278" s="720"/>
      <c r="U278" s="724">
        <v>781</v>
      </c>
      <c r="V278" s="724" t="str">
        <f t="shared" si="21"/>
        <v>0781</v>
      </c>
      <c r="W278" s="724">
        <v>255</v>
      </c>
      <c r="X278" s="720">
        <v>0.5</v>
      </c>
    </row>
    <row r="279" spans="16:24" ht="15" x14ac:dyDescent="0.25">
      <c r="P279" s="719">
        <v>781</v>
      </c>
      <c r="Q279" s="719" t="str">
        <f t="shared" si="20"/>
        <v>0781</v>
      </c>
      <c r="R279" s="719">
        <v>255</v>
      </c>
      <c r="S279" s="720">
        <v>0</v>
      </c>
      <c r="T279" s="720"/>
      <c r="U279" s="724">
        <v>791</v>
      </c>
      <c r="V279" s="724" t="str">
        <f t="shared" si="21"/>
        <v>0791</v>
      </c>
      <c r="W279" s="724">
        <v>101</v>
      </c>
      <c r="X279" s="720">
        <v>87.67</v>
      </c>
    </row>
    <row r="280" spans="16:24" ht="15" x14ac:dyDescent="0.25">
      <c r="P280" s="719">
        <v>791</v>
      </c>
      <c r="Q280" s="719" t="str">
        <f t="shared" si="20"/>
        <v>0791</v>
      </c>
      <c r="R280" s="719">
        <v>101</v>
      </c>
      <c r="S280" s="720">
        <v>91.69</v>
      </c>
      <c r="T280" s="720"/>
      <c r="U280" s="724">
        <v>791</v>
      </c>
      <c r="V280" s="724" t="str">
        <f t="shared" si="21"/>
        <v>0791</v>
      </c>
      <c r="W280" s="724">
        <v>102</v>
      </c>
      <c r="X280" s="720">
        <v>40.68</v>
      </c>
    </row>
    <row r="281" spans="16:24" ht="15" x14ac:dyDescent="0.25">
      <c r="P281" s="719">
        <v>791</v>
      </c>
      <c r="Q281" s="719" t="str">
        <f t="shared" si="20"/>
        <v>0791</v>
      </c>
      <c r="R281" s="719">
        <v>102</v>
      </c>
      <c r="S281" s="720">
        <v>42.27</v>
      </c>
      <c r="T281" s="720"/>
      <c r="U281" s="724">
        <v>791</v>
      </c>
      <c r="V281" s="724" t="str">
        <f t="shared" si="21"/>
        <v>0791</v>
      </c>
      <c r="W281" s="724">
        <v>111</v>
      </c>
      <c r="X281" s="720">
        <v>19.5</v>
      </c>
    </row>
    <row r="282" spans="16:24" ht="15" x14ac:dyDescent="0.25">
      <c r="P282" s="719">
        <v>791</v>
      </c>
      <c r="Q282" s="719" t="str">
        <f t="shared" si="20"/>
        <v>0791</v>
      </c>
      <c r="R282" s="719">
        <v>111</v>
      </c>
      <c r="S282" s="720">
        <v>18</v>
      </c>
      <c r="T282" s="720"/>
      <c r="U282" s="724">
        <v>791</v>
      </c>
      <c r="V282" s="724" t="str">
        <f t="shared" si="21"/>
        <v>0791</v>
      </c>
      <c r="W282" s="724">
        <v>112</v>
      </c>
      <c r="X282" s="720">
        <v>26</v>
      </c>
    </row>
    <row r="283" spans="16:24" ht="15" x14ac:dyDescent="0.25">
      <c r="P283" s="719">
        <v>791</v>
      </c>
      <c r="Q283" s="719" t="str">
        <f t="shared" si="20"/>
        <v>0791</v>
      </c>
      <c r="R283" s="719">
        <v>112</v>
      </c>
      <c r="S283" s="720">
        <v>24</v>
      </c>
      <c r="T283" s="720"/>
      <c r="U283" s="724">
        <v>791</v>
      </c>
      <c r="V283" s="724" t="str">
        <f t="shared" si="21"/>
        <v>0791</v>
      </c>
      <c r="W283" s="724">
        <v>130</v>
      </c>
      <c r="X283" s="720">
        <v>17.64</v>
      </c>
    </row>
    <row r="284" spans="16:24" ht="15" x14ac:dyDescent="0.25">
      <c r="P284" s="719">
        <v>791</v>
      </c>
      <c r="Q284" s="719" t="str">
        <f t="shared" si="20"/>
        <v>0791</v>
      </c>
      <c r="R284" s="719">
        <v>130</v>
      </c>
      <c r="S284" s="720">
        <v>18.46</v>
      </c>
      <c r="T284" s="720"/>
      <c r="U284" s="724">
        <v>791</v>
      </c>
      <c r="V284" s="724" t="str">
        <f t="shared" si="21"/>
        <v>0791</v>
      </c>
      <c r="W284" s="724">
        <v>254</v>
      </c>
      <c r="X284" s="720">
        <v>0.5</v>
      </c>
    </row>
    <row r="285" spans="16:24" ht="15" x14ac:dyDescent="0.25">
      <c r="P285" s="719">
        <v>791</v>
      </c>
      <c r="Q285" s="719" t="str">
        <f t="shared" si="20"/>
        <v>0791</v>
      </c>
      <c r="R285" s="719">
        <v>254</v>
      </c>
      <c r="S285" s="720">
        <v>0.5</v>
      </c>
      <c r="T285" s="720"/>
      <c r="U285" s="724">
        <v>821</v>
      </c>
      <c r="V285" s="724" t="str">
        <f t="shared" si="21"/>
        <v>0821</v>
      </c>
      <c r="W285" s="724">
        <v>101</v>
      </c>
      <c r="X285" s="720">
        <v>103.88</v>
      </c>
    </row>
    <row r="286" spans="16:24" ht="15" x14ac:dyDescent="0.25">
      <c r="P286" s="719">
        <v>821</v>
      </c>
      <c r="Q286" s="719" t="str">
        <f t="shared" si="20"/>
        <v>0821</v>
      </c>
      <c r="R286" s="719">
        <v>101</v>
      </c>
      <c r="S286" s="720">
        <v>104.8</v>
      </c>
      <c r="T286" s="720"/>
      <c r="U286" s="724">
        <v>821</v>
      </c>
      <c r="V286" s="724" t="str">
        <f t="shared" si="21"/>
        <v>0821</v>
      </c>
      <c r="W286" s="724">
        <v>102</v>
      </c>
      <c r="X286" s="720">
        <v>46.07</v>
      </c>
    </row>
    <row r="287" spans="16:24" ht="15" x14ac:dyDescent="0.25">
      <c r="P287" s="719">
        <v>821</v>
      </c>
      <c r="Q287" s="719" t="str">
        <f t="shared" si="20"/>
        <v>0821</v>
      </c>
      <c r="R287" s="719">
        <v>102</v>
      </c>
      <c r="S287" s="720">
        <v>47.08</v>
      </c>
      <c r="T287" s="720"/>
      <c r="U287" s="724">
        <v>821</v>
      </c>
      <c r="V287" s="724" t="str">
        <f t="shared" si="21"/>
        <v>0821</v>
      </c>
      <c r="W287" s="724">
        <v>111</v>
      </c>
      <c r="X287" s="720">
        <v>27.01</v>
      </c>
    </row>
    <row r="288" spans="16:24" ht="15" x14ac:dyDescent="0.25">
      <c r="P288" s="719">
        <v>821</v>
      </c>
      <c r="Q288" s="719" t="str">
        <f t="shared" si="20"/>
        <v>0821</v>
      </c>
      <c r="R288" s="719">
        <v>111</v>
      </c>
      <c r="S288" s="720">
        <v>25.55</v>
      </c>
      <c r="T288" s="720"/>
      <c r="U288" s="724">
        <v>821</v>
      </c>
      <c r="V288" s="724" t="str">
        <f t="shared" si="21"/>
        <v>0821</v>
      </c>
      <c r="W288" s="724">
        <v>112</v>
      </c>
      <c r="X288" s="720">
        <v>19</v>
      </c>
    </row>
    <row r="289" spans="16:24" ht="15" x14ac:dyDescent="0.25">
      <c r="P289" s="719">
        <v>821</v>
      </c>
      <c r="Q289" s="719" t="str">
        <f t="shared" si="20"/>
        <v>0821</v>
      </c>
      <c r="R289" s="719">
        <v>112</v>
      </c>
      <c r="S289" s="720">
        <v>19.96</v>
      </c>
      <c r="T289" s="720"/>
      <c r="U289" s="724">
        <v>821</v>
      </c>
      <c r="V289" s="724" t="str">
        <f t="shared" si="21"/>
        <v>0821</v>
      </c>
      <c r="W289" s="724">
        <v>130</v>
      </c>
      <c r="X289" s="720">
        <v>52.5</v>
      </c>
    </row>
    <row r="290" spans="16:24" ht="15" x14ac:dyDescent="0.25">
      <c r="P290" s="719">
        <v>821</v>
      </c>
      <c r="Q290" s="719" t="str">
        <f t="shared" si="20"/>
        <v>0821</v>
      </c>
      <c r="R290" s="719">
        <v>130</v>
      </c>
      <c r="S290" s="720">
        <v>54.01</v>
      </c>
      <c r="T290" s="720"/>
      <c r="U290" s="724">
        <v>831</v>
      </c>
      <c r="V290" s="724" t="str">
        <f t="shared" si="21"/>
        <v>0831</v>
      </c>
      <c r="W290" s="724">
        <v>101</v>
      </c>
      <c r="X290" s="720">
        <v>75.78</v>
      </c>
    </row>
    <row r="291" spans="16:24" ht="15" x14ac:dyDescent="0.25">
      <c r="P291" s="719">
        <v>831</v>
      </c>
      <c r="Q291" s="719" t="str">
        <f t="shared" si="20"/>
        <v>0831</v>
      </c>
      <c r="R291" s="719">
        <v>101</v>
      </c>
      <c r="S291" s="720">
        <v>81.489999999999995</v>
      </c>
      <c r="T291" s="720"/>
      <c r="U291" s="724">
        <v>831</v>
      </c>
      <c r="V291" s="724" t="str">
        <f t="shared" si="21"/>
        <v>0831</v>
      </c>
      <c r="W291" s="724">
        <v>102</v>
      </c>
      <c r="X291" s="720">
        <v>36.24</v>
      </c>
    </row>
    <row r="292" spans="16:24" ht="15" x14ac:dyDescent="0.25">
      <c r="P292" s="719">
        <v>831</v>
      </c>
      <c r="Q292" s="719" t="str">
        <f t="shared" si="20"/>
        <v>0831</v>
      </c>
      <c r="R292" s="719">
        <v>102</v>
      </c>
      <c r="S292" s="720">
        <v>36.32</v>
      </c>
      <c r="T292" s="720"/>
      <c r="U292" s="724">
        <v>831</v>
      </c>
      <c r="V292" s="724" t="str">
        <f t="shared" si="21"/>
        <v>0831</v>
      </c>
      <c r="W292" s="724">
        <v>111</v>
      </c>
      <c r="X292" s="720">
        <v>44.02</v>
      </c>
    </row>
    <row r="293" spans="16:24" ht="15" x14ac:dyDescent="0.25">
      <c r="P293" s="719">
        <v>831</v>
      </c>
      <c r="Q293" s="719" t="str">
        <f t="shared" si="20"/>
        <v>0831</v>
      </c>
      <c r="R293" s="719">
        <v>111</v>
      </c>
      <c r="S293" s="720">
        <v>42.52</v>
      </c>
      <c r="T293" s="720"/>
      <c r="U293" s="724">
        <v>831</v>
      </c>
      <c r="V293" s="724" t="str">
        <f t="shared" si="21"/>
        <v>0831</v>
      </c>
      <c r="W293" s="724">
        <v>112</v>
      </c>
      <c r="X293" s="720">
        <v>14</v>
      </c>
    </row>
    <row r="294" spans="16:24" ht="15" x14ac:dyDescent="0.25">
      <c r="P294" s="719">
        <v>831</v>
      </c>
      <c r="Q294" s="719" t="str">
        <f t="shared" si="20"/>
        <v>0831</v>
      </c>
      <c r="R294" s="719">
        <v>112</v>
      </c>
      <c r="S294" s="720">
        <v>14.54</v>
      </c>
      <c r="T294" s="720"/>
      <c r="U294" s="724">
        <v>831</v>
      </c>
      <c r="V294" s="724" t="str">
        <f t="shared" si="21"/>
        <v>0831</v>
      </c>
      <c r="W294" s="724">
        <v>130</v>
      </c>
      <c r="X294" s="720">
        <v>84.92</v>
      </c>
    </row>
    <row r="295" spans="16:24" ht="15" x14ac:dyDescent="0.25">
      <c r="P295" s="719">
        <v>831</v>
      </c>
      <c r="Q295" s="719" t="str">
        <f t="shared" si="20"/>
        <v>0831</v>
      </c>
      <c r="R295" s="719">
        <v>130</v>
      </c>
      <c r="S295" s="720">
        <v>81.66</v>
      </c>
      <c r="T295" s="720"/>
      <c r="U295" s="724">
        <v>831</v>
      </c>
      <c r="V295" s="724" t="str">
        <f t="shared" si="21"/>
        <v>0831</v>
      </c>
      <c r="W295" s="724">
        <v>254</v>
      </c>
      <c r="X295" s="720">
        <v>0.5</v>
      </c>
    </row>
    <row r="296" spans="16:24" ht="15" x14ac:dyDescent="0.25">
      <c r="P296" s="719">
        <v>831</v>
      </c>
      <c r="Q296" s="719" t="str">
        <f t="shared" si="20"/>
        <v>0831</v>
      </c>
      <c r="R296" s="719">
        <v>254</v>
      </c>
      <c r="S296" s="720">
        <v>0</v>
      </c>
      <c r="T296" s="720"/>
      <c r="U296" s="724">
        <v>842</v>
      </c>
      <c r="V296" s="724" t="str">
        <f t="shared" si="21"/>
        <v>0842</v>
      </c>
      <c r="W296" s="724">
        <v>102</v>
      </c>
      <c r="X296" s="720">
        <v>5.52</v>
      </c>
    </row>
    <row r="297" spans="16:24" ht="15" x14ac:dyDescent="0.25">
      <c r="P297" s="719">
        <v>842</v>
      </c>
      <c r="Q297" s="719" t="str">
        <f t="shared" si="20"/>
        <v>0842</v>
      </c>
      <c r="R297" s="719">
        <v>102</v>
      </c>
      <c r="S297" s="720">
        <v>3.11</v>
      </c>
      <c r="T297" s="720"/>
      <c r="U297" s="724">
        <v>842</v>
      </c>
      <c r="V297" s="724" t="str">
        <f t="shared" si="21"/>
        <v>0842</v>
      </c>
      <c r="W297" s="724">
        <v>103</v>
      </c>
      <c r="X297" s="720">
        <v>24.23</v>
      </c>
    </row>
    <row r="298" spans="16:24" ht="15" x14ac:dyDescent="0.25">
      <c r="P298" s="719">
        <v>842</v>
      </c>
      <c r="Q298" s="719" t="str">
        <f t="shared" si="20"/>
        <v>0842</v>
      </c>
      <c r="R298" s="719">
        <v>103</v>
      </c>
      <c r="S298" s="720">
        <v>32.630000000000003</v>
      </c>
      <c r="T298" s="720"/>
      <c r="U298" s="724">
        <v>842</v>
      </c>
      <c r="V298" s="724" t="str">
        <f t="shared" si="21"/>
        <v>0842</v>
      </c>
      <c r="W298" s="724">
        <v>112</v>
      </c>
      <c r="X298" s="720">
        <v>6.99</v>
      </c>
    </row>
    <row r="299" spans="16:24" ht="15" x14ac:dyDescent="0.25">
      <c r="P299" s="719">
        <v>842</v>
      </c>
      <c r="Q299" s="719" t="str">
        <f t="shared" si="20"/>
        <v>0842</v>
      </c>
      <c r="R299" s="719">
        <v>112</v>
      </c>
      <c r="S299" s="720">
        <v>4.38</v>
      </c>
      <c r="T299" s="720"/>
      <c r="U299" s="724">
        <v>842</v>
      </c>
      <c r="V299" s="724" t="str">
        <f t="shared" si="21"/>
        <v>0842</v>
      </c>
      <c r="W299" s="724">
        <v>113</v>
      </c>
      <c r="X299" s="720">
        <v>9.8800000000000008</v>
      </c>
    </row>
    <row r="300" spans="16:24" ht="15" x14ac:dyDescent="0.25">
      <c r="P300" s="719">
        <v>842</v>
      </c>
      <c r="Q300" s="719" t="str">
        <f t="shared" si="20"/>
        <v>0842</v>
      </c>
      <c r="R300" s="719">
        <v>113</v>
      </c>
      <c r="S300" s="720">
        <v>13.58</v>
      </c>
      <c r="T300" s="720"/>
      <c r="U300" s="724">
        <v>842</v>
      </c>
      <c r="V300" s="724" t="str">
        <f t="shared" si="21"/>
        <v>0842</v>
      </c>
      <c r="W300" s="724">
        <v>130</v>
      </c>
      <c r="X300" s="720">
        <v>1.25</v>
      </c>
    </row>
    <row r="301" spans="16:24" ht="15" x14ac:dyDescent="0.25">
      <c r="P301" s="719">
        <v>842</v>
      </c>
      <c r="Q301" s="719" t="str">
        <f t="shared" si="20"/>
        <v>0842</v>
      </c>
      <c r="R301" s="719">
        <v>130</v>
      </c>
      <c r="S301" s="720">
        <v>1.24</v>
      </c>
      <c r="T301" s="720"/>
      <c r="U301" s="724">
        <v>842</v>
      </c>
      <c r="V301" s="724" t="str">
        <f t="shared" si="21"/>
        <v>0842</v>
      </c>
      <c r="W301" s="724">
        <v>300</v>
      </c>
      <c r="X301" s="720">
        <v>0.94</v>
      </c>
    </row>
    <row r="302" spans="16:24" ht="15" x14ac:dyDescent="0.25">
      <c r="P302" s="719">
        <v>842</v>
      </c>
      <c r="Q302" s="719" t="str">
        <f t="shared" si="20"/>
        <v>0842</v>
      </c>
      <c r="R302" s="719">
        <v>300</v>
      </c>
      <c r="S302" s="720">
        <v>1.74</v>
      </c>
      <c r="T302" s="720"/>
      <c r="U302" s="724">
        <v>862</v>
      </c>
      <c r="V302" s="724" t="str">
        <f t="shared" si="21"/>
        <v>0862</v>
      </c>
      <c r="W302" s="724">
        <v>103</v>
      </c>
      <c r="X302" s="720">
        <v>478.12</v>
      </c>
    </row>
    <row r="303" spans="16:24" ht="15" x14ac:dyDescent="0.25">
      <c r="P303" s="719">
        <v>862</v>
      </c>
      <c r="Q303" s="719" t="str">
        <f t="shared" si="20"/>
        <v>0862</v>
      </c>
      <c r="R303" s="719">
        <v>103</v>
      </c>
      <c r="S303" s="720">
        <v>496.7</v>
      </c>
      <c r="T303" s="720"/>
      <c r="U303" s="724">
        <v>862</v>
      </c>
      <c r="V303" s="724" t="str">
        <f t="shared" si="21"/>
        <v>0862</v>
      </c>
      <c r="W303" s="724">
        <v>113</v>
      </c>
      <c r="X303" s="720">
        <v>140.22</v>
      </c>
    </row>
    <row r="304" spans="16:24" ht="15" x14ac:dyDescent="0.25">
      <c r="P304" s="719">
        <v>862</v>
      </c>
      <c r="Q304" s="719" t="str">
        <f t="shared" si="20"/>
        <v>0862</v>
      </c>
      <c r="R304" s="719">
        <v>113</v>
      </c>
      <c r="S304" s="720">
        <v>146.79</v>
      </c>
      <c r="T304" s="720"/>
      <c r="U304" s="724">
        <v>862</v>
      </c>
      <c r="V304" s="724" t="str">
        <f t="shared" si="21"/>
        <v>0862</v>
      </c>
      <c r="W304" s="724">
        <v>130</v>
      </c>
      <c r="X304" s="720">
        <v>73.290000000000006</v>
      </c>
    </row>
    <row r="305" spans="16:24" ht="15" x14ac:dyDescent="0.25">
      <c r="P305" s="719">
        <v>862</v>
      </c>
      <c r="Q305" s="719" t="str">
        <f t="shared" si="20"/>
        <v>0862</v>
      </c>
      <c r="R305" s="719">
        <v>130</v>
      </c>
      <c r="S305" s="720">
        <v>81.99</v>
      </c>
      <c r="T305" s="720"/>
      <c r="U305" s="724">
        <v>862</v>
      </c>
      <c r="V305" s="724" t="str">
        <f t="shared" si="21"/>
        <v>0862</v>
      </c>
      <c r="W305" s="724">
        <v>300</v>
      </c>
      <c r="X305" s="720">
        <v>56.07</v>
      </c>
    </row>
    <row r="306" spans="16:24" ht="15" x14ac:dyDescent="0.25">
      <c r="P306" s="719">
        <v>862</v>
      </c>
      <c r="Q306" s="719" t="str">
        <f t="shared" si="20"/>
        <v>0862</v>
      </c>
      <c r="R306" s="719">
        <v>300</v>
      </c>
      <c r="S306" s="720">
        <v>59.55</v>
      </c>
      <c r="T306" s="720"/>
      <c r="U306" s="724">
        <v>871</v>
      </c>
      <c r="V306" s="724" t="str">
        <f t="shared" si="21"/>
        <v>0871</v>
      </c>
      <c r="W306" s="724">
        <v>101</v>
      </c>
      <c r="X306" s="720">
        <v>120.61</v>
      </c>
    </row>
    <row r="307" spans="16:24" ht="15" x14ac:dyDescent="0.25">
      <c r="P307" s="719">
        <v>871</v>
      </c>
      <c r="Q307" s="719" t="str">
        <f t="shared" si="20"/>
        <v>0871</v>
      </c>
      <c r="R307" s="719">
        <v>101</v>
      </c>
      <c r="S307" s="720">
        <v>118.49</v>
      </c>
      <c r="T307" s="720"/>
      <c r="U307" s="724">
        <v>871</v>
      </c>
      <c r="V307" s="724" t="str">
        <f t="shared" si="21"/>
        <v>0871</v>
      </c>
      <c r="W307" s="724">
        <v>102</v>
      </c>
      <c r="X307" s="720">
        <v>155.37</v>
      </c>
    </row>
    <row r="308" spans="16:24" ht="15" x14ac:dyDescent="0.25">
      <c r="P308" s="719">
        <v>871</v>
      </c>
      <c r="Q308" s="719" t="str">
        <f t="shared" si="20"/>
        <v>0871</v>
      </c>
      <c r="R308" s="719">
        <v>102</v>
      </c>
      <c r="S308" s="720">
        <v>163.44</v>
      </c>
      <c r="T308" s="720"/>
      <c r="U308" s="724">
        <v>871</v>
      </c>
      <c r="V308" s="724" t="str">
        <f t="shared" si="21"/>
        <v>0871</v>
      </c>
      <c r="W308" s="724">
        <v>111</v>
      </c>
      <c r="X308" s="720">
        <v>17.010000000000002</v>
      </c>
    </row>
    <row r="309" spans="16:24" ht="15" x14ac:dyDescent="0.25">
      <c r="P309" s="719">
        <v>871</v>
      </c>
      <c r="Q309" s="719" t="str">
        <f t="shared" si="20"/>
        <v>0871</v>
      </c>
      <c r="R309" s="719">
        <v>111</v>
      </c>
      <c r="S309" s="720">
        <v>15.52</v>
      </c>
      <c r="T309" s="720"/>
      <c r="U309" s="724">
        <v>871</v>
      </c>
      <c r="V309" s="724" t="str">
        <f t="shared" si="21"/>
        <v>0871</v>
      </c>
      <c r="W309" s="724">
        <v>112</v>
      </c>
      <c r="X309" s="720">
        <v>33.450000000000003</v>
      </c>
    </row>
    <row r="310" spans="16:24" ht="15" x14ac:dyDescent="0.25">
      <c r="P310" s="719">
        <v>871</v>
      </c>
      <c r="Q310" s="719" t="str">
        <f t="shared" si="20"/>
        <v>0871</v>
      </c>
      <c r="R310" s="719">
        <v>112</v>
      </c>
      <c r="S310" s="720">
        <v>35.159999999999997</v>
      </c>
      <c r="T310" s="720"/>
      <c r="U310" s="724">
        <v>871</v>
      </c>
      <c r="V310" s="724" t="str">
        <f t="shared" si="21"/>
        <v>0871</v>
      </c>
      <c r="W310" s="724">
        <v>130</v>
      </c>
      <c r="X310" s="720">
        <v>30.94</v>
      </c>
    </row>
    <row r="311" spans="16:24" ht="15" x14ac:dyDescent="0.25">
      <c r="P311" s="719">
        <v>871</v>
      </c>
      <c r="Q311" s="719" t="str">
        <f t="shared" si="20"/>
        <v>0871</v>
      </c>
      <c r="R311" s="719">
        <v>130</v>
      </c>
      <c r="S311" s="720">
        <v>32.85</v>
      </c>
      <c r="T311" s="720"/>
      <c r="U311" s="724">
        <v>881</v>
      </c>
      <c r="V311" s="724" t="str">
        <f t="shared" si="21"/>
        <v>0881</v>
      </c>
      <c r="W311" s="724">
        <v>101</v>
      </c>
      <c r="X311" s="720">
        <v>99.87</v>
      </c>
    </row>
    <row r="312" spans="16:24" ht="15" x14ac:dyDescent="0.25">
      <c r="P312" s="719">
        <v>881</v>
      </c>
      <c r="Q312" s="719" t="str">
        <f t="shared" si="20"/>
        <v>0881</v>
      </c>
      <c r="R312" s="719">
        <v>101</v>
      </c>
      <c r="S312" s="720">
        <v>98.89</v>
      </c>
      <c r="T312" s="720"/>
      <c r="U312" s="724">
        <v>881</v>
      </c>
      <c r="V312" s="724" t="str">
        <f t="shared" si="21"/>
        <v>0881</v>
      </c>
      <c r="W312" s="724">
        <v>102</v>
      </c>
      <c r="X312" s="720">
        <v>52.23</v>
      </c>
    </row>
    <row r="313" spans="16:24" ht="15" x14ac:dyDescent="0.25">
      <c r="P313" s="719">
        <v>881</v>
      </c>
      <c r="Q313" s="719" t="str">
        <f t="shared" si="20"/>
        <v>0881</v>
      </c>
      <c r="R313" s="719">
        <v>102</v>
      </c>
      <c r="S313" s="720">
        <v>52.68</v>
      </c>
      <c r="T313" s="720"/>
      <c r="U313" s="724">
        <v>881</v>
      </c>
      <c r="V313" s="724" t="str">
        <f t="shared" si="21"/>
        <v>0881</v>
      </c>
      <c r="W313" s="724">
        <v>111</v>
      </c>
      <c r="X313" s="720">
        <v>22.6</v>
      </c>
    </row>
    <row r="314" spans="16:24" ht="15" x14ac:dyDescent="0.25">
      <c r="P314" s="719">
        <v>881</v>
      </c>
      <c r="Q314" s="719" t="str">
        <f t="shared" si="20"/>
        <v>0881</v>
      </c>
      <c r="R314" s="719">
        <v>111</v>
      </c>
      <c r="S314" s="720">
        <v>24.6</v>
      </c>
      <c r="T314" s="720"/>
      <c r="U314" s="724">
        <v>881</v>
      </c>
      <c r="V314" s="724" t="str">
        <f t="shared" si="21"/>
        <v>0881</v>
      </c>
      <c r="W314" s="724">
        <v>112</v>
      </c>
      <c r="X314" s="720">
        <v>9</v>
      </c>
    </row>
    <row r="315" spans="16:24" ht="15" x14ac:dyDescent="0.25">
      <c r="P315" s="719">
        <v>881</v>
      </c>
      <c r="Q315" s="719" t="str">
        <f t="shared" si="20"/>
        <v>0881</v>
      </c>
      <c r="R315" s="719">
        <v>112</v>
      </c>
      <c r="S315" s="720">
        <v>9</v>
      </c>
      <c r="T315" s="720"/>
      <c r="U315" s="724">
        <v>881</v>
      </c>
      <c r="V315" s="724" t="str">
        <f t="shared" si="21"/>
        <v>0881</v>
      </c>
      <c r="W315" s="724">
        <v>130</v>
      </c>
      <c r="X315" s="720">
        <v>12.94</v>
      </c>
    </row>
    <row r="316" spans="16:24" ht="15" x14ac:dyDescent="0.25">
      <c r="P316" s="719">
        <v>881</v>
      </c>
      <c r="Q316" s="719" t="str">
        <f t="shared" si="20"/>
        <v>0881</v>
      </c>
      <c r="R316" s="719">
        <v>130</v>
      </c>
      <c r="S316" s="720">
        <v>12.37</v>
      </c>
      <c r="T316" s="720"/>
      <c r="U316" s="724">
        <v>911</v>
      </c>
      <c r="V316" s="724" t="str">
        <f t="shared" si="21"/>
        <v>0911</v>
      </c>
      <c r="W316" s="724">
        <v>101</v>
      </c>
      <c r="X316" s="720">
        <v>44.97</v>
      </c>
    </row>
    <row r="317" spans="16:24" ht="15" x14ac:dyDescent="0.25">
      <c r="P317" s="719">
        <v>911</v>
      </c>
      <c r="Q317" s="719" t="str">
        <f t="shared" si="20"/>
        <v>0911</v>
      </c>
      <c r="R317" s="719">
        <v>101</v>
      </c>
      <c r="S317" s="720">
        <v>47.84</v>
      </c>
      <c r="T317" s="720"/>
      <c r="U317" s="724">
        <v>911</v>
      </c>
      <c r="V317" s="724" t="str">
        <f t="shared" si="21"/>
        <v>0911</v>
      </c>
      <c r="W317" s="724">
        <v>102</v>
      </c>
      <c r="X317" s="720">
        <v>24.32</v>
      </c>
    </row>
    <row r="318" spans="16:24" ht="15" x14ac:dyDescent="0.25">
      <c r="P318" s="719">
        <v>911</v>
      </c>
      <c r="Q318" s="719" t="str">
        <f t="shared" si="20"/>
        <v>0911</v>
      </c>
      <c r="R318" s="719">
        <v>102</v>
      </c>
      <c r="S318" s="720">
        <v>24.05</v>
      </c>
      <c r="T318" s="720"/>
      <c r="U318" s="724">
        <v>911</v>
      </c>
      <c r="V318" s="724" t="str">
        <f t="shared" si="21"/>
        <v>0911</v>
      </c>
      <c r="W318" s="724">
        <v>111</v>
      </c>
      <c r="X318" s="720">
        <v>17.989999999999998</v>
      </c>
    </row>
    <row r="319" spans="16:24" ht="15" x14ac:dyDescent="0.25">
      <c r="P319" s="719">
        <v>911</v>
      </c>
      <c r="Q319" s="719" t="str">
        <f t="shared" si="20"/>
        <v>0911</v>
      </c>
      <c r="R319" s="719">
        <v>111</v>
      </c>
      <c r="S319" s="720">
        <v>15</v>
      </c>
      <c r="T319" s="720"/>
      <c r="U319" s="724">
        <v>911</v>
      </c>
      <c r="V319" s="724" t="str">
        <f t="shared" si="21"/>
        <v>0911</v>
      </c>
      <c r="W319" s="724">
        <v>112</v>
      </c>
      <c r="X319" s="720">
        <v>15.5</v>
      </c>
    </row>
    <row r="320" spans="16:24" ht="15" x14ac:dyDescent="0.25">
      <c r="P320" s="719">
        <v>911</v>
      </c>
      <c r="Q320" s="719" t="str">
        <f t="shared" si="20"/>
        <v>0911</v>
      </c>
      <c r="R320" s="719">
        <v>112</v>
      </c>
      <c r="S320" s="720">
        <v>14</v>
      </c>
      <c r="T320" s="720"/>
      <c r="U320" s="724">
        <v>911</v>
      </c>
      <c r="V320" s="724" t="str">
        <f t="shared" si="21"/>
        <v>0911</v>
      </c>
      <c r="W320" s="724">
        <v>130</v>
      </c>
      <c r="X320" s="720">
        <v>56.68</v>
      </c>
    </row>
    <row r="321" spans="16:24" ht="15" x14ac:dyDescent="0.25">
      <c r="P321" s="719">
        <v>911</v>
      </c>
      <c r="Q321" s="719" t="str">
        <f t="shared" si="20"/>
        <v>0911</v>
      </c>
      <c r="R321" s="719">
        <v>130</v>
      </c>
      <c r="S321" s="720">
        <v>60.54</v>
      </c>
      <c r="T321" s="720"/>
      <c r="U321" s="724">
        <v>931</v>
      </c>
      <c r="V321" s="724" t="str">
        <f t="shared" si="21"/>
        <v>0931</v>
      </c>
      <c r="W321" s="724">
        <v>101</v>
      </c>
      <c r="X321" s="720">
        <v>103.29</v>
      </c>
    </row>
    <row r="322" spans="16:24" ht="15" x14ac:dyDescent="0.25">
      <c r="P322" s="719">
        <v>931</v>
      </c>
      <c r="Q322" s="719" t="str">
        <f t="shared" si="20"/>
        <v>0931</v>
      </c>
      <c r="R322" s="719">
        <v>101</v>
      </c>
      <c r="S322" s="720">
        <v>110.13</v>
      </c>
      <c r="T322" s="720"/>
      <c r="U322" s="724">
        <v>931</v>
      </c>
      <c r="V322" s="724" t="str">
        <f t="shared" si="21"/>
        <v>0931</v>
      </c>
      <c r="W322" s="724">
        <v>102</v>
      </c>
      <c r="X322" s="720">
        <v>52.29</v>
      </c>
    </row>
    <row r="323" spans="16:24" ht="15" x14ac:dyDescent="0.25">
      <c r="P323" s="719">
        <v>931</v>
      </c>
      <c r="Q323" s="719" t="str">
        <f t="shared" ref="Q323:Q386" si="22">TEXT(P323,"0000")</f>
        <v>0931</v>
      </c>
      <c r="R323" s="719">
        <v>102</v>
      </c>
      <c r="S323" s="720">
        <v>53.43</v>
      </c>
      <c r="T323" s="720"/>
      <c r="U323" s="724">
        <v>931</v>
      </c>
      <c r="V323" s="724" t="str">
        <f t="shared" si="21"/>
        <v>0931</v>
      </c>
      <c r="W323" s="724">
        <v>111</v>
      </c>
      <c r="X323" s="720">
        <v>57.27</v>
      </c>
    </row>
    <row r="324" spans="16:24" ht="15" x14ac:dyDescent="0.25">
      <c r="P324" s="719">
        <v>931</v>
      </c>
      <c r="Q324" s="719" t="str">
        <f t="shared" si="22"/>
        <v>0931</v>
      </c>
      <c r="R324" s="719">
        <v>111</v>
      </c>
      <c r="S324" s="720">
        <v>54.42</v>
      </c>
      <c r="T324" s="720"/>
      <c r="U324" s="724">
        <v>931</v>
      </c>
      <c r="V324" s="724" t="str">
        <f t="shared" ref="V324:V387" si="23">TEXT(U324,"0000")</f>
        <v>0931</v>
      </c>
      <c r="W324" s="724">
        <v>112</v>
      </c>
      <c r="X324" s="720">
        <v>40.46</v>
      </c>
    </row>
    <row r="325" spans="16:24" ht="15" x14ac:dyDescent="0.25">
      <c r="P325" s="719">
        <v>931</v>
      </c>
      <c r="Q325" s="719" t="str">
        <f t="shared" si="22"/>
        <v>0931</v>
      </c>
      <c r="R325" s="719">
        <v>112</v>
      </c>
      <c r="S325" s="720">
        <v>40.04</v>
      </c>
      <c r="T325" s="720"/>
      <c r="U325" s="724">
        <v>931</v>
      </c>
      <c r="V325" s="724" t="str">
        <f t="shared" si="23"/>
        <v>0931</v>
      </c>
      <c r="W325" s="724">
        <v>130</v>
      </c>
      <c r="X325" s="720">
        <v>47.43</v>
      </c>
    </row>
    <row r="326" spans="16:24" ht="15" x14ac:dyDescent="0.25">
      <c r="P326" s="719">
        <v>931</v>
      </c>
      <c r="Q326" s="719" t="str">
        <f t="shared" si="22"/>
        <v>0931</v>
      </c>
      <c r="R326" s="719">
        <v>130</v>
      </c>
      <c r="S326" s="720">
        <v>51.35</v>
      </c>
      <c r="T326" s="720"/>
      <c r="U326" s="724">
        <v>931</v>
      </c>
      <c r="V326" s="724" t="str">
        <f t="shared" si="23"/>
        <v>0931</v>
      </c>
      <c r="W326" s="724">
        <v>254</v>
      </c>
      <c r="X326" s="720">
        <v>2.5</v>
      </c>
    </row>
    <row r="327" spans="16:24" ht="15" x14ac:dyDescent="0.25">
      <c r="P327" s="719">
        <v>931</v>
      </c>
      <c r="Q327" s="719" t="str">
        <f t="shared" si="22"/>
        <v>0931</v>
      </c>
      <c r="R327" s="719">
        <v>254</v>
      </c>
      <c r="S327" s="720">
        <v>2.5</v>
      </c>
      <c r="T327" s="720"/>
      <c r="U327" s="724">
        <v>951</v>
      </c>
      <c r="V327" s="724" t="str">
        <f t="shared" si="23"/>
        <v>0951</v>
      </c>
      <c r="W327" s="724">
        <v>101</v>
      </c>
      <c r="X327" s="720">
        <v>57.6</v>
      </c>
    </row>
    <row r="328" spans="16:24" ht="15" x14ac:dyDescent="0.25">
      <c r="P328" s="719">
        <v>951</v>
      </c>
      <c r="Q328" s="719" t="str">
        <f t="shared" si="22"/>
        <v>0951</v>
      </c>
      <c r="R328" s="719">
        <v>101</v>
      </c>
      <c r="S328" s="720">
        <v>61.42</v>
      </c>
      <c r="T328" s="720"/>
      <c r="U328" s="724">
        <v>951</v>
      </c>
      <c r="V328" s="724" t="str">
        <f t="shared" si="23"/>
        <v>0951</v>
      </c>
      <c r="W328" s="724">
        <v>102</v>
      </c>
      <c r="X328" s="720">
        <v>30.37</v>
      </c>
    </row>
    <row r="329" spans="16:24" ht="15" x14ac:dyDescent="0.25">
      <c r="P329" s="719">
        <v>951</v>
      </c>
      <c r="Q329" s="719" t="str">
        <f t="shared" si="22"/>
        <v>0951</v>
      </c>
      <c r="R329" s="719">
        <v>102</v>
      </c>
      <c r="S329" s="720">
        <v>29.74</v>
      </c>
      <c r="T329" s="720"/>
      <c r="U329" s="724">
        <v>951</v>
      </c>
      <c r="V329" s="724" t="str">
        <f t="shared" si="23"/>
        <v>0951</v>
      </c>
      <c r="W329" s="724">
        <v>111</v>
      </c>
      <c r="X329" s="720">
        <v>15.52</v>
      </c>
    </row>
    <row r="330" spans="16:24" ht="15" x14ac:dyDescent="0.25">
      <c r="P330" s="719">
        <v>951</v>
      </c>
      <c r="Q330" s="719" t="str">
        <f t="shared" si="22"/>
        <v>0951</v>
      </c>
      <c r="R330" s="719">
        <v>111</v>
      </c>
      <c r="S330" s="720">
        <v>13.99</v>
      </c>
      <c r="T330" s="720"/>
      <c r="U330" s="724">
        <v>951</v>
      </c>
      <c r="V330" s="724" t="str">
        <f t="shared" si="23"/>
        <v>0951</v>
      </c>
      <c r="W330" s="724">
        <v>112</v>
      </c>
      <c r="X330" s="720">
        <v>13.5</v>
      </c>
    </row>
    <row r="331" spans="16:24" ht="15" x14ac:dyDescent="0.25">
      <c r="P331" s="719">
        <v>951</v>
      </c>
      <c r="Q331" s="719" t="str">
        <f t="shared" si="22"/>
        <v>0951</v>
      </c>
      <c r="R331" s="719">
        <v>112</v>
      </c>
      <c r="S331" s="720">
        <v>13.87</v>
      </c>
      <c r="T331" s="720"/>
      <c r="U331" s="724">
        <v>951</v>
      </c>
      <c r="V331" s="724" t="str">
        <f t="shared" si="23"/>
        <v>0951</v>
      </c>
      <c r="W331" s="724">
        <v>130</v>
      </c>
      <c r="X331" s="720">
        <v>16.809999999999999</v>
      </c>
    </row>
    <row r="332" spans="16:24" ht="15" x14ac:dyDescent="0.25">
      <c r="P332" s="719">
        <v>951</v>
      </c>
      <c r="Q332" s="719" t="str">
        <f t="shared" si="22"/>
        <v>0951</v>
      </c>
      <c r="R332" s="719">
        <v>130</v>
      </c>
      <c r="S332" s="720">
        <v>19.27</v>
      </c>
      <c r="T332" s="720"/>
      <c r="U332" s="724">
        <v>961</v>
      </c>
      <c r="V332" s="724" t="str">
        <f t="shared" si="23"/>
        <v>0961</v>
      </c>
      <c r="W332" s="724">
        <v>102</v>
      </c>
      <c r="X332" s="720">
        <v>0.14000000000000001</v>
      </c>
    </row>
    <row r="333" spans="16:24" ht="15" x14ac:dyDescent="0.25">
      <c r="P333" s="719">
        <v>961</v>
      </c>
      <c r="Q333" s="719" t="str">
        <f t="shared" si="22"/>
        <v>0961</v>
      </c>
      <c r="R333" s="719">
        <v>102</v>
      </c>
      <c r="S333" s="720">
        <v>0.14000000000000001</v>
      </c>
      <c r="T333" s="720"/>
      <c r="U333" s="724">
        <v>961</v>
      </c>
      <c r="V333" s="724" t="str">
        <f t="shared" si="23"/>
        <v>0961</v>
      </c>
      <c r="W333" s="724">
        <v>103</v>
      </c>
      <c r="X333" s="720">
        <v>990.24</v>
      </c>
    </row>
    <row r="334" spans="16:24" ht="15" x14ac:dyDescent="0.25">
      <c r="P334" s="719">
        <v>961</v>
      </c>
      <c r="Q334" s="719" t="str">
        <f t="shared" si="22"/>
        <v>0961</v>
      </c>
      <c r="R334" s="719">
        <v>103</v>
      </c>
      <c r="S334" s="720">
        <v>990.99</v>
      </c>
      <c r="T334" s="720"/>
      <c r="U334" s="724">
        <v>961</v>
      </c>
      <c r="V334" s="724" t="str">
        <f t="shared" si="23"/>
        <v>0961</v>
      </c>
      <c r="W334" s="724">
        <v>112</v>
      </c>
      <c r="X334" s="720">
        <v>0.08</v>
      </c>
    </row>
    <row r="335" spans="16:24" ht="15" x14ac:dyDescent="0.25">
      <c r="P335" s="719">
        <v>961</v>
      </c>
      <c r="Q335" s="719" t="str">
        <f t="shared" si="22"/>
        <v>0961</v>
      </c>
      <c r="R335" s="719">
        <v>112</v>
      </c>
      <c r="S335" s="720">
        <v>0.08</v>
      </c>
      <c r="T335" s="720"/>
      <c r="U335" s="724">
        <v>961</v>
      </c>
      <c r="V335" s="724" t="str">
        <f t="shared" si="23"/>
        <v>0961</v>
      </c>
      <c r="W335" s="724">
        <v>113</v>
      </c>
      <c r="X335" s="720">
        <v>178.49</v>
      </c>
    </row>
    <row r="336" spans="16:24" ht="15" x14ac:dyDescent="0.25">
      <c r="P336" s="719">
        <v>961</v>
      </c>
      <c r="Q336" s="719" t="str">
        <f t="shared" si="22"/>
        <v>0961</v>
      </c>
      <c r="R336" s="719">
        <v>113</v>
      </c>
      <c r="S336" s="720">
        <v>180.78</v>
      </c>
      <c r="T336" s="720"/>
      <c r="U336" s="724">
        <v>961</v>
      </c>
      <c r="V336" s="724" t="str">
        <f t="shared" si="23"/>
        <v>0961</v>
      </c>
      <c r="W336" s="724">
        <v>130</v>
      </c>
      <c r="X336" s="720">
        <v>66.11</v>
      </c>
    </row>
    <row r="337" spans="16:24" ht="15" x14ac:dyDescent="0.25">
      <c r="P337" s="719">
        <v>961</v>
      </c>
      <c r="Q337" s="719" t="str">
        <f t="shared" si="22"/>
        <v>0961</v>
      </c>
      <c r="R337" s="719">
        <v>130</v>
      </c>
      <c r="S337" s="720">
        <v>74.069999999999993</v>
      </c>
      <c r="T337" s="720"/>
      <c r="U337" s="724">
        <v>961</v>
      </c>
      <c r="V337" s="724" t="str">
        <f t="shared" si="23"/>
        <v>0961</v>
      </c>
      <c r="W337" s="724">
        <v>254</v>
      </c>
      <c r="X337" s="720">
        <v>0.97</v>
      </c>
    </row>
    <row r="338" spans="16:24" ht="15" x14ac:dyDescent="0.25">
      <c r="P338" s="719">
        <v>961</v>
      </c>
      <c r="Q338" s="719" t="str">
        <f t="shared" si="22"/>
        <v>0961</v>
      </c>
      <c r="R338" s="719">
        <v>254</v>
      </c>
      <c r="S338" s="720">
        <v>1.47</v>
      </c>
      <c r="T338" s="720"/>
      <c r="U338" s="724">
        <v>961</v>
      </c>
      <c r="V338" s="724" t="str">
        <f t="shared" si="23"/>
        <v>0961</v>
      </c>
      <c r="W338" s="724">
        <v>255</v>
      </c>
      <c r="X338" s="720">
        <v>0.33</v>
      </c>
    </row>
    <row r="339" spans="16:24" ht="15" x14ac:dyDescent="0.25">
      <c r="P339" s="719">
        <v>961</v>
      </c>
      <c r="Q339" s="719" t="str">
        <f t="shared" si="22"/>
        <v>0961</v>
      </c>
      <c r="R339" s="719">
        <v>255</v>
      </c>
      <c r="S339" s="720">
        <v>0.33</v>
      </c>
      <c r="T339" s="720"/>
      <c r="U339" s="724">
        <v>961</v>
      </c>
      <c r="V339" s="724" t="str">
        <f t="shared" si="23"/>
        <v>0961</v>
      </c>
      <c r="W339" s="724">
        <v>300</v>
      </c>
      <c r="X339" s="720">
        <v>25.21</v>
      </c>
    </row>
    <row r="340" spans="16:24" ht="15" x14ac:dyDescent="0.25">
      <c r="P340" s="719">
        <v>961</v>
      </c>
      <c r="Q340" s="719" t="str">
        <f t="shared" si="22"/>
        <v>0961</v>
      </c>
      <c r="R340" s="719">
        <v>300</v>
      </c>
      <c r="S340" s="720">
        <v>26.39</v>
      </c>
      <c r="T340" s="720"/>
      <c r="U340" s="724">
        <v>1101</v>
      </c>
      <c r="V340" s="724" t="str">
        <f t="shared" si="23"/>
        <v>1101</v>
      </c>
      <c r="W340" s="724">
        <v>101</v>
      </c>
      <c r="X340" s="720">
        <v>75.17</v>
      </c>
    </row>
    <row r="341" spans="16:24" ht="15" x14ac:dyDescent="0.25">
      <c r="P341" s="719">
        <v>1101</v>
      </c>
      <c r="Q341" s="719" t="str">
        <f t="shared" si="22"/>
        <v>1101</v>
      </c>
      <c r="R341" s="719">
        <v>101</v>
      </c>
      <c r="S341" s="720">
        <v>77.06</v>
      </c>
      <c r="T341" s="720"/>
      <c r="U341" s="724">
        <v>1101</v>
      </c>
      <c r="V341" s="724" t="str">
        <f t="shared" si="23"/>
        <v>1101</v>
      </c>
      <c r="W341" s="724">
        <v>102</v>
      </c>
      <c r="X341" s="720">
        <v>35.659999999999997</v>
      </c>
    </row>
    <row r="342" spans="16:24" ht="15" x14ac:dyDescent="0.25">
      <c r="P342" s="719">
        <v>1101</v>
      </c>
      <c r="Q342" s="719" t="str">
        <f t="shared" si="22"/>
        <v>1101</v>
      </c>
      <c r="R342" s="719">
        <v>102</v>
      </c>
      <c r="S342" s="720">
        <v>37.04</v>
      </c>
      <c r="T342" s="720"/>
      <c r="U342" s="724">
        <v>1101</v>
      </c>
      <c r="V342" s="724" t="str">
        <f t="shared" si="23"/>
        <v>1101</v>
      </c>
      <c r="W342" s="724">
        <v>111</v>
      </c>
      <c r="X342" s="720">
        <v>11.78</v>
      </c>
    </row>
    <row r="343" spans="16:24" ht="15" x14ac:dyDescent="0.25">
      <c r="P343" s="719">
        <v>1101</v>
      </c>
      <c r="Q343" s="719" t="str">
        <f t="shared" si="22"/>
        <v>1101</v>
      </c>
      <c r="R343" s="719">
        <v>111</v>
      </c>
      <c r="S343" s="720">
        <v>10.53</v>
      </c>
      <c r="T343" s="720"/>
      <c r="U343" s="724">
        <v>1101</v>
      </c>
      <c r="V343" s="724" t="str">
        <f t="shared" si="23"/>
        <v>1101</v>
      </c>
      <c r="W343" s="724">
        <v>112</v>
      </c>
      <c r="X343" s="720">
        <v>6.52</v>
      </c>
    </row>
    <row r="344" spans="16:24" ht="15" x14ac:dyDescent="0.25">
      <c r="P344" s="719">
        <v>1101</v>
      </c>
      <c r="Q344" s="719" t="str">
        <f t="shared" si="22"/>
        <v>1101</v>
      </c>
      <c r="R344" s="719">
        <v>112</v>
      </c>
      <c r="S344" s="720">
        <v>6</v>
      </c>
      <c r="T344" s="720"/>
      <c r="U344" s="724">
        <v>1101</v>
      </c>
      <c r="V344" s="724" t="str">
        <f t="shared" si="23"/>
        <v>1101</v>
      </c>
      <c r="W344" s="724">
        <v>130</v>
      </c>
      <c r="X344" s="720">
        <v>15.21</v>
      </c>
    </row>
    <row r="345" spans="16:24" ht="15" x14ac:dyDescent="0.25">
      <c r="P345" s="719">
        <v>1101</v>
      </c>
      <c r="Q345" s="719" t="str">
        <f t="shared" si="22"/>
        <v>1101</v>
      </c>
      <c r="R345" s="719">
        <v>130</v>
      </c>
      <c r="S345" s="720">
        <v>13.99</v>
      </c>
      <c r="T345" s="720"/>
      <c r="U345" s="724">
        <v>1232</v>
      </c>
      <c r="V345" s="724" t="str">
        <f t="shared" si="23"/>
        <v>1232</v>
      </c>
      <c r="W345" s="724">
        <v>102</v>
      </c>
      <c r="X345" s="720">
        <v>226.97</v>
      </c>
    </row>
    <row r="346" spans="16:24" ht="15" x14ac:dyDescent="0.25">
      <c r="P346" s="719">
        <v>1232</v>
      </c>
      <c r="Q346" s="719" t="str">
        <f t="shared" si="22"/>
        <v>1232</v>
      </c>
      <c r="R346" s="719">
        <v>102</v>
      </c>
      <c r="S346" s="720">
        <v>229.25</v>
      </c>
      <c r="T346" s="720"/>
      <c r="U346" s="724">
        <v>1232</v>
      </c>
      <c r="V346" s="724" t="str">
        <f t="shared" si="23"/>
        <v>1232</v>
      </c>
      <c r="W346" s="724">
        <v>112</v>
      </c>
      <c r="X346" s="720">
        <v>51.49</v>
      </c>
    </row>
    <row r="347" spans="16:24" ht="15" x14ac:dyDescent="0.25">
      <c r="P347" s="719">
        <v>1232</v>
      </c>
      <c r="Q347" s="719" t="str">
        <f t="shared" si="22"/>
        <v>1232</v>
      </c>
      <c r="R347" s="719">
        <v>112</v>
      </c>
      <c r="S347" s="720">
        <v>50.09</v>
      </c>
      <c r="T347" s="720"/>
      <c r="U347" s="724">
        <v>1232</v>
      </c>
      <c r="V347" s="724" t="str">
        <f t="shared" si="23"/>
        <v>1232</v>
      </c>
      <c r="W347" s="724">
        <v>130</v>
      </c>
      <c r="X347" s="720">
        <v>24.49</v>
      </c>
    </row>
    <row r="348" spans="16:24" ht="15" x14ac:dyDescent="0.25">
      <c r="P348" s="719">
        <v>1232</v>
      </c>
      <c r="Q348" s="719" t="str">
        <f t="shared" si="22"/>
        <v>1232</v>
      </c>
      <c r="R348" s="719">
        <v>130</v>
      </c>
      <c r="S348" s="720">
        <v>25.72</v>
      </c>
      <c r="T348" s="720"/>
      <c r="U348" s="724">
        <v>1241</v>
      </c>
      <c r="V348" s="724" t="str">
        <f t="shared" si="23"/>
        <v>1241</v>
      </c>
      <c r="W348" s="724">
        <v>101</v>
      </c>
      <c r="X348" s="720">
        <v>90.91</v>
      </c>
    </row>
    <row r="349" spans="16:24" ht="15" x14ac:dyDescent="0.25">
      <c r="P349" s="719">
        <v>1241</v>
      </c>
      <c r="Q349" s="719" t="str">
        <f t="shared" si="22"/>
        <v>1241</v>
      </c>
      <c r="R349" s="719">
        <v>101</v>
      </c>
      <c r="S349" s="720">
        <v>93.64</v>
      </c>
      <c r="T349" s="720"/>
      <c r="U349" s="724">
        <v>1241</v>
      </c>
      <c r="V349" s="724" t="str">
        <f t="shared" si="23"/>
        <v>1241</v>
      </c>
      <c r="W349" s="724">
        <v>102</v>
      </c>
      <c r="X349" s="720">
        <v>61.09</v>
      </c>
    </row>
    <row r="350" spans="16:24" ht="15" x14ac:dyDescent="0.25">
      <c r="P350" s="719">
        <v>1241</v>
      </c>
      <c r="Q350" s="719" t="str">
        <f t="shared" si="22"/>
        <v>1241</v>
      </c>
      <c r="R350" s="719">
        <v>102</v>
      </c>
      <c r="S350" s="720">
        <v>60.06</v>
      </c>
      <c r="T350" s="720"/>
      <c r="U350" s="724">
        <v>1241</v>
      </c>
      <c r="V350" s="724" t="str">
        <f t="shared" si="23"/>
        <v>1241</v>
      </c>
      <c r="W350" s="724">
        <v>111</v>
      </c>
      <c r="X350" s="720">
        <v>78.06</v>
      </c>
    </row>
    <row r="351" spans="16:24" ht="15" x14ac:dyDescent="0.25">
      <c r="P351" s="719">
        <v>1241</v>
      </c>
      <c r="Q351" s="719" t="str">
        <f t="shared" si="22"/>
        <v>1241</v>
      </c>
      <c r="R351" s="719">
        <v>111</v>
      </c>
      <c r="S351" s="720">
        <v>76.02</v>
      </c>
      <c r="T351" s="720"/>
      <c r="U351" s="724">
        <v>1241</v>
      </c>
      <c r="V351" s="724" t="str">
        <f t="shared" si="23"/>
        <v>1241</v>
      </c>
      <c r="W351" s="724">
        <v>112</v>
      </c>
      <c r="X351" s="720">
        <v>44</v>
      </c>
    </row>
    <row r="352" spans="16:24" ht="15" x14ac:dyDescent="0.25">
      <c r="P352" s="719">
        <v>1241</v>
      </c>
      <c r="Q352" s="719" t="str">
        <f t="shared" si="22"/>
        <v>1241</v>
      </c>
      <c r="R352" s="719">
        <v>112</v>
      </c>
      <c r="S352" s="720">
        <v>46.54</v>
      </c>
      <c r="T352" s="720"/>
      <c r="U352" s="724">
        <v>1241</v>
      </c>
      <c r="V352" s="724" t="str">
        <f t="shared" si="23"/>
        <v>1241</v>
      </c>
      <c r="W352" s="724">
        <v>130</v>
      </c>
      <c r="X352" s="720">
        <v>61.79</v>
      </c>
    </row>
    <row r="353" spans="16:24" ht="15" x14ac:dyDescent="0.25">
      <c r="P353" s="719">
        <v>1241</v>
      </c>
      <c r="Q353" s="719" t="str">
        <f t="shared" si="22"/>
        <v>1241</v>
      </c>
      <c r="R353" s="719">
        <v>130</v>
      </c>
      <c r="S353" s="720">
        <v>61.82</v>
      </c>
      <c r="T353" s="720"/>
      <c r="U353" s="724">
        <v>1241</v>
      </c>
      <c r="V353" s="724" t="str">
        <f t="shared" si="23"/>
        <v>1241</v>
      </c>
      <c r="W353" s="724">
        <v>254</v>
      </c>
      <c r="X353" s="720">
        <v>6.51</v>
      </c>
    </row>
    <row r="354" spans="16:24" ht="15" x14ac:dyDescent="0.25">
      <c r="P354" s="719">
        <v>1241</v>
      </c>
      <c r="Q354" s="719" t="str">
        <f t="shared" si="22"/>
        <v>1241</v>
      </c>
      <c r="R354" s="719">
        <v>254</v>
      </c>
      <c r="S354" s="720">
        <v>3.49</v>
      </c>
      <c r="T354" s="720"/>
      <c r="U354" s="724">
        <v>1241</v>
      </c>
      <c r="V354" s="724" t="str">
        <f t="shared" si="23"/>
        <v>1241</v>
      </c>
      <c r="W354" s="724">
        <v>255</v>
      </c>
      <c r="X354" s="720">
        <v>0.5</v>
      </c>
    </row>
    <row r="355" spans="16:24" ht="15" x14ac:dyDescent="0.25">
      <c r="P355" s="719">
        <v>1241</v>
      </c>
      <c r="Q355" s="719" t="str">
        <f t="shared" si="22"/>
        <v>1241</v>
      </c>
      <c r="R355" s="719">
        <v>255</v>
      </c>
      <c r="S355" s="720">
        <v>0.5</v>
      </c>
      <c r="T355" s="720"/>
      <c r="U355" s="724">
        <v>1251</v>
      </c>
      <c r="V355" s="724" t="str">
        <f t="shared" si="23"/>
        <v>1251</v>
      </c>
      <c r="W355" s="724">
        <v>101</v>
      </c>
      <c r="X355" s="720">
        <v>71.739999999999995</v>
      </c>
    </row>
    <row r="356" spans="16:24" ht="15" x14ac:dyDescent="0.25">
      <c r="P356" s="719">
        <v>1251</v>
      </c>
      <c r="Q356" s="719" t="str">
        <f t="shared" si="22"/>
        <v>1251</v>
      </c>
      <c r="R356" s="719">
        <v>101</v>
      </c>
      <c r="S356" s="720">
        <v>73.569999999999993</v>
      </c>
      <c r="T356" s="720"/>
      <c r="U356" s="724">
        <v>1251</v>
      </c>
      <c r="V356" s="724" t="str">
        <f t="shared" si="23"/>
        <v>1251</v>
      </c>
      <c r="W356" s="724">
        <v>102</v>
      </c>
      <c r="X356" s="720">
        <v>29.34</v>
      </c>
    </row>
    <row r="357" spans="16:24" ht="15" x14ac:dyDescent="0.25">
      <c r="P357" s="719">
        <v>1251</v>
      </c>
      <c r="Q357" s="719" t="str">
        <f t="shared" si="22"/>
        <v>1251</v>
      </c>
      <c r="R357" s="719">
        <v>102</v>
      </c>
      <c r="S357" s="720">
        <v>27.87</v>
      </c>
      <c r="T357" s="720"/>
      <c r="U357" s="724">
        <v>1251</v>
      </c>
      <c r="V357" s="724" t="str">
        <f t="shared" si="23"/>
        <v>1251</v>
      </c>
      <c r="W357" s="724">
        <v>111</v>
      </c>
      <c r="X357" s="720">
        <v>11.56</v>
      </c>
    </row>
    <row r="358" spans="16:24" ht="15" x14ac:dyDescent="0.25">
      <c r="P358" s="719">
        <v>1251</v>
      </c>
      <c r="Q358" s="719" t="str">
        <f t="shared" si="22"/>
        <v>1251</v>
      </c>
      <c r="R358" s="719">
        <v>111</v>
      </c>
      <c r="S358" s="720">
        <v>9.5</v>
      </c>
      <c r="T358" s="720"/>
      <c r="U358" s="724">
        <v>1251</v>
      </c>
      <c r="V358" s="724" t="str">
        <f t="shared" si="23"/>
        <v>1251</v>
      </c>
      <c r="W358" s="724">
        <v>112</v>
      </c>
      <c r="X358" s="720">
        <v>5.5</v>
      </c>
    </row>
    <row r="359" spans="16:24" ht="15" x14ac:dyDescent="0.25">
      <c r="P359" s="719">
        <v>1251</v>
      </c>
      <c r="Q359" s="719" t="str">
        <f t="shared" si="22"/>
        <v>1251</v>
      </c>
      <c r="R359" s="719">
        <v>112</v>
      </c>
      <c r="S359" s="720">
        <v>5</v>
      </c>
      <c r="T359" s="720"/>
      <c r="U359" s="724">
        <v>1251</v>
      </c>
      <c r="V359" s="724" t="str">
        <f t="shared" si="23"/>
        <v>1251</v>
      </c>
      <c r="W359" s="724">
        <v>130</v>
      </c>
      <c r="X359" s="720">
        <v>18.59</v>
      </c>
    </row>
    <row r="360" spans="16:24" ht="15" x14ac:dyDescent="0.25">
      <c r="P360" s="719">
        <v>1251</v>
      </c>
      <c r="Q360" s="719" t="str">
        <f t="shared" si="22"/>
        <v>1251</v>
      </c>
      <c r="R360" s="719">
        <v>130</v>
      </c>
      <c r="S360" s="720">
        <v>18.559999999999999</v>
      </c>
      <c r="T360" s="720"/>
      <c r="U360" s="724">
        <v>1321</v>
      </c>
      <c r="V360" s="724" t="str">
        <f t="shared" si="23"/>
        <v>1321</v>
      </c>
      <c r="W360" s="724">
        <v>101</v>
      </c>
      <c r="X360" s="720">
        <v>74.09</v>
      </c>
    </row>
    <row r="361" spans="16:24" ht="15" x14ac:dyDescent="0.25">
      <c r="P361" s="719">
        <v>1321</v>
      </c>
      <c r="Q361" s="719" t="str">
        <f t="shared" si="22"/>
        <v>1321</v>
      </c>
      <c r="R361" s="719">
        <v>101</v>
      </c>
      <c r="S361" s="720">
        <v>72.25</v>
      </c>
      <c r="T361" s="720"/>
      <c r="U361" s="724">
        <v>1321</v>
      </c>
      <c r="V361" s="724" t="str">
        <f t="shared" si="23"/>
        <v>1321</v>
      </c>
      <c r="W361" s="724">
        <v>102</v>
      </c>
      <c r="X361" s="720">
        <v>34.33</v>
      </c>
    </row>
    <row r="362" spans="16:24" ht="15" x14ac:dyDescent="0.25">
      <c r="P362" s="719">
        <v>1321</v>
      </c>
      <c r="Q362" s="719" t="str">
        <f t="shared" si="22"/>
        <v>1321</v>
      </c>
      <c r="R362" s="719">
        <v>102</v>
      </c>
      <c r="S362" s="720">
        <v>34.840000000000003</v>
      </c>
      <c r="T362" s="720"/>
      <c r="U362" s="724">
        <v>1321</v>
      </c>
      <c r="V362" s="724" t="str">
        <f t="shared" si="23"/>
        <v>1321</v>
      </c>
      <c r="W362" s="724">
        <v>111</v>
      </c>
      <c r="X362" s="720">
        <v>14.5</v>
      </c>
    </row>
    <row r="363" spans="16:24" ht="15" x14ac:dyDescent="0.25">
      <c r="P363" s="719">
        <v>1321</v>
      </c>
      <c r="Q363" s="719" t="str">
        <f t="shared" si="22"/>
        <v>1321</v>
      </c>
      <c r="R363" s="719">
        <v>111</v>
      </c>
      <c r="S363" s="720">
        <v>11.5</v>
      </c>
      <c r="T363" s="720"/>
      <c r="U363" s="724">
        <v>1321</v>
      </c>
      <c r="V363" s="724" t="str">
        <f t="shared" si="23"/>
        <v>1321</v>
      </c>
      <c r="W363" s="724">
        <v>112</v>
      </c>
      <c r="X363" s="720">
        <v>10</v>
      </c>
    </row>
    <row r="364" spans="16:24" ht="15" x14ac:dyDescent="0.25">
      <c r="P364" s="719">
        <v>1321</v>
      </c>
      <c r="Q364" s="719" t="str">
        <f t="shared" si="22"/>
        <v>1321</v>
      </c>
      <c r="R364" s="719">
        <v>112</v>
      </c>
      <c r="S364" s="720">
        <v>10</v>
      </c>
      <c r="T364" s="720"/>
      <c r="U364" s="724">
        <v>1321</v>
      </c>
      <c r="V364" s="724" t="str">
        <f t="shared" si="23"/>
        <v>1321</v>
      </c>
      <c r="W364" s="724">
        <v>130</v>
      </c>
      <c r="X364" s="720">
        <v>6.41</v>
      </c>
    </row>
    <row r="365" spans="16:24" ht="15" x14ac:dyDescent="0.25">
      <c r="P365" s="719">
        <v>1321</v>
      </c>
      <c r="Q365" s="719" t="str">
        <f t="shared" si="22"/>
        <v>1321</v>
      </c>
      <c r="R365" s="719">
        <v>130</v>
      </c>
      <c r="S365" s="720">
        <v>5.99</v>
      </c>
      <c r="T365" s="720"/>
      <c r="U365" s="724">
        <v>1361</v>
      </c>
      <c r="V365" s="724" t="str">
        <f t="shared" si="23"/>
        <v>1361</v>
      </c>
      <c r="W365" s="724">
        <v>102</v>
      </c>
      <c r="X365" s="720">
        <v>1.51</v>
      </c>
    </row>
    <row r="366" spans="16:24" ht="15" x14ac:dyDescent="0.25">
      <c r="P366" s="719">
        <v>1361</v>
      </c>
      <c r="Q366" s="719" t="str">
        <f t="shared" si="22"/>
        <v>1361</v>
      </c>
      <c r="R366" s="719">
        <v>102</v>
      </c>
      <c r="S366" s="720">
        <v>1.64</v>
      </c>
      <c r="T366" s="720"/>
      <c r="U366" s="724">
        <v>1361</v>
      </c>
      <c r="V366" s="724" t="str">
        <f t="shared" si="23"/>
        <v>1361</v>
      </c>
      <c r="W366" s="724">
        <v>103</v>
      </c>
      <c r="X366" s="720">
        <v>953.18</v>
      </c>
    </row>
    <row r="367" spans="16:24" ht="15" x14ac:dyDescent="0.25">
      <c r="P367" s="719">
        <v>1361</v>
      </c>
      <c r="Q367" s="719" t="str">
        <f t="shared" si="22"/>
        <v>1361</v>
      </c>
      <c r="R367" s="719">
        <v>103</v>
      </c>
      <c r="S367" s="720">
        <v>974.11</v>
      </c>
      <c r="T367" s="720"/>
      <c r="U367" s="724">
        <v>1361</v>
      </c>
      <c r="V367" s="724" t="str">
        <f t="shared" si="23"/>
        <v>1361</v>
      </c>
      <c r="W367" s="724">
        <v>112</v>
      </c>
      <c r="X367" s="720">
        <v>0.19</v>
      </c>
    </row>
    <row r="368" spans="16:24" ht="15" x14ac:dyDescent="0.25">
      <c r="P368" s="719">
        <v>1361</v>
      </c>
      <c r="Q368" s="719" t="str">
        <f t="shared" si="22"/>
        <v>1361</v>
      </c>
      <c r="R368" s="719">
        <v>112</v>
      </c>
      <c r="S368" s="720">
        <v>0.19</v>
      </c>
      <c r="T368" s="720"/>
      <c r="U368" s="724">
        <v>1361</v>
      </c>
      <c r="V368" s="724" t="str">
        <f t="shared" si="23"/>
        <v>1361</v>
      </c>
      <c r="W368" s="724">
        <v>113</v>
      </c>
      <c r="X368" s="720">
        <v>190.26</v>
      </c>
    </row>
    <row r="369" spans="16:24" ht="15" x14ac:dyDescent="0.25">
      <c r="P369" s="719">
        <v>1361</v>
      </c>
      <c r="Q369" s="719" t="str">
        <f t="shared" si="22"/>
        <v>1361</v>
      </c>
      <c r="R369" s="719">
        <v>113</v>
      </c>
      <c r="S369" s="720">
        <v>199.42</v>
      </c>
      <c r="T369" s="720"/>
      <c r="U369" s="724">
        <v>1361</v>
      </c>
      <c r="V369" s="724" t="str">
        <f t="shared" si="23"/>
        <v>1361</v>
      </c>
      <c r="W369" s="724">
        <v>130</v>
      </c>
      <c r="X369" s="720">
        <v>219.19</v>
      </c>
    </row>
    <row r="370" spans="16:24" ht="15" x14ac:dyDescent="0.25">
      <c r="P370" s="719">
        <v>1361</v>
      </c>
      <c r="Q370" s="719" t="str">
        <f t="shared" si="22"/>
        <v>1361</v>
      </c>
      <c r="R370" s="719">
        <v>130</v>
      </c>
      <c r="S370" s="720">
        <v>229.54</v>
      </c>
      <c r="T370" s="720"/>
      <c r="U370" s="724">
        <v>1361</v>
      </c>
      <c r="V370" s="724" t="str">
        <f t="shared" si="23"/>
        <v>1361</v>
      </c>
      <c r="W370" s="724">
        <v>254</v>
      </c>
      <c r="X370" s="720">
        <v>4.46</v>
      </c>
    </row>
    <row r="371" spans="16:24" ht="15" x14ac:dyDescent="0.25">
      <c r="P371" s="719">
        <v>1361</v>
      </c>
      <c r="Q371" s="719" t="str">
        <f t="shared" si="22"/>
        <v>1361</v>
      </c>
      <c r="R371" s="719">
        <v>254</v>
      </c>
      <c r="S371" s="720">
        <v>4.54</v>
      </c>
      <c r="T371" s="720"/>
      <c r="U371" s="724">
        <v>1361</v>
      </c>
      <c r="V371" s="724" t="str">
        <f t="shared" si="23"/>
        <v>1361</v>
      </c>
      <c r="W371" s="724">
        <v>255</v>
      </c>
      <c r="X371" s="720">
        <v>0.5</v>
      </c>
    </row>
    <row r="372" spans="16:24" ht="15" x14ac:dyDescent="0.25">
      <c r="P372" s="719">
        <v>1361</v>
      </c>
      <c r="Q372" s="719" t="str">
        <f t="shared" si="22"/>
        <v>1361</v>
      </c>
      <c r="R372" s="719">
        <v>255</v>
      </c>
      <c r="S372" s="720">
        <v>0.5</v>
      </c>
      <c r="T372" s="720"/>
      <c r="U372" s="724">
        <v>1361</v>
      </c>
      <c r="V372" s="724" t="str">
        <f t="shared" si="23"/>
        <v>1361</v>
      </c>
      <c r="W372" s="724">
        <v>300</v>
      </c>
      <c r="X372" s="720">
        <v>78.680000000000007</v>
      </c>
    </row>
    <row r="373" spans="16:24" ht="15" x14ac:dyDescent="0.25">
      <c r="P373" s="719">
        <v>1361</v>
      </c>
      <c r="Q373" s="719" t="str">
        <f t="shared" si="22"/>
        <v>1361</v>
      </c>
      <c r="R373" s="719">
        <v>300</v>
      </c>
      <c r="S373" s="720">
        <v>83.56</v>
      </c>
      <c r="T373" s="720"/>
      <c r="U373" s="724">
        <v>1371</v>
      </c>
      <c r="V373" s="724" t="str">
        <f t="shared" si="23"/>
        <v>1371</v>
      </c>
      <c r="W373" s="724">
        <v>103</v>
      </c>
      <c r="X373" s="720">
        <v>675.96</v>
      </c>
    </row>
    <row r="374" spans="16:24" ht="15" x14ac:dyDescent="0.25">
      <c r="P374" s="719">
        <v>1371</v>
      </c>
      <c r="Q374" s="719" t="str">
        <f t="shared" si="22"/>
        <v>1371</v>
      </c>
      <c r="R374" s="719">
        <v>103</v>
      </c>
      <c r="S374" s="720">
        <v>708.05</v>
      </c>
      <c r="T374" s="720"/>
      <c r="U374" s="724">
        <v>1371</v>
      </c>
      <c r="V374" s="724" t="str">
        <f t="shared" si="23"/>
        <v>1371</v>
      </c>
      <c r="W374" s="724">
        <v>113</v>
      </c>
      <c r="X374" s="720">
        <v>193.62</v>
      </c>
    </row>
    <row r="375" spans="16:24" ht="15" x14ac:dyDescent="0.25">
      <c r="P375" s="719">
        <v>1371</v>
      </c>
      <c r="Q375" s="719" t="str">
        <f t="shared" si="22"/>
        <v>1371</v>
      </c>
      <c r="R375" s="719">
        <v>113</v>
      </c>
      <c r="S375" s="720">
        <v>199.42</v>
      </c>
      <c r="T375" s="720"/>
      <c r="U375" s="724">
        <v>1371</v>
      </c>
      <c r="V375" s="724" t="str">
        <f t="shared" si="23"/>
        <v>1371</v>
      </c>
      <c r="W375" s="724">
        <v>130</v>
      </c>
      <c r="X375" s="720">
        <v>68.239999999999995</v>
      </c>
    </row>
    <row r="376" spans="16:24" ht="15" x14ac:dyDescent="0.25">
      <c r="P376" s="719">
        <v>1371</v>
      </c>
      <c r="Q376" s="719" t="str">
        <f t="shared" si="22"/>
        <v>1371</v>
      </c>
      <c r="R376" s="719">
        <v>130</v>
      </c>
      <c r="S376" s="720">
        <v>70.12</v>
      </c>
      <c r="T376" s="720"/>
      <c r="U376" s="724">
        <v>1371</v>
      </c>
      <c r="V376" s="724" t="str">
        <f t="shared" si="23"/>
        <v>1371</v>
      </c>
      <c r="W376" s="724">
        <v>300</v>
      </c>
      <c r="X376" s="720">
        <v>114.05</v>
      </c>
    </row>
    <row r="377" spans="16:24" ht="15" x14ac:dyDescent="0.25">
      <c r="P377" s="719">
        <v>1371</v>
      </c>
      <c r="Q377" s="719" t="str">
        <f t="shared" si="22"/>
        <v>1371</v>
      </c>
      <c r="R377" s="719">
        <v>300</v>
      </c>
      <c r="S377" s="720">
        <v>116.19</v>
      </c>
      <c r="T377" s="720"/>
      <c r="U377" s="724">
        <v>1391</v>
      </c>
      <c r="V377" s="724" t="str">
        <f t="shared" si="23"/>
        <v>1391</v>
      </c>
      <c r="W377" s="724">
        <v>101</v>
      </c>
      <c r="X377" s="720">
        <v>99.32</v>
      </c>
    </row>
    <row r="378" spans="16:24" ht="15" x14ac:dyDescent="0.25">
      <c r="P378" s="719">
        <v>1391</v>
      </c>
      <c r="Q378" s="719" t="str">
        <f t="shared" si="22"/>
        <v>1391</v>
      </c>
      <c r="R378" s="719">
        <v>101</v>
      </c>
      <c r="S378" s="720">
        <v>103.27</v>
      </c>
      <c r="T378" s="720"/>
      <c r="U378" s="724">
        <v>1391</v>
      </c>
      <c r="V378" s="724" t="str">
        <f t="shared" si="23"/>
        <v>1391</v>
      </c>
      <c r="W378" s="724">
        <v>102</v>
      </c>
      <c r="X378" s="720">
        <v>60.63</v>
      </c>
    </row>
    <row r="379" spans="16:24" ht="15" x14ac:dyDescent="0.25">
      <c r="P379" s="719">
        <v>1391</v>
      </c>
      <c r="Q379" s="719" t="str">
        <f t="shared" si="22"/>
        <v>1391</v>
      </c>
      <c r="R379" s="719">
        <v>102</v>
      </c>
      <c r="S379" s="720">
        <v>60.54</v>
      </c>
      <c r="T379" s="720"/>
      <c r="U379" s="724">
        <v>1391</v>
      </c>
      <c r="V379" s="724" t="str">
        <f t="shared" si="23"/>
        <v>1391</v>
      </c>
      <c r="W379" s="724">
        <v>111</v>
      </c>
      <c r="X379" s="720">
        <v>30.21</v>
      </c>
    </row>
    <row r="380" spans="16:24" ht="15" x14ac:dyDescent="0.25">
      <c r="P380" s="719">
        <v>1391</v>
      </c>
      <c r="Q380" s="719" t="str">
        <f t="shared" si="22"/>
        <v>1391</v>
      </c>
      <c r="R380" s="719">
        <v>111</v>
      </c>
      <c r="S380" s="720">
        <v>29.33</v>
      </c>
      <c r="T380" s="720"/>
      <c r="U380" s="724">
        <v>1391</v>
      </c>
      <c r="V380" s="724" t="str">
        <f t="shared" si="23"/>
        <v>1391</v>
      </c>
      <c r="W380" s="724">
        <v>112</v>
      </c>
      <c r="X380" s="720">
        <v>22.67</v>
      </c>
    </row>
    <row r="381" spans="16:24" ht="15" x14ac:dyDescent="0.25">
      <c r="P381" s="719">
        <v>1391</v>
      </c>
      <c r="Q381" s="719" t="str">
        <f t="shared" si="22"/>
        <v>1391</v>
      </c>
      <c r="R381" s="719">
        <v>112</v>
      </c>
      <c r="S381" s="720">
        <v>22.28</v>
      </c>
      <c r="T381" s="720"/>
      <c r="U381" s="724">
        <v>1391</v>
      </c>
      <c r="V381" s="724" t="str">
        <f t="shared" si="23"/>
        <v>1391</v>
      </c>
      <c r="W381" s="724">
        <v>130</v>
      </c>
      <c r="X381" s="720">
        <v>80.069999999999993</v>
      </c>
    </row>
    <row r="382" spans="16:24" ht="15" x14ac:dyDescent="0.25">
      <c r="P382" s="719">
        <v>1391</v>
      </c>
      <c r="Q382" s="719" t="str">
        <f t="shared" si="22"/>
        <v>1391</v>
      </c>
      <c r="R382" s="719">
        <v>130</v>
      </c>
      <c r="S382" s="720">
        <v>77.25</v>
      </c>
      <c r="T382" s="720"/>
      <c r="U382" s="724">
        <v>1391</v>
      </c>
      <c r="V382" s="724" t="str">
        <f t="shared" si="23"/>
        <v>1391</v>
      </c>
      <c r="W382" s="724">
        <v>254</v>
      </c>
      <c r="X382" s="720">
        <v>2.0699999999999998</v>
      </c>
    </row>
    <row r="383" spans="16:24" ht="15" x14ac:dyDescent="0.25">
      <c r="P383" s="719">
        <v>1391</v>
      </c>
      <c r="Q383" s="719" t="str">
        <f t="shared" si="22"/>
        <v>1391</v>
      </c>
      <c r="R383" s="719">
        <v>254</v>
      </c>
      <c r="S383" s="720">
        <v>2.93</v>
      </c>
      <c r="T383" s="720"/>
      <c r="U383" s="724">
        <v>1391</v>
      </c>
      <c r="V383" s="724" t="str">
        <f t="shared" si="23"/>
        <v>1391</v>
      </c>
      <c r="W383" s="724">
        <v>255</v>
      </c>
      <c r="X383" s="720">
        <v>0.5</v>
      </c>
    </row>
    <row r="384" spans="16:24" ht="15" x14ac:dyDescent="0.25">
      <c r="P384" s="719">
        <v>1391</v>
      </c>
      <c r="Q384" s="719" t="str">
        <f t="shared" si="22"/>
        <v>1391</v>
      </c>
      <c r="R384" s="719">
        <v>255</v>
      </c>
      <c r="S384" s="720">
        <v>0.5</v>
      </c>
      <c r="T384" s="720"/>
      <c r="U384" s="724">
        <v>1401</v>
      </c>
      <c r="V384" s="724" t="str">
        <f t="shared" si="23"/>
        <v>1401</v>
      </c>
      <c r="W384" s="724">
        <v>101</v>
      </c>
      <c r="X384" s="720">
        <v>96.22</v>
      </c>
    </row>
    <row r="385" spans="16:24" ht="15" x14ac:dyDescent="0.25">
      <c r="P385" s="719">
        <v>1401</v>
      </c>
      <c r="Q385" s="719" t="str">
        <f t="shared" si="22"/>
        <v>1401</v>
      </c>
      <c r="R385" s="719">
        <v>101</v>
      </c>
      <c r="S385" s="720">
        <v>93.04</v>
      </c>
      <c r="T385" s="720"/>
      <c r="U385" s="724">
        <v>1401</v>
      </c>
      <c r="V385" s="724" t="str">
        <f t="shared" si="23"/>
        <v>1401</v>
      </c>
      <c r="W385" s="724">
        <v>102</v>
      </c>
      <c r="X385" s="720">
        <v>51.6</v>
      </c>
    </row>
    <row r="386" spans="16:24" ht="15" x14ac:dyDescent="0.25">
      <c r="P386" s="719">
        <v>1401</v>
      </c>
      <c r="Q386" s="719" t="str">
        <f t="shared" si="22"/>
        <v>1401</v>
      </c>
      <c r="R386" s="719">
        <v>102</v>
      </c>
      <c r="S386" s="720">
        <v>52.32</v>
      </c>
      <c r="T386" s="720"/>
      <c r="U386" s="724">
        <v>1401</v>
      </c>
      <c r="V386" s="724" t="str">
        <f t="shared" si="23"/>
        <v>1401</v>
      </c>
      <c r="W386" s="724">
        <v>111</v>
      </c>
      <c r="X386" s="720">
        <v>14.14</v>
      </c>
    </row>
    <row r="387" spans="16:24" ht="15" x14ac:dyDescent="0.25">
      <c r="P387" s="719">
        <v>1401</v>
      </c>
      <c r="Q387" s="719" t="str">
        <f t="shared" ref="Q387:Q450" si="24">TEXT(P387,"0000")</f>
        <v>1401</v>
      </c>
      <c r="R387" s="719">
        <v>111</v>
      </c>
      <c r="S387" s="720">
        <v>11.53</v>
      </c>
      <c r="T387" s="720"/>
      <c r="U387" s="724">
        <v>1401</v>
      </c>
      <c r="V387" s="724" t="str">
        <f t="shared" si="23"/>
        <v>1401</v>
      </c>
      <c r="W387" s="724">
        <v>112</v>
      </c>
      <c r="X387" s="720">
        <v>8.52</v>
      </c>
    </row>
    <row r="388" spans="16:24" ht="15" x14ac:dyDescent="0.25">
      <c r="P388" s="719">
        <v>1401</v>
      </c>
      <c r="Q388" s="719" t="str">
        <f t="shared" si="24"/>
        <v>1401</v>
      </c>
      <c r="R388" s="719">
        <v>112</v>
      </c>
      <c r="S388" s="720">
        <v>6.46</v>
      </c>
      <c r="T388" s="720"/>
      <c r="U388" s="724">
        <v>1401</v>
      </c>
      <c r="V388" s="724" t="str">
        <f t="shared" ref="V388:V451" si="25">TEXT(U388,"0000")</f>
        <v>1401</v>
      </c>
      <c r="W388" s="724">
        <v>130</v>
      </c>
      <c r="X388" s="720">
        <v>47.26</v>
      </c>
    </row>
    <row r="389" spans="16:24" ht="15" x14ac:dyDescent="0.25">
      <c r="P389" s="719">
        <v>1401</v>
      </c>
      <c r="Q389" s="719" t="str">
        <f t="shared" si="24"/>
        <v>1401</v>
      </c>
      <c r="R389" s="719">
        <v>130</v>
      </c>
      <c r="S389" s="720">
        <v>46.86</v>
      </c>
      <c r="T389" s="720"/>
      <c r="U389" s="724">
        <v>1411</v>
      </c>
      <c r="V389" s="724" t="str">
        <f t="shared" si="25"/>
        <v>1411</v>
      </c>
      <c r="W389" s="724">
        <v>101</v>
      </c>
      <c r="X389" s="720">
        <v>135.29</v>
      </c>
    </row>
    <row r="390" spans="16:24" ht="15" x14ac:dyDescent="0.25">
      <c r="P390" s="719">
        <v>1411</v>
      </c>
      <c r="Q390" s="719" t="str">
        <f t="shared" si="24"/>
        <v>1411</v>
      </c>
      <c r="R390" s="719">
        <v>101</v>
      </c>
      <c r="S390" s="720">
        <v>128.19</v>
      </c>
      <c r="T390" s="720"/>
      <c r="U390" s="724">
        <v>1411</v>
      </c>
      <c r="V390" s="724" t="str">
        <f t="shared" si="25"/>
        <v>1411</v>
      </c>
      <c r="W390" s="724">
        <v>102</v>
      </c>
      <c r="X390" s="720">
        <v>56.25</v>
      </c>
    </row>
    <row r="391" spans="16:24" ht="15" x14ac:dyDescent="0.25">
      <c r="P391" s="719">
        <v>1411</v>
      </c>
      <c r="Q391" s="719" t="str">
        <f t="shared" si="24"/>
        <v>1411</v>
      </c>
      <c r="R391" s="719">
        <v>102</v>
      </c>
      <c r="S391" s="720">
        <v>55.02</v>
      </c>
      <c r="T391" s="720"/>
      <c r="U391" s="724">
        <v>1411</v>
      </c>
      <c r="V391" s="724" t="str">
        <f t="shared" si="25"/>
        <v>1411</v>
      </c>
      <c r="W391" s="724">
        <v>111</v>
      </c>
      <c r="X391" s="720">
        <v>50.45</v>
      </c>
    </row>
    <row r="392" spans="16:24" ht="15" x14ac:dyDescent="0.25">
      <c r="P392" s="719">
        <v>1411</v>
      </c>
      <c r="Q392" s="719" t="str">
        <f t="shared" si="24"/>
        <v>1411</v>
      </c>
      <c r="R392" s="719">
        <v>111</v>
      </c>
      <c r="S392" s="720">
        <v>41.19</v>
      </c>
      <c r="T392" s="720"/>
      <c r="U392" s="724">
        <v>1411</v>
      </c>
      <c r="V392" s="724" t="str">
        <f t="shared" si="25"/>
        <v>1411</v>
      </c>
      <c r="W392" s="724">
        <v>112</v>
      </c>
      <c r="X392" s="720">
        <v>16</v>
      </c>
    </row>
    <row r="393" spans="16:24" ht="15" x14ac:dyDescent="0.25">
      <c r="P393" s="719">
        <v>1411</v>
      </c>
      <c r="Q393" s="719" t="str">
        <f t="shared" si="24"/>
        <v>1411</v>
      </c>
      <c r="R393" s="719">
        <v>112</v>
      </c>
      <c r="S393" s="720">
        <v>15.94</v>
      </c>
      <c r="T393" s="720"/>
      <c r="U393" s="724">
        <v>1411</v>
      </c>
      <c r="V393" s="724" t="str">
        <f t="shared" si="25"/>
        <v>1411</v>
      </c>
      <c r="W393" s="724">
        <v>130</v>
      </c>
      <c r="X393" s="720">
        <v>73.47</v>
      </c>
    </row>
    <row r="394" spans="16:24" ht="15" x14ac:dyDescent="0.25">
      <c r="P394" s="719">
        <v>1411</v>
      </c>
      <c r="Q394" s="719" t="str">
        <f t="shared" si="24"/>
        <v>1411</v>
      </c>
      <c r="R394" s="719">
        <v>130</v>
      </c>
      <c r="S394" s="720">
        <v>74.97</v>
      </c>
      <c r="T394" s="720"/>
      <c r="U394" s="724">
        <v>1411</v>
      </c>
      <c r="V394" s="724" t="str">
        <f t="shared" si="25"/>
        <v>1411</v>
      </c>
      <c r="W394" s="724">
        <v>254</v>
      </c>
      <c r="X394" s="720">
        <v>2.5</v>
      </c>
    </row>
    <row r="395" spans="16:24" ht="15" x14ac:dyDescent="0.25">
      <c r="P395" s="719">
        <v>1411</v>
      </c>
      <c r="Q395" s="719" t="str">
        <f t="shared" si="24"/>
        <v>1411</v>
      </c>
      <c r="R395" s="719">
        <v>254</v>
      </c>
      <c r="S395" s="720">
        <v>1</v>
      </c>
      <c r="T395" s="720"/>
      <c r="U395" s="724">
        <v>1421</v>
      </c>
      <c r="V395" s="724" t="str">
        <f t="shared" si="25"/>
        <v>1421</v>
      </c>
      <c r="W395" s="724">
        <v>101</v>
      </c>
      <c r="X395" s="720">
        <v>144.91</v>
      </c>
    </row>
    <row r="396" spans="16:24" ht="15" x14ac:dyDescent="0.25">
      <c r="P396" s="719">
        <v>1421</v>
      </c>
      <c r="Q396" s="719" t="str">
        <f t="shared" si="24"/>
        <v>1421</v>
      </c>
      <c r="R396" s="719">
        <v>101</v>
      </c>
      <c r="S396" s="720">
        <v>146.93</v>
      </c>
      <c r="T396" s="720"/>
      <c r="U396" s="724">
        <v>1421</v>
      </c>
      <c r="V396" s="724" t="str">
        <f t="shared" si="25"/>
        <v>1421</v>
      </c>
      <c r="W396" s="724">
        <v>102</v>
      </c>
      <c r="X396" s="720">
        <v>66.88</v>
      </c>
    </row>
    <row r="397" spans="16:24" ht="15" x14ac:dyDescent="0.25">
      <c r="P397" s="719">
        <v>1421</v>
      </c>
      <c r="Q397" s="719" t="str">
        <f t="shared" si="24"/>
        <v>1421</v>
      </c>
      <c r="R397" s="719">
        <v>102</v>
      </c>
      <c r="S397" s="720">
        <v>68.010000000000005</v>
      </c>
      <c r="T397" s="720"/>
      <c r="U397" s="724">
        <v>1421</v>
      </c>
      <c r="V397" s="724" t="str">
        <f t="shared" si="25"/>
        <v>1421</v>
      </c>
      <c r="W397" s="724">
        <v>111</v>
      </c>
      <c r="X397" s="720">
        <v>71.73</v>
      </c>
    </row>
    <row r="398" spans="16:24" ht="15" x14ac:dyDescent="0.25">
      <c r="P398" s="719">
        <v>1421</v>
      </c>
      <c r="Q398" s="719" t="str">
        <f t="shared" si="24"/>
        <v>1421</v>
      </c>
      <c r="R398" s="719">
        <v>111</v>
      </c>
      <c r="S398" s="720">
        <v>73.31</v>
      </c>
      <c r="T398" s="720"/>
      <c r="U398" s="724">
        <v>1421</v>
      </c>
      <c r="V398" s="724" t="str">
        <f t="shared" si="25"/>
        <v>1421</v>
      </c>
      <c r="W398" s="724">
        <v>112</v>
      </c>
      <c r="X398" s="720">
        <v>25.5</v>
      </c>
    </row>
    <row r="399" spans="16:24" ht="15" x14ac:dyDescent="0.25">
      <c r="P399" s="719">
        <v>1421</v>
      </c>
      <c r="Q399" s="719" t="str">
        <f t="shared" si="24"/>
        <v>1421</v>
      </c>
      <c r="R399" s="719">
        <v>112</v>
      </c>
      <c r="S399" s="720">
        <v>24.98</v>
      </c>
      <c r="T399" s="720"/>
      <c r="U399" s="724">
        <v>1421</v>
      </c>
      <c r="V399" s="724" t="str">
        <f t="shared" si="25"/>
        <v>1421</v>
      </c>
      <c r="W399" s="724">
        <v>130</v>
      </c>
      <c r="X399" s="720">
        <v>39.64</v>
      </c>
    </row>
    <row r="400" spans="16:24" ht="15" x14ac:dyDescent="0.25">
      <c r="P400" s="719">
        <v>1421</v>
      </c>
      <c r="Q400" s="719" t="str">
        <f t="shared" si="24"/>
        <v>1421</v>
      </c>
      <c r="R400" s="719">
        <v>130</v>
      </c>
      <c r="S400" s="720">
        <v>42.1</v>
      </c>
      <c r="T400" s="720"/>
      <c r="U400" s="724">
        <v>1421</v>
      </c>
      <c r="V400" s="724" t="str">
        <f t="shared" si="25"/>
        <v>1421</v>
      </c>
      <c r="W400" s="724">
        <v>254</v>
      </c>
      <c r="X400" s="720">
        <v>0.5</v>
      </c>
    </row>
    <row r="401" spans="16:24" ht="15" x14ac:dyDescent="0.25">
      <c r="P401" s="719">
        <v>1421</v>
      </c>
      <c r="Q401" s="719" t="str">
        <f t="shared" si="24"/>
        <v>1421</v>
      </c>
      <c r="R401" s="719">
        <v>254</v>
      </c>
      <c r="S401" s="720">
        <v>0</v>
      </c>
      <c r="T401" s="720"/>
      <c r="U401" s="724">
        <v>1441</v>
      </c>
      <c r="V401" s="724" t="str">
        <f t="shared" si="25"/>
        <v>1441</v>
      </c>
      <c r="W401" s="724">
        <v>101</v>
      </c>
      <c r="X401" s="720">
        <v>89.48</v>
      </c>
    </row>
    <row r="402" spans="16:24" ht="15" x14ac:dyDescent="0.25">
      <c r="P402" s="719">
        <v>1441</v>
      </c>
      <c r="Q402" s="719" t="str">
        <f t="shared" si="24"/>
        <v>1441</v>
      </c>
      <c r="R402" s="719">
        <v>101</v>
      </c>
      <c r="S402" s="720">
        <v>87.8</v>
      </c>
      <c r="T402" s="720"/>
      <c r="U402" s="724">
        <v>1441</v>
      </c>
      <c r="V402" s="724" t="str">
        <f t="shared" si="25"/>
        <v>1441</v>
      </c>
      <c r="W402" s="724">
        <v>102</v>
      </c>
      <c r="X402" s="720">
        <v>55.66</v>
      </c>
    </row>
    <row r="403" spans="16:24" ht="15" x14ac:dyDescent="0.25">
      <c r="P403" s="719">
        <v>1441</v>
      </c>
      <c r="Q403" s="719" t="str">
        <f t="shared" si="24"/>
        <v>1441</v>
      </c>
      <c r="R403" s="719">
        <v>102</v>
      </c>
      <c r="S403" s="720">
        <v>53.82</v>
      </c>
      <c r="T403" s="720"/>
      <c r="U403" s="724">
        <v>1441</v>
      </c>
      <c r="V403" s="724" t="str">
        <f t="shared" si="25"/>
        <v>1441</v>
      </c>
      <c r="W403" s="724">
        <v>111</v>
      </c>
      <c r="X403" s="720">
        <v>28.5</v>
      </c>
    </row>
    <row r="404" spans="16:24" ht="15" x14ac:dyDescent="0.25">
      <c r="P404" s="719">
        <v>1441</v>
      </c>
      <c r="Q404" s="719" t="str">
        <f t="shared" si="24"/>
        <v>1441</v>
      </c>
      <c r="R404" s="719">
        <v>111</v>
      </c>
      <c r="S404" s="720">
        <v>25</v>
      </c>
      <c r="T404" s="720"/>
      <c r="U404" s="724">
        <v>1441</v>
      </c>
      <c r="V404" s="724" t="str">
        <f t="shared" si="25"/>
        <v>1441</v>
      </c>
      <c r="W404" s="724">
        <v>112</v>
      </c>
      <c r="X404" s="720">
        <v>29.5</v>
      </c>
    </row>
    <row r="405" spans="16:24" ht="15" x14ac:dyDescent="0.25">
      <c r="P405" s="719">
        <v>1441</v>
      </c>
      <c r="Q405" s="719" t="str">
        <f t="shared" si="24"/>
        <v>1441</v>
      </c>
      <c r="R405" s="719">
        <v>112</v>
      </c>
      <c r="S405" s="720">
        <v>28</v>
      </c>
      <c r="T405" s="720"/>
      <c r="U405" s="724">
        <v>1441</v>
      </c>
      <c r="V405" s="724" t="str">
        <f t="shared" si="25"/>
        <v>1441</v>
      </c>
      <c r="W405" s="724">
        <v>130</v>
      </c>
      <c r="X405" s="720">
        <v>116.6</v>
      </c>
    </row>
    <row r="406" spans="16:24" ht="15" x14ac:dyDescent="0.25">
      <c r="P406" s="719">
        <v>1441</v>
      </c>
      <c r="Q406" s="719" t="str">
        <f t="shared" si="24"/>
        <v>1441</v>
      </c>
      <c r="R406" s="719">
        <v>130</v>
      </c>
      <c r="S406" s="720">
        <v>115.38</v>
      </c>
      <c r="T406" s="720"/>
      <c r="U406" s="724">
        <v>1441</v>
      </c>
      <c r="V406" s="724" t="str">
        <f t="shared" si="25"/>
        <v>1441</v>
      </c>
      <c r="W406" s="724">
        <v>254</v>
      </c>
      <c r="X406" s="720">
        <v>0</v>
      </c>
    </row>
    <row r="407" spans="16:24" ht="15" x14ac:dyDescent="0.25">
      <c r="P407" s="719">
        <v>1441</v>
      </c>
      <c r="Q407" s="719" t="str">
        <f t="shared" si="24"/>
        <v>1441</v>
      </c>
      <c r="R407" s="719">
        <v>254</v>
      </c>
      <c r="S407" s="720">
        <v>0.5</v>
      </c>
      <c r="T407" s="720"/>
      <c r="U407" s="724">
        <v>1451</v>
      </c>
      <c r="V407" s="724" t="str">
        <f t="shared" si="25"/>
        <v>1451</v>
      </c>
      <c r="W407" s="724">
        <v>101</v>
      </c>
      <c r="X407" s="720">
        <v>156.26</v>
      </c>
    </row>
    <row r="408" spans="16:24" ht="15" x14ac:dyDescent="0.25">
      <c r="P408" s="719">
        <v>1451</v>
      </c>
      <c r="Q408" s="719" t="str">
        <f t="shared" si="24"/>
        <v>1451</v>
      </c>
      <c r="R408" s="719">
        <v>101</v>
      </c>
      <c r="S408" s="720">
        <v>175.77</v>
      </c>
      <c r="T408" s="720"/>
      <c r="U408" s="724">
        <v>1451</v>
      </c>
      <c r="V408" s="724" t="str">
        <f t="shared" si="25"/>
        <v>1451</v>
      </c>
      <c r="W408" s="724">
        <v>102</v>
      </c>
      <c r="X408" s="720">
        <v>216.71</v>
      </c>
    </row>
    <row r="409" spans="16:24" ht="15" x14ac:dyDescent="0.25">
      <c r="P409" s="719">
        <v>1451</v>
      </c>
      <c r="Q409" s="719" t="str">
        <f t="shared" si="24"/>
        <v>1451</v>
      </c>
      <c r="R409" s="719">
        <v>102</v>
      </c>
      <c r="S409" s="720">
        <v>213.59</v>
      </c>
      <c r="T409" s="720"/>
      <c r="U409" s="724">
        <v>1451</v>
      </c>
      <c r="V409" s="724" t="str">
        <f t="shared" si="25"/>
        <v>1451</v>
      </c>
      <c r="W409" s="724">
        <v>111</v>
      </c>
      <c r="X409" s="720">
        <v>111.96</v>
      </c>
    </row>
    <row r="410" spans="16:24" ht="15" x14ac:dyDescent="0.25">
      <c r="P410" s="719">
        <v>1451</v>
      </c>
      <c r="Q410" s="719" t="str">
        <f t="shared" si="24"/>
        <v>1451</v>
      </c>
      <c r="R410" s="719">
        <v>111</v>
      </c>
      <c r="S410" s="720">
        <v>92.96</v>
      </c>
      <c r="T410" s="720"/>
      <c r="U410" s="724">
        <v>1451</v>
      </c>
      <c r="V410" s="724" t="str">
        <f t="shared" si="25"/>
        <v>1451</v>
      </c>
      <c r="W410" s="724">
        <v>112</v>
      </c>
      <c r="X410" s="720">
        <v>91.07</v>
      </c>
    </row>
    <row r="411" spans="16:24" ht="15" x14ac:dyDescent="0.25">
      <c r="P411" s="719">
        <v>1451</v>
      </c>
      <c r="Q411" s="719" t="str">
        <f t="shared" si="24"/>
        <v>1451</v>
      </c>
      <c r="R411" s="719">
        <v>112</v>
      </c>
      <c r="S411" s="720">
        <v>97.45</v>
      </c>
      <c r="T411" s="720"/>
      <c r="U411" s="724">
        <v>1451</v>
      </c>
      <c r="V411" s="724" t="str">
        <f t="shared" si="25"/>
        <v>1451</v>
      </c>
      <c r="W411" s="724">
        <v>130</v>
      </c>
      <c r="X411" s="720">
        <v>26.21</v>
      </c>
    </row>
    <row r="412" spans="16:24" ht="15" x14ac:dyDescent="0.25">
      <c r="P412" s="719">
        <v>1451</v>
      </c>
      <c r="Q412" s="719" t="str">
        <f t="shared" si="24"/>
        <v>1451</v>
      </c>
      <c r="R412" s="719">
        <v>130</v>
      </c>
      <c r="S412" s="720">
        <v>24.61</v>
      </c>
      <c r="T412" s="720"/>
      <c r="U412" s="724">
        <v>1461</v>
      </c>
      <c r="V412" s="724" t="str">
        <f t="shared" si="25"/>
        <v>1461</v>
      </c>
      <c r="W412" s="724">
        <v>102</v>
      </c>
      <c r="X412" s="720">
        <v>70.099999999999994</v>
      </c>
    </row>
    <row r="413" spans="16:24" ht="15" x14ac:dyDescent="0.25">
      <c r="P413" s="719">
        <v>1461</v>
      </c>
      <c r="Q413" s="719" t="str">
        <f t="shared" si="24"/>
        <v>1461</v>
      </c>
      <c r="R413" s="719">
        <v>102</v>
      </c>
      <c r="S413" s="720">
        <v>73.58</v>
      </c>
      <c r="T413" s="720"/>
      <c r="U413" s="724">
        <v>1461</v>
      </c>
      <c r="V413" s="724" t="str">
        <f t="shared" si="25"/>
        <v>1461</v>
      </c>
      <c r="W413" s="724">
        <v>103</v>
      </c>
      <c r="X413" s="720">
        <v>203.7</v>
      </c>
    </row>
    <row r="414" spans="16:24" ht="15" x14ac:dyDescent="0.25">
      <c r="P414" s="719">
        <v>1461</v>
      </c>
      <c r="Q414" s="719" t="str">
        <f t="shared" si="24"/>
        <v>1461</v>
      </c>
      <c r="R414" s="719">
        <v>103</v>
      </c>
      <c r="S414" s="720">
        <v>207.4</v>
      </c>
      <c r="T414" s="720"/>
      <c r="U414" s="724">
        <v>1461</v>
      </c>
      <c r="V414" s="724" t="str">
        <f t="shared" si="25"/>
        <v>1461</v>
      </c>
      <c r="W414" s="724">
        <v>112</v>
      </c>
      <c r="X414" s="720">
        <v>10.01</v>
      </c>
    </row>
    <row r="415" spans="16:24" ht="15" x14ac:dyDescent="0.25">
      <c r="P415" s="719">
        <v>1461</v>
      </c>
      <c r="Q415" s="719" t="str">
        <f t="shared" si="24"/>
        <v>1461</v>
      </c>
      <c r="R415" s="719">
        <v>112</v>
      </c>
      <c r="S415" s="720">
        <v>9.99</v>
      </c>
      <c r="T415" s="720"/>
      <c r="U415" s="724">
        <v>1461</v>
      </c>
      <c r="V415" s="724" t="str">
        <f t="shared" si="25"/>
        <v>1461</v>
      </c>
      <c r="W415" s="724">
        <v>113</v>
      </c>
      <c r="X415" s="720">
        <v>32.42</v>
      </c>
    </row>
    <row r="416" spans="16:24" ht="15" x14ac:dyDescent="0.25">
      <c r="P416" s="719">
        <v>1461</v>
      </c>
      <c r="Q416" s="719" t="str">
        <f t="shared" si="24"/>
        <v>1461</v>
      </c>
      <c r="R416" s="719">
        <v>113</v>
      </c>
      <c r="S416" s="720">
        <v>34.729999999999997</v>
      </c>
      <c r="T416" s="720"/>
      <c r="U416" s="724">
        <v>1461</v>
      </c>
      <c r="V416" s="724" t="str">
        <f t="shared" si="25"/>
        <v>1461</v>
      </c>
      <c r="W416" s="724">
        <v>130</v>
      </c>
      <c r="X416" s="720">
        <v>9.67</v>
      </c>
    </row>
    <row r="417" spans="16:24" ht="15" x14ac:dyDescent="0.25">
      <c r="P417" s="719">
        <v>1461</v>
      </c>
      <c r="Q417" s="719" t="str">
        <f t="shared" si="24"/>
        <v>1461</v>
      </c>
      <c r="R417" s="719">
        <v>130</v>
      </c>
      <c r="S417" s="720">
        <v>10.220000000000001</v>
      </c>
      <c r="T417" s="720"/>
      <c r="U417" s="724">
        <v>1461</v>
      </c>
      <c r="V417" s="724" t="str">
        <f t="shared" si="25"/>
        <v>1461</v>
      </c>
      <c r="W417" s="724">
        <v>300</v>
      </c>
      <c r="X417" s="720">
        <v>79.33</v>
      </c>
    </row>
    <row r="418" spans="16:24" ht="15" x14ac:dyDescent="0.25">
      <c r="P418" s="719">
        <v>1461</v>
      </c>
      <c r="Q418" s="719" t="str">
        <f t="shared" si="24"/>
        <v>1461</v>
      </c>
      <c r="R418" s="719">
        <v>300</v>
      </c>
      <c r="S418" s="720">
        <v>89.24</v>
      </c>
      <c r="T418" s="720"/>
      <c r="U418" s="724">
        <v>1491</v>
      </c>
      <c r="V418" s="724" t="str">
        <f t="shared" si="25"/>
        <v>1491</v>
      </c>
      <c r="W418" s="724">
        <v>102</v>
      </c>
      <c r="X418" s="720">
        <v>342.58</v>
      </c>
    </row>
    <row r="419" spans="16:24" ht="15" x14ac:dyDescent="0.25">
      <c r="P419" s="719">
        <v>1491</v>
      </c>
      <c r="Q419" s="719" t="str">
        <f t="shared" si="24"/>
        <v>1491</v>
      </c>
      <c r="R419" s="719">
        <v>102</v>
      </c>
      <c r="S419" s="720">
        <v>340.32</v>
      </c>
      <c r="T419" s="720"/>
      <c r="U419" s="724">
        <v>1491</v>
      </c>
      <c r="V419" s="724" t="str">
        <f t="shared" si="25"/>
        <v>1491</v>
      </c>
      <c r="W419" s="724">
        <v>112</v>
      </c>
      <c r="X419" s="720">
        <v>119.63</v>
      </c>
    </row>
    <row r="420" spans="16:24" ht="15" x14ac:dyDescent="0.25">
      <c r="P420" s="719">
        <v>1491</v>
      </c>
      <c r="Q420" s="719" t="str">
        <f t="shared" si="24"/>
        <v>1491</v>
      </c>
      <c r="R420" s="719">
        <v>112</v>
      </c>
      <c r="S420" s="720">
        <v>118.22</v>
      </c>
      <c r="T420" s="720"/>
      <c r="U420" s="724">
        <v>1491</v>
      </c>
      <c r="V420" s="724" t="str">
        <f t="shared" si="25"/>
        <v>1491</v>
      </c>
      <c r="W420" s="724">
        <v>130</v>
      </c>
      <c r="X420" s="720">
        <v>42.73</v>
      </c>
    </row>
    <row r="421" spans="16:24" ht="15" x14ac:dyDescent="0.25">
      <c r="P421" s="719">
        <v>1491</v>
      </c>
      <c r="Q421" s="719" t="str">
        <f t="shared" si="24"/>
        <v>1491</v>
      </c>
      <c r="R421" s="719">
        <v>130</v>
      </c>
      <c r="S421" s="720">
        <v>46.07</v>
      </c>
      <c r="T421" s="720"/>
      <c r="U421" s="724">
        <v>1491</v>
      </c>
      <c r="V421" s="724" t="str">
        <f t="shared" si="25"/>
        <v>1491</v>
      </c>
      <c r="W421" s="724">
        <v>254</v>
      </c>
      <c r="X421" s="720">
        <v>1.38</v>
      </c>
    </row>
    <row r="422" spans="16:24" ht="15" x14ac:dyDescent="0.25">
      <c r="P422" s="719">
        <v>1491</v>
      </c>
      <c r="Q422" s="719" t="str">
        <f t="shared" si="24"/>
        <v>1491</v>
      </c>
      <c r="R422" s="719">
        <v>254</v>
      </c>
      <c r="S422" s="720">
        <v>0.88</v>
      </c>
      <c r="T422" s="720"/>
      <c r="U422" s="724">
        <v>1531</v>
      </c>
      <c r="V422" s="724" t="str">
        <f t="shared" si="25"/>
        <v>1531</v>
      </c>
      <c r="W422" s="724">
        <v>101</v>
      </c>
      <c r="X422" s="720">
        <v>134.44999999999999</v>
      </c>
    </row>
    <row r="423" spans="16:24" ht="15" x14ac:dyDescent="0.25">
      <c r="P423" s="719">
        <v>1531</v>
      </c>
      <c r="Q423" s="719" t="str">
        <f t="shared" si="24"/>
        <v>1531</v>
      </c>
      <c r="R423" s="719">
        <v>101</v>
      </c>
      <c r="S423" s="720">
        <v>142.34</v>
      </c>
      <c r="T423" s="720"/>
      <c r="U423" s="724">
        <v>1531</v>
      </c>
      <c r="V423" s="724" t="str">
        <f t="shared" si="25"/>
        <v>1531</v>
      </c>
      <c r="W423" s="724">
        <v>102</v>
      </c>
      <c r="X423" s="720">
        <v>101.51</v>
      </c>
    </row>
    <row r="424" spans="16:24" ht="15" x14ac:dyDescent="0.25">
      <c r="P424" s="719">
        <v>1531</v>
      </c>
      <c r="Q424" s="719" t="str">
        <f t="shared" si="24"/>
        <v>1531</v>
      </c>
      <c r="R424" s="719">
        <v>102</v>
      </c>
      <c r="S424" s="720">
        <v>104.31</v>
      </c>
      <c r="T424" s="720"/>
      <c r="U424" s="724">
        <v>1531</v>
      </c>
      <c r="V424" s="724" t="str">
        <f t="shared" si="25"/>
        <v>1531</v>
      </c>
      <c r="W424" s="724">
        <v>111</v>
      </c>
      <c r="X424" s="720">
        <v>82.5</v>
      </c>
    </row>
    <row r="425" spans="16:24" ht="15" x14ac:dyDescent="0.25">
      <c r="P425" s="719">
        <v>1531</v>
      </c>
      <c r="Q425" s="719" t="str">
        <f t="shared" si="24"/>
        <v>1531</v>
      </c>
      <c r="R425" s="719">
        <v>111</v>
      </c>
      <c r="S425" s="720">
        <v>73.5</v>
      </c>
      <c r="T425" s="720"/>
      <c r="U425" s="724">
        <v>1531</v>
      </c>
      <c r="V425" s="724" t="str">
        <f t="shared" si="25"/>
        <v>1531</v>
      </c>
      <c r="W425" s="724">
        <v>112</v>
      </c>
      <c r="X425" s="720">
        <v>42.94</v>
      </c>
    </row>
    <row r="426" spans="16:24" ht="15" x14ac:dyDescent="0.25">
      <c r="P426" s="719">
        <v>1531</v>
      </c>
      <c r="Q426" s="719" t="str">
        <f t="shared" si="24"/>
        <v>1531</v>
      </c>
      <c r="R426" s="719">
        <v>112</v>
      </c>
      <c r="S426" s="720">
        <v>40.5</v>
      </c>
      <c r="T426" s="720"/>
      <c r="U426" s="724">
        <v>1531</v>
      </c>
      <c r="V426" s="724" t="str">
        <f t="shared" si="25"/>
        <v>1531</v>
      </c>
      <c r="W426" s="724">
        <v>130</v>
      </c>
      <c r="X426" s="720">
        <v>231.96</v>
      </c>
    </row>
    <row r="427" spans="16:24" ht="15" x14ac:dyDescent="0.25">
      <c r="P427" s="719">
        <v>1531</v>
      </c>
      <c r="Q427" s="719" t="str">
        <f t="shared" si="24"/>
        <v>1531</v>
      </c>
      <c r="R427" s="719">
        <v>130</v>
      </c>
      <c r="S427" s="720">
        <v>249.29</v>
      </c>
      <c r="T427" s="720"/>
      <c r="U427" s="724">
        <v>1531</v>
      </c>
      <c r="V427" s="724" t="str">
        <f t="shared" si="25"/>
        <v>1531</v>
      </c>
      <c r="W427" s="724">
        <v>254</v>
      </c>
      <c r="X427" s="720">
        <v>2.4900000000000002</v>
      </c>
    </row>
    <row r="428" spans="16:24" ht="15" x14ac:dyDescent="0.25">
      <c r="P428" s="719">
        <v>1531</v>
      </c>
      <c r="Q428" s="719" t="str">
        <f t="shared" si="24"/>
        <v>1531</v>
      </c>
      <c r="R428" s="719">
        <v>254</v>
      </c>
      <c r="S428" s="720">
        <v>3.51</v>
      </c>
      <c r="T428" s="720"/>
      <c r="U428" s="724">
        <v>1541</v>
      </c>
      <c r="V428" s="724" t="str">
        <f t="shared" si="25"/>
        <v>1541</v>
      </c>
      <c r="W428" s="724">
        <v>101</v>
      </c>
      <c r="X428" s="720">
        <v>58.03</v>
      </c>
    </row>
    <row r="429" spans="16:24" ht="15" x14ac:dyDescent="0.25">
      <c r="P429" s="719">
        <v>1541</v>
      </c>
      <c r="Q429" s="719" t="str">
        <f t="shared" si="24"/>
        <v>1541</v>
      </c>
      <c r="R429" s="719">
        <v>101</v>
      </c>
      <c r="S429" s="720">
        <v>64.98</v>
      </c>
      <c r="T429" s="720"/>
      <c r="U429" s="724">
        <v>1541</v>
      </c>
      <c r="V429" s="724" t="str">
        <f t="shared" si="25"/>
        <v>1541</v>
      </c>
      <c r="W429" s="724">
        <v>102</v>
      </c>
      <c r="X429" s="720">
        <v>64.37</v>
      </c>
    </row>
    <row r="430" spans="16:24" ht="15" x14ac:dyDescent="0.25">
      <c r="P430" s="719">
        <v>1541</v>
      </c>
      <c r="Q430" s="719" t="str">
        <f t="shared" si="24"/>
        <v>1541</v>
      </c>
      <c r="R430" s="719">
        <v>102</v>
      </c>
      <c r="S430" s="720">
        <v>67.97</v>
      </c>
      <c r="T430" s="720"/>
      <c r="U430" s="724">
        <v>1541</v>
      </c>
      <c r="V430" s="724" t="str">
        <f t="shared" si="25"/>
        <v>1541</v>
      </c>
      <c r="W430" s="724">
        <v>111</v>
      </c>
      <c r="X430" s="720">
        <v>50.88</v>
      </c>
    </row>
    <row r="431" spans="16:24" ht="15" x14ac:dyDescent="0.25">
      <c r="P431" s="719">
        <v>1541</v>
      </c>
      <c r="Q431" s="719" t="str">
        <f t="shared" si="24"/>
        <v>1541</v>
      </c>
      <c r="R431" s="719">
        <v>111</v>
      </c>
      <c r="S431" s="720">
        <v>44.58</v>
      </c>
      <c r="T431" s="720"/>
      <c r="U431" s="724">
        <v>1541</v>
      </c>
      <c r="V431" s="724" t="str">
        <f t="shared" si="25"/>
        <v>1541</v>
      </c>
      <c r="W431" s="724">
        <v>112</v>
      </c>
      <c r="X431" s="720">
        <v>38.04</v>
      </c>
    </row>
    <row r="432" spans="16:24" ht="15" x14ac:dyDescent="0.25">
      <c r="P432" s="719">
        <v>1541</v>
      </c>
      <c r="Q432" s="719" t="str">
        <f t="shared" si="24"/>
        <v>1541</v>
      </c>
      <c r="R432" s="719">
        <v>112</v>
      </c>
      <c r="S432" s="720">
        <v>36.96</v>
      </c>
      <c r="T432" s="720"/>
      <c r="U432" s="724">
        <v>1541</v>
      </c>
      <c r="V432" s="724" t="str">
        <f t="shared" si="25"/>
        <v>1541</v>
      </c>
      <c r="W432" s="724">
        <v>130</v>
      </c>
      <c r="X432" s="720">
        <v>24.67</v>
      </c>
    </row>
    <row r="433" spans="16:24" ht="15" x14ac:dyDescent="0.25">
      <c r="P433" s="719">
        <v>1541</v>
      </c>
      <c r="Q433" s="719" t="str">
        <f t="shared" si="24"/>
        <v>1541</v>
      </c>
      <c r="R433" s="719">
        <v>130</v>
      </c>
      <c r="S433" s="720">
        <v>23.19</v>
      </c>
      <c r="T433" s="720"/>
      <c r="U433" s="724">
        <v>1541</v>
      </c>
      <c r="V433" s="724" t="str">
        <f t="shared" si="25"/>
        <v>1541</v>
      </c>
      <c r="W433" s="724">
        <v>254</v>
      </c>
      <c r="X433" s="720">
        <v>6.14</v>
      </c>
    </row>
    <row r="434" spans="16:24" ht="15" x14ac:dyDescent="0.25">
      <c r="P434" s="719">
        <v>1541</v>
      </c>
      <c r="Q434" s="719" t="str">
        <f t="shared" si="24"/>
        <v>1541</v>
      </c>
      <c r="R434" s="719">
        <v>254</v>
      </c>
      <c r="S434" s="720">
        <v>4.37</v>
      </c>
      <c r="T434" s="720"/>
      <c r="U434" s="724">
        <v>1541</v>
      </c>
      <c r="V434" s="724" t="str">
        <f t="shared" si="25"/>
        <v>1541</v>
      </c>
      <c r="W434" s="724">
        <v>255</v>
      </c>
      <c r="X434" s="720">
        <v>0.31</v>
      </c>
    </row>
    <row r="435" spans="16:24" ht="15" x14ac:dyDescent="0.25">
      <c r="P435" s="719">
        <v>1541</v>
      </c>
      <c r="Q435" s="719" t="str">
        <f t="shared" si="24"/>
        <v>1541</v>
      </c>
      <c r="R435" s="719">
        <v>255</v>
      </c>
      <c r="S435" s="720">
        <v>0</v>
      </c>
      <c r="T435" s="720"/>
      <c r="U435" s="724">
        <v>1561</v>
      </c>
      <c r="V435" s="724" t="str">
        <f t="shared" si="25"/>
        <v>1561</v>
      </c>
      <c r="W435" s="724">
        <v>103</v>
      </c>
      <c r="X435" s="720">
        <v>1000.94</v>
      </c>
    </row>
    <row r="436" spans="16:24" ht="15" x14ac:dyDescent="0.25">
      <c r="P436" s="719">
        <v>1561</v>
      </c>
      <c r="Q436" s="719" t="str">
        <f t="shared" si="24"/>
        <v>1561</v>
      </c>
      <c r="R436" s="719">
        <v>103</v>
      </c>
      <c r="S436" s="720">
        <v>1015.31</v>
      </c>
      <c r="T436" s="720"/>
      <c r="U436" s="724">
        <v>1561</v>
      </c>
      <c r="V436" s="724" t="str">
        <f t="shared" si="25"/>
        <v>1561</v>
      </c>
      <c r="W436" s="724">
        <v>113</v>
      </c>
      <c r="X436" s="720">
        <v>174.49</v>
      </c>
    </row>
    <row r="437" spans="16:24" ht="15" x14ac:dyDescent="0.25">
      <c r="P437" s="719">
        <v>1561</v>
      </c>
      <c r="Q437" s="719" t="str">
        <f t="shared" si="24"/>
        <v>1561</v>
      </c>
      <c r="R437" s="719">
        <v>113</v>
      </c>
      <c r="S437" s="720">
        <v>182.63</v>
      </c>
      <c r="T437" s="720"/>
      <c r="U437" s="724">
        <v>1561</v>
      </c>
      <c r="V437" s="724" t="str">
        <f t="shared" si="25"/>
        <v>1561</v>
      </c>
      <c r="W437" s="724">
        <v>130</v>
      </c>
      <c r="X437" s="720">
        <v>73.290000000000006</v>
      </c>
    </row>
    <row r="438" spans="16:24" ht="15" x14ac:dyDescent="0.25">
      <c r="P438" s="719">
        <v>1561</v>
      </c>
      <c r="Q438" s="719" t="str">
        <f t="shared" si="24"/>
        <v>1561</v>
      </c>
      <c r="R438" s="719">
        <v>130</v>
      </c>
      <c r="S438" s="720">
        <v>74.819999999999993</v>
      </c>
      <c r="T438" s="720"/>
      <c r="U438" s="724">
        <v>1561</v>
      </c>
      <c r="V438" s="724" t="str">
        <f t="shared" si="25"/>
        <v>1561</v>
      </c>
      <c r="W438" s="724">
        <v>254</v>
      </c>
      <c r="X438" s="720">
        <v>2</v>
      </c>
    </row>
    <row r="439" spans="16:24" ht="15" x14ac:dyDescent="0.25">
      <c r="P439" s="719">
        <v>1561</v>
      </c>
      <c r="Q439" s="719" t="str">
        <f t="shared" si="24"/>
        <v>1561</v>
      </c>
      <c r="R439" s="719">
        <v>254</v>
      </c>
      <c r="S439" s="720">
        <v>1.5</v>
      </c>
      <c r="T439" s="720"/>
      <c r="U439" s="724">
        <v>1561</v>
      </c>
      <c r="V439" s="724" t="str">
        <f t="shared" si="25"/>
        <v>1561</v>
      </c>
      <c r="W439" s="724">
        <v>300</v>
      </c>
      <c r="X439" s="720">
        <v>80.86</v>
      </c>
    </row>
    <row r="440" spans="16:24" ht="15" x14ac:dyDescent="0.25">
      <c r="P440" s="719">
        <v>1561</v>
      </c>
      <c r="Q440" s="719" t="str">
        <f t="shared" si="24"/>
        <v>1561</v>
      </c>
      <c r="R440" s="719">
        <v>300</v>
      </c>
      <c r="S440" s="720">
        <v>82.67</v>
      </c>
      <c r="T440" s="720"/>
      <c r="U440" s="724">
        <v>1571</v>
      </c>
      <c r="V440" s="724" t="str">
        <f t="shared" si="25"/>
        <v>1571</v>
      </c>
      <c r="W440" s="724">
        <v>102</v>
      </c>
      <c r="X440" s="720">
        <v>0.11</v>
      </c>
    </row>
    <row r="441" spans="16:24" ht="15" x14ac:dyDescent="0.25">
      <c r="P441" s="719">
        <v>1571</v>
      </c>
      <c r="Q441" s="719" t="str">
        <f t="shared" si="24"/>
        <v>1571</v>
      </c>
      <c r="R441" s="719">
        <v>102</v>
      </c>
      <c r="S441" s="720">
        <v>0</v>
      </c>
      <c r="T441" s="720"/>
      <c r="U441" s="724">
        <v>1571</v>
      </c>
      <c r="V441" s="724" t="str">
        <f t="shared" si="25"/>
        <v>1571</v>
      </c>
      <c r="W441" s="724">
        <v>103</v>
      </c>
      <c r="X441" s="720">
        <v>273.25</v>
      </c>
    </row>
    <row r="442" spans="16:24" ht="15" x14ac:dyDescent="0.25">
      <c r="P442" s="719">
        <v>1571</v>
      </c>
      <c r="Q442" s="719" t="str">
        <f t="shared" si="24"/>
        <v>1571</v>
      </c>
      <c r="R442" s="719">
        <v>103</v>
      </c>
      <c r="S442" s="720">
        <v>288.52999999999997</v>
      </c>
      <c r="T442" s="720"/>
      <c r="U442" s="724">
        <v>1571</v>
      </c>
      <c r="V442" s="724" t="str">
        <f t="shared" si="25"/>
        <v>1571</v>
      </c>
      <c r="W442" s="724">
        <v>113</v>
      </c>
      <c r="X442" s="720">
        <v>137.68</v>
      </c>
    </row>
    <row r="443" spans="16:24" ht="15" x14ac:dyDescent="0.25">
      <c r="P443" s="719">
        <v>1571</v>
      </c>
      <c r="Q443" s="719" t="str">
        <f t="shared" si="24"/>
        <v>1571</v>
      </c>
      <c r="R443" s="719">
        <v>113</v>
      </c>
      <c r="S443" s="720">
        <v>145</v>
      </c>
      <c r="T443" s="720"/>
      <c r="U443" s="724">
        <v>1571</v>
      </c>
      <c r="V443" s="724" t="str">
        <f t="shared" si="25"/>
        <v>1571</v>
      </c>
      <c r="W443" s="724">
        <v>130</v>
      </c>
      <c r="X443" s="720">
        <v>1.33</v>
      </c>
    </row>
    <row r="444" spans="16:24" ht="15" x14ac:dyDescent="0.25">
      <c r="P444" s="719">
        <v>1571</v>
      </c>
      <c r="Q444" s="719" t="str">
        <f t="shared" si="24"/>
        <v>1571</v>
      </c>
      <c r="R444" s="719">
        <v>130</v>
      </c>
      <c r="S444" s="720">
        <v>1.47</v>
      </c>
      <c r="T444" s="720"/>
      <c r="U444" s="724">
        <v>1571</v>
      </c>
      <c r="V444" s="724" t="str">
        <f t="shared" si="25"/>
        <v>1571</v>
      </c>
      <c r="W444" s="724">
        <v>300</v>
      </c>
      <c r="X444" s="720">
        <v>126</v>
      </c>
    </row>
    <row r="445" spans="16:24" ht="15" x14ac:dyDescent="0.25">
      <c r="P445" s="719">
        <v>1571</v>
      </c>
      <c r="Q445" s="719" t="str">
        <f t="shared" si="24"/>
        <v>1571</v>
      </c>
      <c r="R445" s="719">
        <v>300</v>
      </c>
      <c r="S445" s="720">
        <v>129.88</v>
      </c>
      <c r="T445" s="720"/>
      <c r="U445" s="724">
        <v>1581</v>
      </c>
      <c r="V445" s="724" t="str">
        <f t="shared" si="25"/>
        <v>1581</v>
      </c>
      <c r="W445" s="724">
        <v>102</v>
      </c>
      <c r="X445" s="720">
        <v>225.64</v>
      </c>
    </row>
    <row r="446" spans="16:24" ht="15" x14ac:dyDescent="0.25">
      <c r="P446" s="719">
        <v>1581</v>
      </c>
      <c r="Q446" s="719" t="str">
        <f t="shared" si="24"/>
        <v>1581</v>
      </c>
      <c r="R446" s="719">
        <v>102</v>
      </c>
      <c r="S446" s="720">
        <v>217.44</v>
      </c>
      <c r="T446" s="720"/>
      <c r="U446" s="724">
        <v>1581</v>
      </c>
      <c r="V446" s="724" t="str">
        <f t="shared" si="25"/>
        <v>1581</v>
      </c>
      <c r="W446" s="724">
        <v>112</v>
      </c>
      <c r="X446" s="720">
        <v>90.93</v>
      </c>
    </row>
    <row r="447" spans="16:24" ht="15" x14ac:dyDescent="0.25">
      <c r="P447" s="719">
        <v>1581</v>
      </c>
      <c r="Q447" s="719" t="str">
        <f t="shared" si="24"/>
        <v>1581</v>
      </c>
      <c r="R447" s="719">
        <v>112</v>
      </c>
      <c r="S447" s="720">
        <v>88.59</v>
      </c>
      <c r="T447" s="720"/>
      <c r="U447" s="724">
        <v>1581</v>
      </c>
      <c r="V447" s="724" t="str">
        <f t="shared" si="25"/>
        <v>1581</v>
      </c>
      <c r="W447" s="724">
        <v>130</v>
      </c>
      <c r="X447" s="720">
        <v>71.48</v>
      </c>
    </row>
    <row r="448" spans="16:24" ht="15" x14ac:dyDescent="0.25">
      <c r="P448" s="719">
        <v>1581</v>
      </c>
      <c r="Q448" s="719" t="str">
        <f t="shared" si="24"/>
        <v>1581</v>
      </c>
      <c r="R448" s="719">
        <v>130</v>
      </c>
      <c r="S448" s="720">
        <v>69.84</v>
      </c>
      <c r="T448" s="720"/>
      <c r="U448" s="724">
        <v>1581</v>
      </c>
      <c r="V448" s="724" t="str">
        <f t="shared" si="25"/>
        <v>1581</v>
      </c>
      <c r="W448" s="724">
        <v>254</v>
      </c>
      <c r="X448" s="720">
        <v>1.5</v>
      </c>
    </row>
    <row r="449" spans="16:24" ht="15" x14ac:dyDescent="0.25">
      <c r="P449" s="719">
        <v>1581</v>
      </c>
      <c r="Q449" s="719" t="str">
        <f t="shared" si="24"/>
        <v>1581</v>
      </c>
      <c r="R449" s="719">
        <v>254</v>
      </c>
      <c r="S449" s="720">
        <v>1.5</v>
      </c>
      <c r="T449" s="720"/>
      <c r="U449" s="724">
        <v>1611</v>
      </c>
      <c r="V449" s="724" t="str">
        <f t="shared" si="25"/>
        <v>1611</v>
      </c>
      <c r="W449" s="724">
        <v>103</v>
      </c>
      <c r="X449" s="720">
        <v>832.56</v>
      </c>
    </row>
    <row r="450" spans="16:24" ht="15" x14ac:dyDescent="0.25">
      <c r="P450" s="719">
        <v>1611</v>
      </c>
      <c r="Q450" s="719" t="str">
        <f t="shared" si="24"/>
        <v>1611</v>
      </c>
      <c r="R450" s="719">
        <v>103</v>
      </c>
      <c r="S450" s="720">
        <v>816.26</v>
      </c>
      <c r="T450" s="720"/>
      <c r="U450" s="724">
        <v>1611</v>
      </c>
      <c r="V450" s="724" t="str">
        <f t="shared" si="25"/>
        <v>1611</v>
      </c>
      <c r="W450" s="724">
        <v>113</v>
      </c>
      <c r="X450" s="720">
        <v>178.43</v>
      </c>
    </row>
    <row r="451" spans="16:24" ht="15" x14ac:dyDescent="0.25">
      <c r="P451" s="719">
        <v>1611</v>
      </c>
      <c r="Q451" s="719" t="str">
        <f t="shared" ref="Q451:Q514" si="26">TEXT(P451,"0000")</f>
        <v>1611</v>
      </c>
      <c r="R451" s="719">
        <v>113</v>
      </c>
      <c r="S451" s="720">
        <v>183.04</v>
      </c>
      <c r="T451" s="720"/>
      <c r="U451" s="724">
        <v>1611</v>
      </c>
      <c r="V451" s="724" t="str">
        <f t="shared" si="25"/>
        <v>1611</v>
      </c>
      <c r="W451" s="724">
        <v>130</v>
      </c>
      <c r="X451" s="720">
        <v>60.88</v>
      </c>
    </row>
    <row r="452" spans="16:24" ht="15" x14ac:dyDescent="0.25">
      <c r="P452" s="719">
        <v>1611</v>
      </c>
      <c r="Q452" s="719" t="str">
        <f t="shared" si="26"/>
        <v>1611</v>
      </c>
      <c r="R452" s="719">
        <v>130</v>
      </c>
      <c r="S452" s="720">
        <v>69.56</v>
      </c>
      <c r="T452" s="720"/>
      <c r="U452" s="724">
        <v>1611</v>
      </c>
      <c r="V452" s="724" t="str">
        <f t="shared" ref="V452:V515" si="27">TEXT(U452,"0000")</f>
        <v>1611</v>
      </c>
      <c r="W452" s="724">
        <v>254</v>
      </c>
      <c r="X452" s="720">
        <v>1.58</v>
      </c>
    </row>
    <row r="453" spans="16:24" ht="15" x14ac:dyDescent="0.25">
      <c r="P453" s="719">
        <v>1611</v>
      </c>
      <c r="Q453" s="719" t="str">
        <f t="shared" si="26"/>
        <v>1611</v>
      </c>
      <c r="R453" s="719">
        <v>254</v>
      </c>
      <c r="S453" s="720">
        <v>1.96</v>
      </c>
      <c r="T453" s="720"/>
      <c r="U453" s="724">
        <v>1611</v>
      </c>
      <c r="V453" s="724" t="str">
        <f t="shared" si="27"/>
        <v>1611</v>
      </c>
      <c r="W453" s="724">
        <v>255</v>
      </c>
      <c r="X453" s="720">
        <v>0</v>
      </c>
    </row>
    <row r="454" spans="16:24" ht="15" x14ac:dyDescent="0.25">
      <c r="P454" s="719">
        <v>1611</v>
      </c>
      <c r="Q454" s="719" t="str">
        <f t="shared" si="26"/>
        <v>1611</v>
      </c>
      <c r="R454" s="719">
        <v>255</v>
      </c>
      <c r="S454" s="720">
        <v>0.04</v>
      </c>
      <c r="T454" s="720"/>
      <c r="U454" s="724">
        <v>1611</v>
      </c>
      <c r="V454" s="724" t="str">
        <f t="shared" si="27"/>
        <v>1611</v>
      </c>
      <c r="W454" s="724">
        <v>300</v>
      </c>
      <c r="X454" s="720">
        <v>78.5</v>
      </c>
    </row>
    <row r="455" spans="16:24" ht="15" x14ac:dyDescent="0.25">
      <c r="P455" s="719">
        <v>1611</v>
      </c>
      <c r="Q455" s="719" t="str">
        <f t="shared" si="26"/>
        <v>1611</v>
      </c>
      <c r="R455" s="719">
        <v>300</v>
      </c>
      <c r="S455" s="720">
        <v>81.17</v>
      </c>
      <c r="T455" s="720"/>
      <c r="U455" s="724">
        <v>1651</v>
      </c>
      <c r="V455" s="724" t="str">
        <f t="shared" si="27"/>
        <v>1651</v>
      </c>
      <c r="W455" s="724">
        <v>101</v>
      </c>
      <c r="X455" s="720">
        <v>116.09</v>
      </c>
    </row>
    <row r="456" spans="16:24" ht="15" x14ac:dyDescent="0.25">
      <c r="P456" s="719">
        <v>1651</v>
      </c>
      <c r="Q456" s="719" t="str">
        <f t="shared" si="26"/>
        <v>1651</v>
      </c>
      <c r="R456" s="719">
        <v>101</v>
      </c>
      <c r="S456" s="720">
        <v>115.7</v>
      </c>
      <c r="T456" s="720"/>
      <c r="U456" s="724">
        <v>1651</v>
      </c>
      <c r="V456" s="724" t="str">
        <f t="shared" si="27"/>
        <v>1651</v>
      </c>
      <c r="W456" s="724">
        <v>102</v>
      </c>
      <c r="X456" s="720">
        <v>78.48</v>
      </c>
    </row>
    <row r="457" spans="16:24" ht="15" x14ac:dyDescent="0.25">
      <c r="P457" s="719">
        <v>1651</v>
      </c>
      <c r="Q457" s="719" t="str">
        <f t="shared" si="26"/>
        <v>1651</v>
      </c>
      <c r="R457" s="719">
        <v>102</v>
      </c>
      <c r="S457" s="720">
        <v>79.290000000000006</v>
      </c>
      <c r="T457" s="720"/>
      <c r="U457" s="724">
        <v>1651</v>
      </c>
      <c r="V457" s="724" t="str">
        <f t="shared" si="27"/>
        <v>1651</v>
      </c>
      <c r="W457" s="724">
        <v>111</v>
      </c>
      <c r="X457" s="720">
        <v>47.51</v>
      </c>
    </row>
    <row r="458" spans="16:24" ht="15" x14ac:dyDescent="0.25">
      <c r="P458" s="719">
        <v>1651</v>
      </c>
      <c r="Q458" s="719" t="str">
        <f t="shared" si="26"/>
        <v>1651</v>
      </c>
      <c r="R458" s="719">
        <v>111</v>
      </c>
      <c r="S458" s="720">
        <v>43.99</v>
      </c>
      <c r="T458" s="720"/>
      <c r="U458" s="724">
        <v>1651</v>
      </c>
      <c r="V458" s="724" t="str">
        <f t="shared" si="27"/>
        <v>1651</v>
      </c>
      <c r="W458" s="724">
        <v>112</v>
      </c>
      <c r="X458" s="720">
        <v>23</v>
      </c>
    </row>
    <row r="459" spans="16:24" ht="15" x14ac:dyDescent="0.25">
      <c r="P459" s="719">
        <v>1651</v>
      </c>
      <c r="Q459" s="719" t="str">
        <f t="shared" si="26"/>
        <v>1651</v>
      </c>
      <c r="R459" s="719">
        <v>112</v>
      </c>
      <c r="S459" s="720">
        <v>23</v>
      </c>
      <c r="T459" s="720"/>
      <c r="U459" s="724">
        <v>1651</v>
      </c>
      <c r="V459" s="724" t="str">
        <f t="shared" si="27"/>
        <v>1651</v>
      </c>
      <c r="W459" s="724">
        <v>130</v>
      </c>
      <c r="X459" s="720">
        <v>45.58</v>
      </c>
    </row>
    <row r="460" spans="16:24" ht="15" x14ac:dyDescent="0.25">
      <c r="P460" s="719">
        <v>1651</v>
      </c>
      <c r="Q460" s="719" t="str">
        <f t="shared" si="26"/>
        <v>1651</v>
      </c>
      <c r="R460" s="719">
        <v>130</v>
      </c>
      <c r="S460" s="720">
        <v>44.9</v>
      </c>
      <c r="T460" s="720"/>
      <c r="U460" s="724">
        <v>1651</v>
      </c>
      <c r="V460" s="724" t="str">
        <f t="shared" si="27"/>
        <v>1651</v>
      </c>
      <c r="W460" s="724">
        <v>254</v>
      </c>
      <c r="X460" s="720">
        <v>0.5</v>
      </c>
    </row>
    <row r="461" spans="16:24" ht="15" x14ac:dyDescent="0.25">
      <c r="P461" s="719">
        <v>1651</v>
      </c>
      <c r="Q461" s="719" t="str">
        <f t="shared" si="26"/>
        <v>1651</v>
      </c>
      <c r="R461" s="719">
        <v>254</v>
      </c>
      <c r="S461" s="720">
        <v>0.5</v>
      </c>
      <c r="T461" s="720"/>
      <c r="U461" s="724">
        <v>1661</v>
      </c>
      <c r="V461" s="724" t="str">
        <f t="shared" si="27"/>
        <v>1661</v>
      </c>
      <c r="W461" s="724">
        <v>101</v>
      </c>
      <c r="X461" s="720">
        <v>193.98</v>
      </c>
    </row>
    <row r="462" spans="16:24" ht="15" x14ac:dyDescent="0.25">
      <c r="P462" s="719">
        <v>1661</v>
      </c>
      <c r="Q462" s="719" t="str">
        <f t="shared" si="26"/>
        <v>1661</v>
      </c>
      <c r="R462" s="719">
        <v>101</v>
      </c>
      <c r="S462" s="720">
        <v>198.95</v>
      </c>
      <c r="T462" s="720"/>
      <c r="U462" s="724">
        <v>1661</v>
      </c>
      <c r="V462" s="724" t="str">
        <f t="shared" si="27"/>
        <v>1661</v>
      </c>
      <c r="W462" s="724">
        <v>102</v>
      </c>
      <c r="X462" s="720">
        <v>254.5</v>
      </c>
    </row>
    <row r="463" spans="16:24" ht="15" x14ac:dyDescent="0.25">
      <c r="P463" s="719">
        <v>1661</v>
      </c>
      <c r="Q463" s="719" t="str">
        <f t="shared" si="26"/>
        <v>1661</v>
      </c>
      <c r="R463" s="719">
        <v>102</v>
      </c>
      <c r="S463" s="720">
        <v>260.63</v>
      </c>
      <c r="T463" s="720"/>
      <c r="U463" s="724">
        <v>1661</v>
      </c>
      <c r="V463" s="724" t="str">
        <f t="shared" si="27"/>
        <v>1661</v>
      </c>
      <c r="W463" s="724">
        <v>111</v>
      </c>
      <c r="X463" s="720">
        <v>69.06</v>
      </c>
    </row>
    <row r="464" spans="16:24" ht="15" x14ac:dyDescent="0.25">
      <c r="P464" s="719">
        <v>1661</v>
      </c>
      <c r="Q464" s="719" t="str">
        <f t="shared" si="26"/>
        <v>1661</v>
      </c>
      <c r="R464" s="719">
        <v>111</v>
      </c>
      <c r="S464" s="720">
        <v>65.97</v>
      </c>
      <c r="T464" s="720"/>
      <c r="U464" s="724">
        <v>1661</v>
      </c>
      <c r="V464" s="724" t="str">
        <f t="shared" si="27"/>
        <v>1661</v>
      </c>
      <c r="W464" s="724">
        <v>112</v>
      </c>
      <c r="X464" s="720">
        <v>58</v>
      </c>
    </row>
    <row r="465" spans="16:24" ht="15" x14ac:dyDescent="0.25">
      <c r="P465" s="719">
        <v>1661</v>
      </c>
      <c r="Q465" s="719" t="str">
        <f t="shared" si="26"/>
        <v>1661</v>
      </c>
      <c r="R465" s="719">
        <v>112</v>
      </c>
      <c r="S465" s="720">
        <v>58.01</v>
      </c>
      <c r="T465" s="720"/>
      <c r="U465" s="724">
        <v>1661</v>
      </c>
      <c r="V465" s="724" t="str">
        <f t="shared" si="27"/>
        <v>1661</v>
      </c>
      <c r="W465" s="724">
        <v>130</v>
      </c>
      <c r="X465" s="720">
        <v>80.94</v>
      </c>
    </row>
    <row r="466" spans="16:24" ht="15" x14ac:dyDescent="0.25">
      <c r="P466" s="719">
        <v>1661</v>
      </c>
      <c r="Q466" s="719" t="str">
        <f t="shared" si="26"/>
        <v>1661</v>
      </c>
      <c r="R466" s="719">
        <v>130</v>
      </c>
      <c r="S466" s="720">
        <v>82.58</v>
      </c>
      <c r="T466" s="720"/>
      <c r="U466" s="724">
        <v>1661</v>
      </c>
      <c r="V466" s="724" t="str">
        <f t="shared" si="27"/>
        <v>1661</v>
      </c>
      <c r="W466" s="724">
        <v>254</v>
      </c>
      <c r="X466" s="720">
        <v>0.5</v>
      </c>
    </row>
    <row r="467" spans="16:24" ht="15" x14ac:dyDescent="0.25">
      <c r="P467" s="719">
        <v>1661</v>
      </c>
      <c r="Q467" s="719" t="str">
        <f t="shared" si="26"/>
        <v>1661</v>
      </c>
      <c r="R467" s="719">
        <v>254</v>
      </c>
      <c r="S467" s="720">
        <v>0.5</v>
      </c>
      <c r="T467" s="720"/>
      <c r="U467" s="724">
        <v>1671</v>
      </c>
      <c r="V467" s="724" t="str">
        <f t="shared" si="27"/>
        <v>1671</v>
      </c>
      <c r="W467" s="724">
        <v>101</v>
      </c>
      <c r="X467" s="720">
        <v>176.48</v>
      </c>
    </row>
    <row r="468" spans="16:24" ht="15" x14ac:dyDescent="0.25">
      <c r="P468" s="719">
        <v>1671</v>
      </c>
      <c r="Q468" s="719" t="str">
        <f t="shared" si="26"/>
        <v>1671</v>
      </c>
      <c r="R468" s="719">
        <v>101</v>
      </c>
      <c r="S468" s="720">
        <v>173.57</v>
      </c>
      <c r="T468" s="720"/>
      <c r="U468" s="724">
        <v>1671</v>
      </c>
      <c r="V468" s="724" t="str">
        <f t="shared" si="27"/>
        <v>1671</v>
      </c>
      <c r="W468" s="724">
        <v>102</v>
      </c>
      <c r="X468" s="720">
        <v>92.1</v>
      </c>
    </row>
    <row r="469" spans="16:24" ht="15" x14ac:dyDescent="0.25">
      <c r="P469" s="719">
        <v>1671</v>
      </c>
      <c r="Q469" s="719" t="str">
        <f t="shared" si="26"/>
        <v>1671</v>
      </c>
      <c r="R469" s="719">
        <v>102</v>
      </c>
      <c r="S469" s="720">
        <v>93.53</v>
      </c>
      <c r="T469" s="720"/>
      <c r="U469" s="724">
        <v>1671</v>
      </c>
      <c r="V469" s="724" t="str">
        <f t="shared" si="27"/>
        <v>1671</v>
      </c>
      <c r="W469" s="724">
        <v>111</v>
      </c>
      <c r="X469" s="720">
        <v>74.75</v>
      </c>
    </row>
    <row r="470" spans="16:24" ht="15" x14ac:dyDescent="0.25">
      <c r="P470" s="719">
        <v>1671</v>
      </c>
      <c r="Q470" s="719" t="str">
        <f t="shared" si="26"/>
        <v>1671</v>
      </c>
      <c r="R470" s="719">
        <v>111</v>
      </c>
      <c r="S470" s="720">
        <v>71.25</v>
      </c>
      <c r="T470" s="720"/>
      <c r="U470" s="724">
        <v>1671</v>
      </c>
      <c r="V470" s="724" t="str">
        <f t="shared" si="27"/>
        <v>1671</v>
      </c>
      <c r="W470" s="724">
        <v>112</v>
      </c>
      <c r="X470" s="720">
        <v>35.5</v>
      </c>
    </row>
    <row r="471" spans="16:24" ht="15" x14ac:dyDescent="0.25">
      <c r="P471" s="719">
        <v>1671</v>
      </c>
      <c r="Q471" s="719" t="str">
        <f t="shared" si="26"/>
        <v>1671</v>
      </c>
      <c r="R471" s="719">
        <v>112</v>
      </c>
      <c r="S471" s="720">
        <v>36</v>
      </c>
      <c r="T471" s="720"/>
      <c r="U471" s="724">
        <v>1671</v>
      </c>
      <c r="V471" s="724" t="str">
        <f t="shared" si="27"/>
        <v>1671</v>
      </c>
      <c r="W471" s="724">
        <v>130</v>
      </c>
      <c r="X471" s="720">
        <v>28.98</v>
      </c>
    </row>
    <row r="472" spans="16:24" ht="15" x14ac:dyDescent="0.25">
      <c r="P472" s="719">
        <v>1671</v>
      </c>
      <c r="Q472" s="719" t="str">
        <f t="shared" si="26"/>
        <v>1671</v>
      </c>
      <c r="R472" s="719">
        <v>130</v>
      </c>
      <c r="S472" s="720">
        <v>31.38</v>
      </c>
      <c r="T472" s="720"/>
      <c r="U472" s="724">
        <v>1671</v>
      </c>
      <c r="V472" s="724" t="str">
        <f t="shared" si="27"/>
        <v>1671</v>
      </c>
      <c r="W472" s="724">
        <v>254</v>
      </c>
      <c r="X472" s="720">
        <v>0.31</v>
      </c>
    </row>
    <row r="473" spans="16:24" ht="15" x14ac:dyDescent="0.25">
      <c r="P473" s="719">
        <v>1671</v>
      </c>
      <c r="Q473" s="719" t="str">
        <f t="shared" si="26"/>
        <v>1671</v>
      </c>
      <c r="R473" s="719">
        <v>254</v>
      </c>
      <c r="S473" s="720">
        <v>0.31</v>
      </c>
      <c r="T473" s="720"/>
      <c r="U473" s="724">
        <v>1681</v>
      </c>
      <c r="V473" s="725" t="str">
        <f t="shared" si="27"/>
        <v>1681</v>
      </c>
      <c r="W473" s="725">
        <v>101</v>
      </c>
      <c r="X473" s="726">
        <v>0</v>
      </c>
    </row>
    <row r="474" spans="16:24" ht="15" x14ac:dyDescent="0.25">
      <c r="P474" s="719">
        <v>1681</v>
      </c>
      <c r="Q474" s="719" t="str">
        <f t="shared" si="26"/>
        <v>1681</v>
      </c>
      <c r="R474" s="719">
        <v>103</v>
      </c>
      <c r="S474" s="720">
        <v>1025.78</v>
      </c>
      <c r="T474" s="720"/>
      <c r="U474" s="724">
        <v>1681</v>
      </c>
      <c r="V474" s="724" t="str">
        <f t="shared" si="27"/>
        <v>1681</v>
      </c>
      <c r="W474" s="724">
        <v>103</v>
      </c>
      <c r="X474" s="720">
        <v>1011.09</v>
      </c>
    </row>
    <row r="475" spans="16:24" ht="15" x14ac:dyDescent="0.25">
      <c r="P475" s="719">
        <v>1681</v>
      </c>
      <c r="Q475" s="719" t="str">
        <f t="shared" si="26"/>
        <v>1681</v>
      </c>
      <c r="R475" s="719">
        <v>111</v>
      </c>
      <c r="S475" s="720">
        <v>0.05</v>
      </c>
      <c r="T475" s="720"/>
      <c r="U475" s="724">
        <v>1681</v>
      </c>
      <c r="V475" s="724" t="str">
        <f t="shared" si="27"/>
        <v>1681</v>
      </c>
      <c r="W475" s="724">
        <v>111</v>
      </c>
      <c r="X475" s="720">
        <v>0.05</v>
      </c>
    </row>
    <row r="476" spans="16:24" ht="15" x14ac:dyDescent="0.25">
      <c r="P476" s="719">
        <v>1681</v>
      </c>
      <c r="Q476" s="719" t="str">
        <f t="shared" si="26"/>
        <v>1681</v>
      </c>
      <c r="R476" s="719">
        <v>113</v>
      </c>
      <c r="S476" s="720">
        <v>135.72</v>
      </c>
      <c r="T476" s="720"/>
      <c r="U476" s="724">
        <v>1681</v>
      </c>
      <c r="V476" s="724" t="str">
        <f t="shared" si="27"/>
        <v>1681</v>
      </c>
      <c r="W476" s="724">
        <v>113</v>
      </c>
      <c r="X476" s="720">
        <v>132</v>
      </c>
    </row>
    <row r="477" spans="16:24" ht="15" x14ac:dyDescent="0.25">
      <c r="P477" s="719">
        <v>1681</v>
      </c>
      <c r="Q477" s="719" t="str">
        <f t="shared" si="26"/>
        <v>1681</v>
      </c>
      <c r="R477" s="719">
        <v>130</v>
      </c>
      <c r="S477" s="720">
        <v>65.97</v>
      </c>
      <c r="T477" s="720"/>
      <c r="U477" s="724">
        <v>1681</v>
      </c>
      <c r="V477" s="724" t="str">
        <f t="shared" si="27"/>
        <v>1681</v>
      </c>
      <c r="W477" s="724">
        <v>130</v>
      </c>
      <c r="X477" s="720">
        <v>65.62</v>
      </c>
    </row>
    <row r="478" spans="16:24" ht="15" x14ac:dyDescent="0.25">
      <c r="P478" s="719">
        <v>1681</v>
      </c>
      <c r="Q478" s="719" t="str">
        <f t="shared" si="26"/>
        <v>1681</v>
      </c>
      <c r="R478" s="719">
        <v>254</v>
      </c>
      <c r="S478" s="720">
        <v>5.5</v>
      </c>
      <c r="T478" s="720"/>
      <c r="U478" s="724">
        <v>1681</v>
      </c>
      <c r="V478" s="724" t="str">
        <f t="shared" si="27"/>
        <v>1681</v>
      </c>
      <c r="W478" s="724">
        <v>254</v>
      </c>
      <c r="X478" s="720">
        <v>6.01</v>
      </c>
    </row>
    <row r="479" spans="16:24" ht="15" x14ac:dyDescent="0.25">
      <c r="P479" s="719">
        <v>1681</v>
      </c>
      <c r="Q479" s="719" t="str">
        <f t="shared" si="26"/>
        <v>1681</v>
      </c>
      <c r="R479" s="719">
        <v>255</v>
      </c>
      <c r="S479" s="720">
        <v>0.99</v>
      </c>
      <c r="T479" s="720"/>
      <c r="U479" s="724">
        <v>1681</v>
      </c>
      <c r="V479" s="724" t="str">
        <f t="shared" si="27"/>
        <v>1681</v>
      </c>
      <c r="W479" s="724">
        <v>255</v>
      </c>
      <c r="X479" s="720">
        <v>1.01</v>
      </c>
    </row>
    <row r="480" spans="16:24" ht="15" x14ac:dyDescent="0.25">
      <c r="P480" s="719">
        <v>1681</v>
      </c>
      <c r="Q480" s="719" t="str">
        <f t="shared" si="26"/>
        <v>1681</v>
      </c>
      <c r="R480" s="719">
        <v>300</v>
      </c>
      <c r="S480" s="720">
        <v>74.05</v>
      </c>
      <c r="T480" s="720"/>
      <c r="U480" s="724">
        <v>1681</v>
      </c>
      <c r="V480" s="724" t="str">
        <f t="shared" si="27"/>
        <v>1681</v>
      </c>
      <c r="W480" s="724">
        <v>300</v>
      </c>
      <c r="X480" s="720">
        <v>72.78</v>
      </c>
    </row>
    <row r="481" spans="16:24" ht="15" x14ac:dyDescent="0.25">
      <c r="P481" s="719">
        <v>1691</v>
      </c>
      <c r="Q481" s="719" t="str">
        <f t="shared" si="26"/>
        <v>1691</v>
      </c>
      <c r="R481" s="719">
        <v>102</v>
      </c>
      <c r="S481" s="720">
        <v>246.82</v>
      </c>
      <c r="T481" s="720"/>
      <c r="U481" s="724">
        <v>1691</v>
      </c>
      <c r="V481" s="724" t="str">
        <f t="shared" si="27"/>
        <v>1691</v>
      </c>
      <c r="W481" s="724">
        <v>102</v>
      </c>
      <c r="X481" s="720">
        <v>250.04</v>
      </c>
    </row>
    <row r="482" spans="16:24" ht="15" x14ac:dyDescent="0.25">
      <c r="P482" s="719">
        <v>1691</v>
      </c>
      <c r="Q482" s="719" t="str">
        <f t="shared" si="26"/>
        <v>1691</v>
      </c>
      <c r="R482" s="719">
        <v>112</v>
      </c>
      <c r="S482" s="720">
        <v>85.1</v>
      </c>
      <c r="T482" s="720"/>
      <c r="U482" s="724">
        <v>1691</v>
      </c>
      <c r="V482" s="724" t="str">
        <f t="shared" si="27"/>
        <v>1691</v>
      </c>
      <c r="W482" s="724">
        <v>112</v>
      </c>
      <c r="X482" s="720">
        <v>84.4</v>
      </c>
    </row>
    <row r="483" spans="16:24" ht="15" x14ac:dyDescent="0.25">
      <c r="P483" s="719">
        <v>1691</v>
      </c>
      <c r="Q483" s="719" t="str">
        <f t="shared" si="26"/>
        <v>1691</v>
      </c>
      <c r="R483" s="719">
        <v>130</v>
      </c>
      <c r="S483" s="720">
        <v>16.47</v>
      </c>
      <c r="T483" s="720"/>
      <c r="U483" s="724">
        <v>1691</v>
      </c>
      <c r="V483" s="724" t="str">
        <f t="shared" si="27"/>
        <v>1691</v>
      </c>
      <c r="W483" s="724">
        <v>130</v>
      </c>
      <c r="X483" s="720">
        <v>16.440000000000001</v>
      </c>
    </row>
    <row r="484" spans="16:24" ht="15" x14ac:dyDescent="0.25">
      <c r="P484" s="719">
        <v>1701</v>
      </c>
      <c r="Q484" s="719" t="str">
        <f t="shared" si="26"/>
        <v>1701</v>
      </c>
      <c r="R484" s="719">
        <v>102</v>
      </c>
      <c r="S484" s="720">
        <v>423.23</v>
      </c>
      <c r="T484" s="720"/>
      <c r="U484" s="724">
        <v>1701</v>
      </c>
      <c r="V484" s="724" t="str">
        <f t="shared" si="27"/>
        <v>1701</v>
      </c>
      <c r="W484" s="724">
        <v>102</v>
      </c>
      <c r="X484" s="720">
        <v>416.37</v>
      </c>
    </row>
    <row r="485" spans="16:24" ht="15" x14ac:dyDescent="0.25">
      <c r="P485" s="719">
        <v>1701</v>
      </c>
      <c r="Q485" s="719" t="str">
        <f t="shared" si="26"/>
        <v>1701</v>
      </c>
      <c r="R485" s="719">
        <v>112</v>
      </c>
      <c r="S485" s="720">
        <v>152.58000000000001</v>
      </c>
      <c r="T485" s="720"/>
      <c r="U485" s="724">
        <v>1701</v>
      </c>
      <c r="V485" s="724" t="str">
        <f t="shared" si="27"/>
        <v>1701</v>
      </c>
      <c r="W485" s="724">
        <v>112</v>
      </c>
      <c r="X485" s="720">
        <v>158.01</v>
      </c>
    </row>
    <row r="486" spans="16:24" ht="15" x14ac:dyDescent="0.25">
      <c r="P486" s="719">
        <v>1701</v>
      </c>
      <c r="Q486" s="719" t="str">
        <f t="shared" si="26"/>
        <v>1701</v>
      </c>
      <c r="R486" s="719">
        <v>130</v>
      </c>
      <c r="S486" s="720">
        <v>16.059999999999999</v>
      </c>
      <c r="T486" s="720"/>
      <c r="U486" s="724">
        <v>1701</v>
      </c>
      <c r="V486" s="724" t="str">
        <f t="shared" si="27"/>
        <v>1701</v>
      </c>
      <c r="W486" s="724">
        <v>130</v>
      </c>
      <c r="X486" s="720">
        <v>15.07</v>
      </c>
    </row>
    <row r="487" spans="16:24" ht="15" x14ac:dyDescent="0.25">
      <c r="P487" s="719">
        <v>1701</v>
      </c>
      <c r="Q487" s="719" t="str">
        <f t="shared" si="26"/>
        <v>1701</v>
      </c>
      <c r="R487" s="719">
        <v>254</v>
      </c>
      <c r="S487" s="720">
        <v>1</v>
      </c>
      <c r="T487" s="720"/>
      <c r="U487" s="724">
        <v>1701</v>
      </c>
      <c r="V487" s="724" t="str">
        <f t="shared" si="27"/>
        <v>1701</v>
      </c>
      <c r="W487" s="724">
        <v>254</v>
      </c>
      <c r="X487" s="720">
        <v>1</v>
      </c>
    </row>
    <row r="488" spans="16:24" ht="15" x14ac:dyDescent="0.25">
      <c r="P488" s="719">
        <v>1711</v>
      </c>
      <c r="Q488" s="719" t="str">
        <f t="shared" si="26"/>
        <v>1711</v>
      </c>
      <c r="R488" s="719">
        <v>101</v>
      </c>
      <c r="S488" s="720">
        <v>104.73</v>
      </c>
      <c r="T488" s="720"/>
      <c r="U488" s="724">
        <v>1711</v>
      </c>
      <c r="V488" s="724" t="str">
        <f t="shared" si="27"/>
        <v>1711</v>
      </c>
      <c r="W488" s="724">
        <v>101</v>
      </c>
      <c r="X488" s="720">
        <v>103.22</v>
      </c>
    </row>
    <row r="489" spans="16:24" ht="15" x14ac:dyDescent="0.25">
      <c r="P489" s="719">
        <v>1711</v>
      </c>
      <c r="Q489" s="719" t="str">
        <f t="shared" si="26"/>
        <v>1711</v>
      </c>
      <c r="R489" s="719">
        <v>102</v>
      </c>
      <c r="S489" s="720">
        <v>59.6</v>
      </c>
      <c r="T489" s="720"/>
      <c r="U489" s="724">
        <v>1711</v>
      </c>
      <c r="V489" s="724" t="str">
        <f t="shared" si="27"/>
        <v>1711</v>
      </c>
      <c r="W489" s="724">
        <v>102</v>
      </c>
      <c r="X489" s="720">
        <v>61.75</v>
      </c>
    </row>
    <row r="490" spans="16:24" ht="15" x14ac:dyDescent="0.25">
      <c r="P490" s="719">
        <v>1711</v>
      </c>
      <c r="Q490" s="719" t="str">
        <f t="shared" si="26"/>
        <v>1711</v>
      </c>
      <c r="R490" s="719">
        <v>111</v>
      </c>
      <c r="S490" s="720">
        <v>71.02</v>
      </c>
      <c r="T490" s="720"/>
      <c r="U490" s="724">
        <v>1711</v>
      </c>
      <c r="V490" s="724" t="str">
        <f t="shared" si="27"/>
        <v>1711</v>
      </c>
      <c r="W490" s="724">
        <v>111</v>
      </c>
      <c r="X490" s="720">
        <v>79.44</v>
      </c>
    </row>
    <row r="491" spans="16:24" ht="15" x14ac:dyDescent="0.25">
      <c r="P491" s="719">
        <v>1711</v>
      </c>
      <c r="Q491" s="719" t="str">
        <f t="shared" si="26"/>
        <v>1711</v>
      </c>
      <c r="R491" s="719">
        <v>112</v>
      </c>
      <c r="S491" s="720">
        <v>31.5</v>
      </c>
      <c r="T491" s="720"/>
      <c r="U491" s="724">
        <v>1711</v>
      </c>
      <c r="V491" s="724" t="str">
        <f t="shared" si="27"/>
        <v>1711</v>
      </c>
      <c r="W491" s="724">
        <v>112</v>
      </c>
      <c r="X491" s="720">
        <v>31</v>
      </c>
    </row>
    <row r="492" spans="16:24" ht="15" x14ac:dyDescent="0.25">
      <c r="P492" s="719">
        <v>1711</v>
      </c>
      <c r="Q492" s="719" t="str">
        <f t="shared" si="26"/>
        <v>1711</v>
      </c>
      <c r="R492" s="719">
        <v>130</v>
      </c>
      <c r="S492" s="720">
        <v>46.97</v>
      </c>
      <c r="T492" s="720"/>
      <c r="U492" s="724">
        <v>1711</v>
      </c>
      <c r="V492" s="724" t="str">
        <f t="shared" si="27"/>
        <v>1711</v>
      </c>
      <c r="W492" s="724">
        <v>130</v>
      </c>
      <c r="X492" s="720">
        <v>45.9</v>
      </c>
    </row>
    <row r="493" spans="16:24" ht="15" x14ac:dyDescent="0.25">
      <c r="P493" s="719">
        <v>1711</v>
      </c>
      <c r="Q493" s="719" t="str">
        <f t="shared" si="26"/>
        <v>1711</v>
      </c>
      <c r="R493" s="719">
        <v>254</v>
      </c>
      <c r="S493" s="720">
        <v>6</v>
      </c>
      <c r="T493" s="720"/>
      <c r="U493" s="724">
        <v>1711</v>
      </c>
      <c r="V493" s="724" t="str">
        <f t="shared" si="27"/>
        <v>1711</v>
      </c>
      <c r="W493" s="724">
        <v>254</v>
      </c>
      <c r="X493" s="720">
        <v>4.5</v>
      </c>
    </row>
    <row r="494" spans="16:24" ht="15" x14ac:dyDescent="0.25">
      <c r="P494" s="719">
        <v>1711</v>
      </c>
      <c r="Q494" s="719" t="str">
        <f t="shared" si="26"/>
        <v>1711</v>
      </c>
      <c r="R494" s="719">
        <v>255</v>
      </c>
      <c r="S494" s="720">
        <v>0.5</v>
      </c>
      <c r="T494" s="720"/>
      <c r="U494" s="724">
        <v>1711</v>
      </c>
      <c r="V494" s="724" t="str">
        <f t="shared" si="27"/>
        <v>1711</v>
      </c>
      <c r="W494" s="724">
        <v>255</v>
      </c>
      <c r="X494" s="720">
        <v>0.5</v>
      </c>
    </row>
    <row r="495" spans="16:24" ht="15" x14ac:dyDescent="0.25">
      <c r="P495" s="719">
        <v>1721</v>
      </c>
      <c r="Q495" s="719" t="str">
        <f t="shared" si="26"/>
        <v>1721</v>
      </c>
      <c r="R495" s="719">
        <v>102</v>
      </c>
      <c r="S495" s="720">
        <v>356.86</v>
      </c>
      <c r="T495" s="720"/>
      <c r="U495" s="724">
        <v>1721</v>
      </c>
      <c r="V495" s="724" t="str">
        <f t="shared" si="27"/>
        <v>1721</v>
      </c>
      <c r="W495" s="724">
        <v>102</v>
      </c>
      <c r="X495" s="720">
        <v>360.95</v>
      </c>
    </row>
    <row r="496" spans="16:24" ht="15" x14ac:dyDescent="0.25">
      <c r="P496" s="719">
        <v>1721</v>
      </c>
      <c r="Q496" s="719" t="str">
        <f t="shared" si="26"/>
        <v>1721</v>
      </c>
      <c r="R496" s="719">
        <v>112</v>
      </c>
      <c r="S496" s="720">
        <v>104.03</v>
      </c>
      <c r="T496" s="720"/>
      <c r="U496" s="724">
        <v>1721</v>
      </c>
      <c r="V496" s="724" t="str">
        <f t="shared" si="27"/>
        <v>1721</v>
      </c>
      <c r="W496" s="724">
        <v>112</v>
      </c>
      <c r="X496" s="720">
        <v>98.87</v>
      </c>
    </row>
    <row r="497" spans="16:24" ht="15" x14ac:dyDescent="0.25">
      <c r="P497" s="719">
        <v>1721</v>
      </c>
      <c r="Q497" s="719" t="str">
        <f t="shared" si="26"/>
        <v>1721</v>
      </c>
      <c r="R497" s="719">
        <v>130</v>
      </c>
      <c r="S497" s="720">
        <v>5.91</v>
      </c>
      <c r="T497" s="720"/>
      <c r="U497" s="724">
        <v>1721</v>
      </c>
      <c r="V497" s="724" t="str">
        <f t="shared" si="27"/>
        <v>1721</v>
      </c>
      <c r="W497" s="724">
        <v>130</v>
      </c>
      <c r="X497" s="720">
        <v>5.87</v>
      </c>
    </row>
    <row r="498" spans="16:24" ht="15" x14ac:dyDescent="0.25">
      <c r="P498" s="719">
        <v>1721</v>
      </c>
      <c r="Q498" s="719" t="str">
        <f t="shared" si="26"/>
        <v>1721</v>
      </c>
      <c r="R498" s="719">
        <v>254</v>
      </c>
      <c r="S498" s="720">
        <v>2.5</v>
      </c>
      <c r="T498" s="720"/>
      <c r="U498" s="724">
        <v>1721</v>
      </c>
      <c r="V498" s="724" t="str">
        <f t="shared" si="27"/>
        <v>1721</v>
      </c>
      <c r="W498" s="724">
        <v>254</v>
      </c>
      <c r="X498" s="720">
        <v>2</v>
      </c>
    </row>
    <row r="499" spans="16:24" ht="15" x14ac:dyDescent="0.25">
      <c r="P499" s="719">
        <v>1721</v>
      </c>
      <c r="Q499" s="719" t="str">
        <f t="shared" si="26"/>
        <v>1721</v>
      </c>
      <c r="R499" s="719">
        <v>255</v>
      </c>
      <c r="S499" s="720">
        <v>0</v>
      </c>
      <c r="T499" s="720"/>
      <c r="U499" s="724">
        <v>1721</v>
      </c>
      <c r="V499" s="724" t="str">
        <f t="shared" si="27"/>
        <v>1721</v>
      </c>
      <c r="W499" s="724">
        <v>255</v>
      </c>
      <c r="X499" s="720">
        <v>0.5</v>
      </c>
    </row>
    <row r="500" spans="16:24" ht="15" x14ac:dyDescent="0.25">
      <c r="P500" s="719">
        <v>1731</v>
      </c>
      <c r="Q500" s="719" t="str">
        <f t="shared" si="26"/>
        <v>1731</v>
      </c>
      <c r="R500" s="719">
        <v>102</v>
      </c>
      <c r="S500" s="720">
        <v>380.51</v>
      </c>
      <c r="T500" s="720"/>
      <c r="U500" s="724">
        <v>1731</v>
      </c>
      <c r="V500" s="724" t="str">
        <f t="shared" si="27"/>
        <v>1731</v>
      </c>
      <c r="W500" s="724">
        <v>102</v>
      </c>
      <c r="X500" s="720">
        <v>375.52</v>
      </c>
    </row>
    <row r="501" spans="16:24" ht="15" x14ac:dyDescent="0.25">
      <c r="P501" s="719">
        <v>1731</v>
      </c>
      <c r="Q501" s="719" t="str">
        <f t="shared" si="26"/>
        <v>1731</v>
      </c>
      <c r="R501" s="719">
        <v>112</v>
      </c>
      <c r="S501" s="720">
        <v>175.33</v>
      </c>
      <c r="T501" s="720"/>
      <c r="U501" s="724">
        <v>1731</v>
      </c>
      <c r="V501" s="724" t="str">
        <f t="shared" si="27"/>
        <v>1731</v>
      </c>
      <c r="W501" s="724">
        <v>112</v>
      </c>
      <c r="X501" s="720">
        <v>173.33</v>
      </c>
    </row>
    <row r="502" spans="16:24" ht="15" x14ac:dyDescent="0.25">
      <c r="P502" s="719">
        <v>1731</v>
      </c>
      <c r="Q502" s="719" t="str">
        <f t="shared" si="26"/>
        <v>1731</v>
      </c>
      <c r="R502" s="719">
        <v>130</v>
      </c>
      <c r="S502" s="720">
        <v>23.77</v>
      </c>
      <c r="T502" s="720"/>
      <c r="U502" s="724">
        <v>1731</v>
      </c>
      <c r="V502" s="724" t="str">
        <f t="shared" si="27"/>
        <v>1731</v>
      </c>
      <c r="W502" s="724">
        <v>130</v>
      </c>
      <c r="X502" s="720">
        <v>22.45</v>
      </c>
    </row>
    <row r="503" spans="16:24" ht="15" x14ac:dyDescent="0.25">
      <c r="P503" s="719">
        <v>1731</v>
      </c>
      <c r="Q503" s="719" t="str">
        <f t="shared" si="26"/>
        <v>1731</v>
      </c>
      <c r="R503" s="719">
        <v>254</v>
      </c>
      <c r="S503" s="720">
        <v>2</v>
      </c>
      <c r="T503" s="720"/>
      <c r="U503" s="724">
        <v>1731</v>
      </c>
      <c r="V503" s="724" t="str">
        <f t="shared" si="27"/>
        <v>1731</v>
      </c>
      <c r="W503" s="724">
        <v>254</v>
      </c>
      <c r="X503" s="720">
        <v>2.5</v>
      </c>
    </row>
    <row r="504" spans="16:24" ht="15" x14ac:dyDescent="0.25">
      <c r="P504" s="719">
        <v>1731</v>
      </c>
      <c r="Q504" s="719" t="str">
        <f t="shared" si="26"/>
        <v>1731</v>
      </c>
      <c r="R504" s="719">
        <v>255</v>
      </c>
      <c r="S504" s="720">
        <v>0.5</v>
      </c>
      <c r="T504" s="720"/>
      <c r="U504" s="724">
        <v>1731</v>
      </c>
      <c r="V504" s="724" t="str">
        <f t="shared" si="27"/>
        <v>1731</v>
      </c>
      <c r="W504" s="724">
        <v>255</v>
      </c>
      <c r="X504" s="720">
        <v>0.5</v>
      </c>
    </row>
    <row r="505" spans="16:24" ht="15" x14ac:dyDescent="0.25">
      <c r="P505" s="719">
        <v>1741</v>
      </c>
      <c r="Q505" s="719" t="str">
        <f t="shared" si="26"/>
        <v>1741</v>
      </c>
      <c r="R505" s="719">
        <v>101</v>
      </c>
      <c r="S505" s="720">
        <v>82.98</v>
      </c>
      <c r="T505" s="720"/>
      <c r="U505" s="724">
        <v>1741</v>
      </c>
      <c r="V505" s="724" t="str">
        <f t="shared" si="27"/>
        <v>1741</v>
      </c>
      <c r="W505" s="724">
        <v>101</v>
      </c>
      <c r="X505" s="720">
        <v>76.77</v>
      </c>
    </row>
    <row r="506" spans="16:24" ht="15" x14ac:dyDescent="0.25">
      <c r="P506" s="719">
        <v>1741</v>
      </c>
      <c r="Q506" s="719" t="str">
        <f t="shared" si="26"/>
        <v>1741</v>
      </c>
      <c r="R506" s="719">
        <v>102</v>
      </c>
      <c r="S506" s="720">
        <v>57.47</v>
      </c>
      <c r="T506" s="720"/>
      <c r="U506" s="724">
        <v>1741</v>
      </c>
      <c r="V506" s="724" t="str">
        <f t="shared" si="27"/>
        <v>1741</v>
      </c>
      <c r="W506" s="724">
        <v>102</v>
      </c>
      <c r="X506" s="720">
        <v>57.67</v>
      </c>
    </row>
    <row r="507" spans="16:24" ht="15" x14ac:dyDescent="0.25">
      <c r="P507" s="719">
        <v>1741</v>
      </c>
      <c r="Q507" s="719" t="str">
        <f t="shared" si="26"/>
        <v>1741</v>
      </c>
      <c r="R507" s="719">
        <v>111</v>
      </c>
      <c r="S507" s="720">
        <v>72.930000000000007</v>
      </c>
      <c r="T507" s="720"/>
      <c r="U507" s="724">
        <v>1741</v>
      </c>
      <c r="V507" s="724" t="str">
        <f t="shared" si="27"/>
        <v>1741</v>
      </c>
      <c r="W507" s="724">
        <v>111</v>
      </c>
      <c r="X507" s="720">
        <v>76.239999999999995</v>
      </c>
    </row>
    <row r="508" spans="16:24" ht="15" x14ac:dyDescent="0.25">
      <c r="P508" s="719">
        <v>1741</v>
      </c>
      <c r="Q508" s="719" t="str">
        <f t="shared" si="26"/>
        <v>1741</v>
      </c>
      <c r="R508" s="719">
        <v>112</v>
      </c>
      <c r="S508" s="720">
        <v>62.5</v>
      </c>
      <c r="T508" s="720"/>
      <c r="U508" s="724">
        <v>1741</v>
      </c>
      <c r="V508" s="724" t="str">
        <f t="shared" si="27"/>
        <v>1741</v>
      </c>
      <c r="W508" s="724">
        <v>112</v>
      </c>
      <c r="X508" s="720">
        <v>64.510000000000005</v>
      </c>
    </row>
    <row r="509" spans="16:24" ht="15" x14ac:dyDescent="0.25">
      <c r="P509" s="719">
        <v>1741</v>
      </c>
      <c r="Q509" s="719" t="str">
        <f t="shared" si="26"/>
        <v>1741</v>
      </c>
      <c r="R509" s="719">
        <v>130</v>
      </c>
      <c r="S509" s="720">
        <v>50.96</v>
      </c>
      <c r="T509" s="720"/>
      <c r="U509" s="724">
        <v>1741</v>
      </c>
      <c r="V509" s="724" t="str">
        <f t="shared" si="27"/>
        <v>1741</v>
      </c>
      <c r="W509" s="724">
        <v>130</v>
      </c>
      <c r="X509" s="720">
        <v>52.99</v>
      </c>
    </row>
    <row r="510" spans="16:24" ht="15" x14ac:dyDescent="0.25">
      <c r="P510" s="719">
        <v>1741</v>
      </c>
      <c r="Q510" s="719" t="str">
        <f t="shared" si="26"/>
        <v>1741</v>
      </c>
      <c r="R510" s="719">
        <v>254</v>
      </c>
      <c r="S510" s="720">
        <v>0.5</v>
      </c>
      <c r="T510" s="720"/>
      <c r="U510" s="724">
        <v>1741</v>
      </c>
      <c r="V510" s="724" t="str">
        <f t="shared" si="27"/>
        <v>1741</v>
      </c>
      <c r="W510" s="724">
        <v>254</v>
      </c>
      <c r="X510" s="720">
        <v>1</v>
      </c>
    </row>
    <row r="511" spans="16:24" ht="15" x14ac:dyDescent="0.25">
      <c r="P511" s="719">
        <v>1751</v>
      </c>
      <c r="Q511" s="719" t="str">
        <f t="shared" si="26"/>
        <v>1751</v>
      </c>
      <c r="R511" s="719">
        <v>102</v>
      </c>
      <c r="S511" s="720">
        <v>373.32</v>
      </c>
      <c r="T511" s="720"/>
      <c r="U511" s="724">
        <v>1751</v>
      </c>
      <c r="V511" s="724" t="str">
        <f t="shared" si="27"/>
        <v>1751</v>
      </c>
      <c r="W511" s="724">
        <v>102</v>
      </c>
      <c r="X511" s="720">
        <v>385.16</v>
      </c>
    </row>
    <row r="512" spans="16:24" ht="15" x14ac:dyDescent="0.25">
      <c r="P512" s="719">
        <v>1751</v>
      </c>
      <c r="Q512" s="719" t="str">
        <f t="shared" si="26"/>
        <v>1751</v>
      </c>
      <c r="R512" s="719">
        <v>112</v>
      </c>
      <c r="S512" s="720">
        <v>144.65</v>
      </c>
      <c r="T512" s="720"/>
      <c r="U512" s="724">
        <v>1751</v>
      </c>
      <c r="V512" s="724" t="str">
        <f t="shared" si="27"/>
        <v>1751</v>
      </c>
      <c r="W512" s="724">
        <v>112</v>
      </c>
      <c r="X512" s="720">
        <v>131.12</v>
      </c>
    </row>
    <row r="513" spans="16:24" ht="15" x14ac:dyDescent="0.25">
      <c r="P513" s="719">
        <v>1751</v>
      </c>
      <c r="Q513" s="719" t="str">
        <f t="shared" si="26"/>
        <v>1751</v>
      </c>
      <c r="R513" s="719">
        <v>130</v>
      </c>
      <c r="S513" s="720">
        <v>45.46</v>
      </c>
      <c r="T513" s="720"/>
      <c r="U513" s="724">
        <v>1751</v>
      </c>
      <c r="V513" s="724" t="str">
        <f t="shared" si="27"/>
        <v>1751</v>
      </c>
      <c r="W513" s="724">
        <v>130</v>
      </c>
      <c r="X513" s="720">
        <v>47.23</v>
      </c>
    </row>
    <row r="514" spans="16:24" ht="15" x14ac:dyDescent="0.25">
      <c r="P514" s="719">
        <v>1761</v>
      </c>
      <c r="Q514" s="719" t="str">
        <f t="shared" si="26"/>
        <v>1761</v>
      </c>
      <c r="R514" s="719">
        <v>101</v>
      </c>
      <c r="S514" s="720">
        <v>196.8</v>
      </c>
      <c r="T514" s="720"/>
      <c r="U514" s="724">
        <v>1761</v>
      </c>
      <c r="V514" s="724" t="str">
        <f t="shared" si="27"/>
        <v>1761</v>
      </c>
      <c r="W514" s="724">
        <v>101</v>
      </c>
      <c r="X514" s="720">
        <v>196.72</v>
      </c>
    </row>
    <row r="515" spans="16:24" ht="15" x14ac:dyDescent="0.25">
      <c r="P515" s="719">
        <v>1761</v>
      </c>
      <c r="Q515" s="719" t="str">
        <f t="shared" ref="Q515:Q578" si="28">TEXT(P515,"0000")</f>
        <v>1761</v>
      </c>
      <c r="R515" s="719">
        <v>102</v>
      </c>
      <c r="S515" s="720">
        <v>87.44</v>
      </c>
      <c r="T515" s="720"/>
      <c r="U515" s="724">
        <v>1761</v>
      </c>
      <c r="V515" s="724" t="str">
        <f t="shared" si="27"/>
        <v>1761</v>
      </c>
      <c r="W515" s="724">
        <v>102</v>
      </c>
      <c r="X515" s="720">
        <v>88.92</v>
      </c>
    </row>
    <row r="516" spans="16:24" ht="15" x14ac:dyDescent="0.25">
      <c r="P516" s="719">
        <v>1761</v>
      </c>
      <c r="Q516" s="719" t="str">
        <f t="shared" si="28"/>
        <v>1761</v>
      </c>
      <c r="R516" s="719">
        <v>111</v>
      </c>
      <c r="S516" s="720">
        <v>52.98</v>
      </c>
      <c r="T516" s="720"/>
      <c r="U516" s="724">
        <v>1761</v>
      </c>
      <c r="V516" s="724" t="str">
        <f t="shared" ref="V516:V579" si="29">TEXT(U516,"0000")</f>
        <v>1761</v>
      </c>
      <c r="W516" s="724">
        <v>111</v>
      </c>
      <c r="X516" s="720">
        <v>58.08</v>
      </c>
    </row>
    <row r="517" spans="16:24" ht="15" x14ac:dyDescent="0.25">
      <c r="P517" s="719">
        <v>1761</v>
      </c>
      <c r="Q517" s="719" t="str">
        <f t="shared" si="28"/>
        <v>1761</v>
      </c>
      <c r="R517" s="719">
        <v>112</v>
      </c>
      <c r="S517" s="720">
        <v>43.92</v>
      </c>
      <c r="T517" s="720"/>
      <c r="U517" s="724">
        <v>1761</v>
      </c>
      <c r="V517" s="724" t="str">
        <f t="shared" si="29"/>
        <v>1761</v>
      </c>
      <c r="W517" s="724">
        <v>112</v>
      </c>
      <c r="X517" s="720">
        <v>44.43</v>
      </c>
    </row>
    <row r="518" spans="16:24" ht="15" x14ac:dyDescent="0.25">
      <c r="P518" s="719">
        <v>1761</v>
      </c>
      <c r="Q518" s="719" t="str">
        <f t="shared" si="28"/>
        <v>1761</v>
      </c>
      <c r="R518" s="719">
        <v>130</v>
      </c>
      <c r="S518" s="720">
        <v>24.57</v>
      </c>
      <c r="T518" s="720"/>
      <c r="U518" s="724">
        <v>1761</v>
      </c>
      <c r="V518" s="724" t="str">
        <f t="shared" si="29"/>
        <v>1761</v>
      </c>
      <c r="W518" s="724">
        <v>130</v>
      </c>
      <c r="X518" s="720">
        <v>26.18</v>
      </c>
    </row>
    <row r="519" spans="16:24" ht="15" x14ac:dyDescent="0.25">
      <c r="P519" s="719">
        <v>1761</v>
      </c>
      <c r="Q519" s="719" t="str">
        <f t="shared" si="28"/>
        <v>1761</v>
      </c>
      <c r="R519" s="719">
        <v>254</v>
      </c>
      <c r="S519" s="720">
        <v>2</v>
      </c>
      <c r="T519" s="720"/>
      <c r="U519" s="724">
        <v>1761</v>
      </c>
      <c r="V519" s="724" t="str">
        <f t="shared" si="29"/>
        <v>1761</v>
      </c>
      <c r="W519" s="724">
        <v>254</v>
      </c>
      <c r="X519" s="720">
        <v>2.5</v>
      </c>
    </row>
    <row r="520" spans="16:24" ht="15" x14ac:dyDescent="0.25">
      <c r="P520" s="719">
        <v>1761</v>
      </c>
      <c r="Q520" s="719" t="str">
        <f t="shared" si="28"/>
        <v>1761</v>
      </c>
      <c r="R520" s="719">
        <v>255</v>
      </c>
      <c r="S520" s="720">
        <v>0.5</v>
      </c>
      <c r="T520" s="720"/>
      <c r="U520" s="724">
        <v>1761</v>
      </c>
      <c r="V520" s="724" t="str">
        <f t="shared" si="29"/>
        <v>1761</v>
      </c>
      <c r="W520" s="724">
        <v>255</v>
      </c>
      <c r="X520" s="720">
        <v>0.5</v>
      </c>
    </row>
    <row r="521" spans="16:24" ht="15" x14ac:dyDescent="0.25">
      <c r="P521" s="719">
        <v>1771</v>
      </c>
      <c r="Q521" s="719" t="str">
        <f t="shared" si="28"/>
        <v>1771</v>
      </c>
      <c r="R521" s="719">
        <v>102</v>
      </c>
      <c r="S521" s="720">
        <v>131.46</v>
      </c>
      <c r="T521" s="720"/>
      <c r="U521" s="724">
        <v>1771</v>
      </c>
      <c r="V521" s="724" t="str">
        <f t="shared" si="29"/>
        <v>1771</v>
      </c>
      <c r="W521" s="724">
        <v>102</v>
      </c>
      <c r="X521" s="720">
        <v>131.63</v>
      </c>
    </row>
    <row r="522" spans="16:24" ht="15" x14ac:dyDescent="0.25">
      <c r="P522" s="719">
        <v>1771</v>
      </c>
      <c r="Q522" s="719" t="str">
        <f t="shared" si="28"/>
        <v>1771</v>
      </c>
      <c r="R522" s="719">
        <v>103</v>
      </c>
      <c r="S522" s="720">
        <v>180.3</v>
      </c>
      <c r="T522" s="720"/>
      <c r="U522" s="724">
        <v>1771</v>
      </c>
      <c r="V522" s="724" t="str">
        <f t="shared" si="29"/>
        <v>1771</v>
      </c>
      <c r="W522" s="724">
        <v>103</v>
      </c>
      <c r="X522" s="720">
        <v>177.24</v>
      </c>
    </row>
    <row r="523" spans="16:24" ht="15" x14ac:dyDescent="0.25">
      <c r="P523" s="719">
        <v>1771</v>
      </c>
      <c r="Q523" s="719" t="str">
        <f t="shared" si="28"/>
        <v>1771</v>
      </c>
      <c r="R523" s="719">
        <v>112</v>
      </c>
      <c r="S523" s="720">
        <v>32.56</v>
      </c>
      <c r="T523" s="720"/>
      <c r="U523" s="724">
        <v>1771</v>
      </c>
      <c r="V523" s="724" t="str">
        <f t="shared" si="29"/>
        <v>1771</v>
      </c>
      <c r="W523" s="724">
        <v>112</v>
      </c>
      <c r="X523" s="720">
        <v>32.590000000000003</v>
      </c>
    </row>
    <row r="524" spans="16:24" ht="15" x14ac:dyDescent="0.25">
      <c r="P524" s="719">
        <v>1771</v>
      </c>
      <c r="Q524" s="719" t="str">
        <f t="shared" si="28"/>
        <v>1771</v>
      </c>
      <c r="R524" s="719">
        <v>113</v>
      </c>
      <c r="S524" s="720">
        <v>44.42</v>
      </c>
      <c r="T524" s="720"/>
      <c r="U524" s="724">
        <v>1771</v>
      </c>
      <c r="V524" s="724" t="str">
        <f t="shared" si="29"/>
        <v>1771</v>
      </c>
      <c r="W524" s="724">
        <v>113</v>
      </c>
      <c r="X524" s="720">
        <v>43.51</v>
      </c>
    </row>
    <row r="525" spans="16:24" ht="15" x14ac:dyDescent="0.25">
      <c r="P525" s="719">
        <v>1771</v>
      </c>
      <c r="Q525" s="719" t="str">
        <f t="shared" si="28"/>
        <v>1771</v>
      </c>
      <c r="R525" s="719">
        <v>130</v>
      </c>
      <c r="S525" s="720">
        <v>10.130000000000001</v>
      </c>
      <c r="T525" s="720"/>
      <c r="U525" s="724">
        <v>1771</v>
      </c>
      <c r="V525" s="724" t="str">
        <f t="shared" si="29"/>
        <v>1771</v>
      </c>
      <c r="W525" s="724">
        <v>130</v>
      </c>
      <c r="X525" s="720">
        <v>11.63</v>
      </c>
    </row>
    <row r="526" spans="16:24" ht="15" x14ac:dyDescent="0.25">
      <c r="P526" s="719">
        <v>1771</v>
      </c>
      <c r="Q526" s="719" t="str">
        <f t="shared" si="28"/>
        <v>1771</v>
      </c>
      <c r="R526" s="719">
        <v>254</v>
      </c>
      <c r="S526" s="720">
        <v>1</v>
      </c>
      <c r="T526" s="720"/>
      <c r="U526" s="724">
        <v>1771</v>
      </c>
      <c r="V526" s="724" t="str">
        <f t="shared" si="29"/>
        <v>1771</v>
      </c>
      <c r="W526" s="724">
        <v>254</v>
      </c>
      <c r="X526" s="720">
        <v>1</v>
      </c>
    </row>
    <row r="527" spans="16:24" ht="15" x14ac:dyDescent="0.25">
      <c r="P527" s="719">
        <v>1771</v>
      </c>
      <c r="Q527" s="719" t="str">
        <f t="shared" si="28"/>
        <v>1771</v>
      </c>
      <c r="R527" s="719">
        <v>255</v>
      </c>
      <c r="S527" s="720">
        <v>0.5</v>
      </c>
      <c r="T527" s="720"/>
      <c r="U527" s="724">
        <v>1771</v>
      </c>
      <c r="V527" s="724" t="str">
        <f t="shared" si="29"/>
        <v>1771</v>
      </c>
      <c r="W527" s="724">
        <v>255</v>
      </c>
      <c r="X527" s="720">
        <v>0.5</v>
      </c>
    </row>
    <row r="528" spans="16:24" ht="15" x14ac:dyDescent="0.25">
      <c r="P528" s="719">
        <v>1771</v>
      </c>
      <c r="Q528" s="719" t="str">
        <f t="shared" si="28"/>
        <v>1771</v>
      </c>
      <c r="R528" s="719">
        <v>300</v>
      </c>
      <c r="S528" s="720">
        <v>10.76</v>
      </c>
      <c r="T528" s="720"/>
      <c r="U528" s="724">
        <v>1771</v>
      </c>
      <c r="V528" s="724" t="str">
        <f t="shared" si="29"/>
        <v>1771</v>
      </c>
      <c r="W528" s="724">
        <v>300</v>
      </c>
      <c r="X528" s="720">
        <v>9.92</v>
      </c>
    </row>
    <row r="529" spans="16:24" ht="15" x14ac:dyDescent="0.25">
      <c r="P529" s="719">
        <v>1781</v>
      </c>
      <c r="Q529" s="719" t="str">
        <f t="shared" si="28"/>
        <v>1781</v>
      </c>
      <c r="R529" s="719">
        <v>101</v>
      </c>
      <c r="S529" s="720">
        <v>138.77000000000001</v>
      </c>
      <c r="T529" s="720"/>
      <c r="U529" s="724">
        <v>1781</v>
      </c>
      <c r="V529" s="724" t="str">
        <f t="shared" si="29"/>
        <v>1781</v>
      </c>
      <c r="W529" s="724">
        <v>101</v>
      </c>
      <c r="X529" s="720">
        <v>127.05</v>
      </c>
    </row>
    <row r="530" spans="16:24" ht="15" x14ac:dyDescent="0.25">
      <c r="P530" s="719">
        <v>1781</v>
      </c>
      <c r="Q530" s="719" t="str">
        <f t="shared" si="28"/>
        <v>1781</v>
      </c>
      <c r="R530" s="719">
        <v>102</v>
      </c>
      <c r="S530" s="720">
        <v>95.06</v>
      </c>
      <c r="T530" s="720"/>
      <c r="U530" s="724">
        <v>1781</v>
      </c>
      <c r="V530" s="724" t="str">
        <f t="shared" si="29"/>
        <v>1781</v>
      </c>
      <c r="W530" s="724">
        <v>102</v>
      </c>
      <c r="X530" s="720">
        <v>90.46</v>
      </c>
    </row>
    <row r="531" spans="16:24" ht="15" x14ac:dyDescent="0.25">
      <c r="P531" s="719">
        <v>1781</v>
      </c>
      <c r="Q531" s="719" t="str">
        <f t="shared" si="28"/>
        <v>1781</v>
      </c>
      <c r="R531" s="719">
        <v>111</v>
      </c>
      <c r="S531" s="720">
        <v>106.5</v>
      </c>
      <c r="T531" s="720"/>
      <c r="U531" s="724">
        <v>1781</v>
      </c>
      <c r="V531" s="724" t="str">
        <f t="shared" si="29"/>
        <v>1781</v>
      </c>
      <c r="W531" s="724">
        <v>111</v>
      </c>
      <c r="X531" s="720">
        <v>117.5</v>
      </c>
    </row>
    <row r="532" spans="16:24" ht="15" x14ac:dyDescent="0.25">
      <c r="P532" s="719">
        <v>1781</v>
      </c>
      <c r="Q532" s="719" t="str">
        <f t="shared" si="28"/>
        <v>1781</v>
      </c>
      <c r="R532" s="719">
        <v>112</v>
      </c>
      <c r="S532" s="720">
        <v>75.41</v>
      </c>
      <c r="T532" s="720"/>
      <c r="U532" s="724">
        <v>1781</v>
      </c>
      <c r="V532" s="724" t="str">
        <f t="shared" si="29"/>
        <v>1781</v>
      </c>
      <c r="W532" s="724">
        <v>112</v>
      </c>
      <c r="X532" s="720">
        <v>78.91</v>
      </c>
    </row>
    <row r="533" spans="16:24" ht="15" x14ac:dyDescent="0.25">
      <c r="P533" s="719">
        <v>1781</v>
      </c>
      <c r="Q533" s="719" t="str">
        <f t="shared" si="28"/>
        <v>1781</v>
      </c>
      <c r="R533" s="719">
        <v>130</v>
      </c>
      <c r="S533" s="720">
        <v>39.68</v>
      </c>
      <c r="T533" s="720"/>
      <c r="U533" s="724">
        <v>1781</v>
      </c>
      <c r="V533" s="724" t="str">
        <f t="shared" si="29"/>
        <v>1781</v>
      </c>
      <c r="W533" s="724">
        <v>130</v>
      </c>
      <c r="X533" s="720">
        <v>40.53</v>
      </c>
    </row>
    <row r="534" spans="16:24" ht="15" x14ac:dyDescent="0.25">
      <c r="P534" s="719">
        <v>1781</v>
      </c>
      <c r="Q534" s="719" t="str">
        <f t="shared" si="28"/>
        <v>1781</v>
      </c>
      <c r="R534" s="719">
        <v>254</v>
      </c>
      <c r="S534" s="720">
        <v>2.5</v>
      </c>
      <c r="T534" s="720"/>
      <c r="U534" s="724">
        <v>1781</v>
      </c>
      <c r="V534" s="724" t="str">
        <f t="shared" si="29"/>
        <v>1781</v>
      </c>
      <c r="W534" s="724">
        <v>254</v>
      </c>
      <c r="X534" s="720">
        <v>2.5</v>
      </c>
    </row>
    <row r="535" spans="16:24" ht="15" x14ac:dyDescent="0.25">
      <c r="P535" s="719">
        <v>1801</v>
      </c>
      <c r="Q535" s="719" t="str">
        <f t="shared" si="28"/>
        <v>1801</v>
      </c>
      <c r="R535" s="719">
        <v>101</v>
      </c>
      <c r="S535" s="720">
        <v>0</v>
      </c>
      <c r="T535" s="720"/>
      <c r="U535" s="724">
        <v>1801</v>
      </c>
      <c r="V535" s="724" t="str">
        <f t="shared" si="29"/>
        <v>1801</v>
      </c>
      <c r="W535" s="724">
        <v>101</v>
      </c>
      <c r="X535" s="720">
        <v>0.5</v>
      </c>
    </row>
    <row r="536" spans="16:24" ht="15" x14ac:dyDescent="0.25">
      <c r="P536" s="719">
        <v>1801</v>
      </c>
      <c r="Q536" s="719" t="str">
        <f t="shared" si="28"/>
        <v>1801</v>
      </c>
      <c r="R536" s="719">
        <v>111</v>
      </c>
      <c r="S536" s="720">
        <v>55.73</v>
      </c>
      <c r="T536" s="720"/>
      <c r="U536" s="724">
        <v>1801</v>
      </c>
      <c r="V536" s="724" t="str">
        <f t="shared" si="29"/>
        <v>1801</v>
      </c>
      <c r="W536" s="724">
        <v>111</v>
      </c>
      <c r="X536" s="720">
        <v>76.94</v>
      </c>
    </row>
    <row r="537" spans="16:24" ht="15" x14ac:dyDescent="0.25">
      <c r="P537" s="719">
        <v>1801</v>
      </c>
      <c r="Q537" s="719" t="str">
        <f t="shared" si="28"/>
        <v>1801</v>
      </c>
      <c r="R537" s="719">
        <v>112</v>
      </c>
      <c r="S537" s="720">
        <v>0</v>
      </c>
      <c r="T537" s="720"/>
      <c r="U537" s="724">
        <v>1801</v>
      </c>
      <c r="V537" s="724" t="str">
        <f t="shared" si="29"/>
        <v>1801</v>
      </c>
      <c r="W537" s="724">
        <v>112</v>
      </c>
      <c r="X537" s="720">
        <v>0.46</v>
      </c>
    </row>
    <row r="538" spans="16:24" ht="15" x14ac:dyDescent="0.25">
      <c r="P538" s="719">
        <v>1801</v>
      </c>
      <c r="Q538" s="719" t="str">
        <f t="shared" si="28"/>
        <v>1801</v>
      </c>
      <c r="R538" s="719">
        <v>113</v>
      </c>
      <c r="S538" s="720">
        <v>3.01</v>
      </c>
      <c r="T538" s="720"/>
      <c r="U538" s="724">
        <v>1801</v>
      </c>
      <c r="V538" s="724" t="str">
        <f t="shared" si="29"/>
        <v>1801</v>
      </c>
      <c r="W538" s="724">
        <v>113</v>
      </c>
      <c r="X538" s="720">
        <v>3.49</v>
      </c>
    </row>
    <row r="539" spans="16:24" ht="15" x14ac:dyDescent="0.25">
      <c r="P539" s="719">
        <v>1801</v>
      </c>
      <c r="Q539" s="719" t="str">
        <f t="shared" si="28"/>
        <v>1801</v>
      </c>
      <c r="R539" s="719">
        <v>254</v>
      </c>
      <c r="S539" s="720">
        <v>32.17</v>
      </c>
      <c r="T539" s="720"/>
      <c r="U539" s="724">
        <v>1801</v>
      </c>
      <c r="V539" s="724" t="str">
        <f t="shared" si="29"/>
        <v>1801</v>
      </c>
      <c r="W539" s="724">
        <v>254</v>
      </c>
      <c r="X539" s="720">
        <v>31.4</v>
      </c>
    </row>
    <row r="540" spans="16:24" ht="15" x14ac:dyDescent="0.25">
      <c r="P540" s="719">
        <v>1801</v>
      </c>
      <c r="Q540" s="719" t="str">
        <f t="shared" si="28"/>
        <v>1801</v>
      </c>
      <c r="R540" s="719">
        <v>255</v>
      </c>
      <c r="S540" s="720">
        <v>26.05</v>
      </c>
      <c r="T540" s="720"/>
      <c r="U540" s="724">
        <v>1801</v>
      </c>
      <c r="V540" s="724" t="str">
        <f t="shared" si="29"/>
        <v>1801</v>
      </c>
      <c r="W540" s="724">
        <v>255</v>
      </c>
      <c r="X540" s="720">
        <v>26.94</v>
      </c>
    </row>
    <row r="541" spans="16:24" ht="15" x14ac:dyDescent="0.25">
      <c r="P541" s="719">
        <v>1811</v>
      </c>
      <c r="Q541" s="719" t="str">
        <f t="shared" si="28"/>
        <v>1811</v>
      </c>
      <c r="R541" s="719">
        <v>101</v>
      </c>
      <c r="S541" s="720">
        <v>100.79</v>
      </c>
      <c r="T541" s="720"/>
      <c r="U541" s="724">
        <v>1811</v>
      </c>
      <c r="V541" s="724" t="str">
        <f t="shared" si="29"/>
        <v>1811</v>
      </c>
      <c r="W541" s="724">
        <v>101</v>
      </c>
      <c r="X541" s="720">
        <v>101.89</v>
      </c>
    </row>
    <row r="542" spans="16:24" ht="15" x14ac:dyDescent="0.25">
      <c r="P542" s="719">
        <v>1811</v>
      </c>
      <c r="Q542" s="719" t="str">
        <f t="shared" si="28"/>
        <v>1811</v>
      </c>
      <c r="R542" s="719">
        <v>102</v>
      </c>
      <c r="S542" s="720">
        <v>83.22</v>
      </c>
      <c r="T542" s="720"/>
      <c r="U542" s="724">
        <v>1811</v>
      </c>
      <c r="V542" s="724" t="str">
        <f t="shared" si="29"/>
        <v>1811</v>
      </c>
      <c r="W542" s="724">
        <v>102</v>
      </c>
      <c r="X542" s="720">
        <v>83.87</v>
      </c>
    </row>
    <row r="543" spans="16:24" ht="15" x14ac:dyDescent="0.25">
      <c r="P543" s="719">
        <v>1811</v>
      </c>
      <c r="Q543" s="719" t="str">
        <f t="shared" si="28"/>
        <v>1811</v>
      </c>
      <c r="R543" s="719">
        <v>111</v>
      </c>
      <c r="S543" s="720">
        <v>55.77</v>
      </c>
      <c r="T543" s="720"/>
      <c r="U543" s="724">
        <v>1811</v>
      </c>
      <c r="V543" s="724" t="str">
        <f t="shared" si="29"/>
        <v>1811</v>
      </c>
      <c r="W543" s="724">
        <v>111</v>
      </c>
      <c r="X543" s="720">
        <v>62.38</v>
      </c>
    </row>
    <row r="544" spans="16:24" ht="15" x14ac:dyDescent="0.25">
      <c r="P544" s="719">
        <v>1811</v>
      </c>
      <c r="Q544" s="719" t="str">
        <f t="shared" si="28"/>
        <v>1811</v>
      </c>
      <c r="R544" s="719">
        <v>112</v>
      </c>
      <c r="S544" s="720">
        <v>34.979999999999997</v>
      </c>
      <c r="T544" s="720"/>
      <c r="U544" s="724">
        <v>1811</v>
      </c>
      <c r="V544" s="724" t="str">
        <f t="shared" si="29"/>
        <v>1811</v>
      </c>
      <c r="W544" s="724">
        <v>112</v>
      </c>
      <c r="X544" s="720">
        <v>32.5</v>
      </c>
    </row>
    <row r="545" spans="16:24" ht="15" x14ac:dyDescent="0.25">
      <c r="P545" s="719">
        <v>1811</v>
      </c>
      <c r="Q545" s="719" t="str">
        <f t="shared" si="28"/>
        <v>1811</v>
      </c>
      <c r="R545" s="719">
        <v>130</v>
      </c>
      <c r="S545" s="720">
        <v>66.040000000000006</v>
      </c>
      <c r="T545" s="720"/>
      <c r="U545" s="724">
        <v>1811</v>
      </c>
      <c r="V545" s="724" t="str">
        <f t="shared" si="29"/>
        <v>1811</v>
      </c>
      <c r="W545" s="724">
        <v>130</v>
      </c>
      <c r="X545" s="720">
        <v>67.78</v>
      </c>
    </row>
    <row r="546" spans="16:24" ht="15" x14ac:dyDescent="0.25">
      <c r="P546" s="719">
        <v>1811</v>
      </c>
      <c r="Q546" s="719" t="str">
        <f t="shared" si="28"/>
        <v>1811</v>
      </c>
      <c r="R546" s="719">
        <v>254</v>
      </c>
      <c r="S546" s="720">
        <v>0</v>
      </c>
      <c r="T546" s="720"/>
      <c r="U546" s="724">
        <v>1811</v>
      </c>
      <c r="V546" s="724" t="str">
        <f t="shared" si="29"/>
        <v>1811</v>
      </c>
      <c r="W546" s="724">
        <v>254</v>
      </c>
      <c r="X546" s="720">
        <v>0.28000000000000003</v>
      </c>
    </row>
    <row r="547" spans="16:24" ht="15" x14ac:dyDescent="0.25">
      <c r="P547" s="719">
        <v>1821</v>
      </c>
      <c r="Q547" s="719" t="str">
        <f t="shared" si="28"/>
        <v>1821</v>
      </c>
      <c r="R547" s="719">
        <v>102</v>
      </c>
      <c r="S547" s="720">
        <v>400.44</v>
      </c>
      <c r="T547" s="720"/>
      <c r="U547" s="724">
        <v>1821</v>
      </c>
      <c r="V547" s="724" t="str">
        <f t="shared" si="29"/>
        <v>1821</v>
      </c>
      <c r="W547" s="724">
        <v>102</v>
      </c>
      <c r="X547" s="720">
        <v>410.01</v>
      </c>
    </row>
    <row r="548" spans="16:24" ht="15" x14ac:dyDescent="0.25">
      <c r="P548" s="719">
        <v>1821</v>
      </c>
      <c r="Q548" s="719" t="str">
        <f t="shared" si="28"/>
        <v>1821</v>
      </c>
      <c r="R548" s="719">
        <v>112</v>
      </c>
      <c r="S548" s="720">
        <v>164.47</v>
      </c>
      <c r="T548" s="720"/>
      <c r="U548" s="724">
        <v>1821</v>
      </c>
      <c r="V548" s="724" t="str">
        <f t="shared" si="29"/>
        <v>1821</v>
      </c>
      <c r="W548" s="724">
        <v>112</v>
      </c>
      <c r="X548" s="720">
        <v>160.72999999999999</v>
      </c>
    </row>
    <row r="549" spans="16:24" ht="15" x14ac:dyDescent="0.25">
      <c r="P549" s="719">
        <v>1821</v>
      </c>
      <c r="Q549" s="719" t="str">
        <f t="shared" si="28"/>
        <v>1821</v>
      </c>
      <c r="R549" s="719">
        <v>130</v>
      </c>
      <c r="S549" s="720">
        <v>16.04</v>
      </c>
      <c r="T549" s="720"/>
      <c r="U549" s="724">
        <v>1821</v>
      </c>
      <c r="V549" s="724" t="str">
        <f t="shared" si="29"/>
        <v>1821</v>
      </c>
      <c r="W549" s="724">
        <v>130</v>
      </c>
      <c r="X549" s="720">
        <v>13.07</v>
      </c>
    </row>
    <row r="550" spans="16:24" ht="15" x14ac:dyDescent="0.25">
      <c r="P550" s="719">
        <v>1831</v>
      </c>
      <c r="Q550" s="719" t="str">
        <f t="shared" si="28"/>
        <v>1831</v>
      </c>
      <c r="R550" s="719">
        <v>101</v>
      </c>
      <c r="S550" s="720">
        <v>50.34</v>
      </c>
      <c r="T550" s="720"/>
      <c r="U550" s="724">
        <v>1831</v>
      </c>
      <c r="V550" s="724" t="str">
        <f t="shared" si="29"/>
        <v>1831</v>
      </c>
      <c r="W550" s="724">
        <v>101</v>
      </c>
      <c r="X550" s="720">
        <v>50.82</v>
      </c>
    </row>
    <row r="551" spans="16:24" ht="15" x14ac:dyDescent="0.25">
      <c r="P551" s="719">
        <v>1831</v>
      </c>
      <c r="Q551" s="719" t="str">
        <f t="shared" si="28"/>
        <v>1831</v>
      </c>
      <c r="R551" s="719">
        <v>102</v>
      </c>
      <c r="S551" s="720">
        <v>26.24</v>
      </c>
      <c r="T551" s="720"/>
      <c r="U551" s="724">
        <v>1831</v>
      </c>
      <c r="V551" s="724" t="str">
        <f t="shared" si="29"/>
        <v>1831</v>
      </c>
      <c r="W551" s="724">
        <v>102</v>
      </c>
      <c r="X551" s="720">
        <v>26.74</v>
      </c>
    </row>
    <row r="552" spans="16:24" ht="15" x14ac:dyDescent="0.25">
      <c r="P552" s="719">
        <v>1831</v>
      </c>
      <c r="Q552" s="719" t="str">
        <f t="shared" si="28"/>
        <v>1831</v>
      </c>
      <c r="R552" s="719">
        <v>111</v>
      </c>
      <c r="S552" s="720">
        <v>28.53</v>
      </c>
      <c r="T552" s="720"/>
      <c r="U552" s="724">
        <v>1831</v>
      </c>
      <c r="V552" s="724" t="str">
        <f t="shared" si="29"/>
        <v>1831</v>
      </c>
      <c r="W552" s="724">
        <v>111</v>
      </c>
      <c r="X552" s="720">
        <v>29.53</v>
      </c>
    </row>
    <row r="553" spans="16:24" ht="15" x14ac:dyDescent="0.25">
      <c r="P553" s="719">
        <v>1831</v>
      </c>
      <c r="Q553" s="719" t="str">
        <f t="shared" si="28"/>
        <v>1831</v>
      </c>
      <c r="R553" s="719">
        <v>112</v>
      </c>
      <c r="S553" s="720">
        <v>10.5</v>
      </c>
      <c r="T553" s="720"/>
      <c r="U553" s="724">
        <v>1831</v>
      </c>
      <c r="V553" s="724" t="str">
        <f t="shared" si="29"/>
        <v>1831</v>
      </c>
      <c r="W553" s="724">
        <v>112</v>
      </c>
      <c r="X553" s="720">
        <v>10.5</v>
      </c>
    </row>
    <row r="554" spans="16:24" ht="15" x14ac:dyDescent="0.25">
      <c r="P554" s="719">
        <v>1831</v>
      </c>
      <c r="Q554" s="719" t="str">
        <f t="shared" si="28"/>
        <v>1831</v>
      </c>
      <c r="R554" s="719">
        <v>130</v>
      </c>
      <c r="S554" s="720">
        <v>7.94</v>
      </c>
      <c r="T554" s="720"/>
      <c r="U554" s="724">
        <v>1831</v>
      </c>
      <c r="V554" s="724" t="str">
        <f t="shared" si="29"/>
        <v>1831</v>
      </c>
      <c r="W554" s="724">
        <v>130</v>
      </c>
      <c r="X554" s="720">
        <v>7.94</v>
      </c>
    </row>
    <row r="555" spans="16:24" ht="15" x14ac:dyDescent="0.25">
      <c r="P555" s="719">
        <v>1851</v>
      </c>
      <c r="Q555" s="719" t="str">
        <f t="shared" si="28"/>
        <v>1851</v>
      </c>
      <c r="R555" s="719">
        <v>103</v>
      </c>
      <c r="S555" s="720">
        <v>813.56</v>
      </c>
      <c r="T555" s="720"/>
      <c r="U555" s="724">
        <v>1851</v>
      </c>
      <c r="V555" s="724" t="str">
        <f t="shared" si="29"/>
        <v>1851</v>
      </c>
      <c r="W555" s="724">
        <v>103</v>
      </c>
      <c r="X555" s="720">
        <v>839.66</v>
      </c>
    </row>
    <row r="556" spans="16:24" ht="15" x14ac:dyDescent="0.25">
      <c r="P556" s="719">
        <v>1851</v>
      </c>
      <c r="Q556" s="719" t="str">
        <f t="shared" si="28"/>
        <v>1851</v>
      </c>
      <c r="R556" s="719">
        <v>113</v>
      </c>
      <c r="S556" s="720">
        <v>242.16</v>
      </c>
      <c r="T556" s="720"/>
      <c r="U556" s="724">
        <v>1851</v>
      </c>
      <c r="V556" s="724" t="str">
        <f t="shared" si="29"/>
        <v>1851</v>
      </c>
      <c r="W556" s="724">
        <v>113</v>
      </c>
      <c r="X556" s="720">
        <v>232.5</v>
      </c>
    </row>
    <row r="557" spans="16:24" ht="15" x14ac:dyDescent="0.25">
      <c r="P557" s="719">
        <v>1851</v>
      </c>
      <c r="Q557" s="719" t="str">
        <f t="shared" si="28"/>
        <v>1851</v>
      </c>
      <c r="R557" s="719">
        <v>130</v>
      </c>
      <c r="S557" s="720">
        <v>132.44999999999999</v>
      </c>
      <c r="T557" s="720"/>
      <c r="U557" s="724">
        <v>1851</v>
      </c>
      <c r="V557" s="724" t="str">
        <f t="shared" si="29"/>
        <v>1851</v>
      </c>
      <c r="W557" s="724">
        <v>130</v>
      </c>
      <c r="X557" s="720">
        <v>131.1</v>
      </c>
    </row>
    <row r="558" spans="16:24" ht="15" x14ac:dyDescent="0.25">
      <c r="P558" s="719">
        <v>1851</v>
      </c>
      <c r="Q558" s="719" t="str">
        <f t="shared" si="28"/>
        <v>1851</v>
      </c>
      <c r="R558" s="719">
        <v>254</v>
      </c>
      <c r="S558" s="720">
        <v>0.49</v>
      </c>
      <c r="T558" s="720"/>
      <c r="U558" s="724">
        <v>1851</v>
      </c>
      <c r="V558" s="724" t="str">
        <f t="shared" si="29"/>
        <v>1851</v>
      </c>
      <c r="W558" s="724">
        <v>254</v>
      </c>
      <c r="X558" s="720">
        <v>0</v>
      </c>
    </row>
    <row r="559" spans="16:24" ht="15" x14ac:dyDescent="0.25">
      <c r="P559" s="719">
        <v>1851</v>
      </c>
      <c r="Q559" s="719" t="str">
        <f t="shared" si="28"/>
        <v>1851</v>
      </c>
      <c r="R559" s="719">
        <v>300</v>
      </c>
      <c r="S559" s="720">
        <v>140.21</v>
      </c>
      <c r="T559" s="720"/>
      <c r="U559" s="724">
        <v>1851</v>
      </c>
      <c r="V559" s="724" t="str">
        <f t="shared" si="29"/>
        <v>1851</v>
      </c>
      <c r="W559" s="724">
        <v>300</v>
      </c>
      <c r="X559" s="720">
        <v>93.8</v>
      </c>
    </row>
    <row r="560" spans="16:24" ht="15" x14ac:dyDescent="0.25">
      <c r="P560" s="719">
        <v>1861</v>
      </c>
      <c r="Q560" s="719" t="str">
        <f t="shared" si="28"/>
        <v>1861</v>
      </c>
      <c r="R560" s="719">
        <v>101</v>
      </c>
      <c r="S560" s="720">
        <v>75.180000000000007</v>
      </c>
      <c r="T560" s="720"/>
      <c r="U560" s="724">
        <v>1861</v>
      </c>
      <c r="V560" s="724" t="str">
        <f t="shared" si="29"/>
        <v>1861</v>
      </c>
      <c r="W560" s="724">
        <v>101</v>
      </c>
      <c r="X560" s="720">
        <v>76.94</v>
      </c>
    </row>
    <row r="561" spans="16:24" ht="15" x14ac:dyDescent="0.25">
      <c r="P561" s="719">
        <v>1861</v>
      </c>
      <c r="Q561" s="719" t="str">
        <f t="shared" si="28"/>
        <v>1861</v>
      </c>
      <c r="R561" s="719">
        <v>102</v>
      </c>
      <c r="S561" s="720">
        <v>37.85</v>
      </c>
      <c r="T561" s="720"/>
      <c r="U561" s="724">
        <v>1861</v>
      </c>
      <c r="V561" s="724" t="str">
        <f t="shared" si="29"/>
        <v>1861</v>
      </c>
      <c r="W561" s="724">
        <v>102</v>
      </c>
      <c r="X561" s="720">
        <v>37.36</v>
      </c>
    </row>
    <row r="562" spans="16:24" ht="15" x14ac:dyDescent="0.25">
      <c r="P562" s="719">
        <v>1861</v>
      </c>
      <c r="Q562" s="719" t="str">
        <f t="shared" si="28"/>
        <v>1861</v>
      </c>
      <c r="R562" s="719">
        <v>111</v>
      </c>
      <c r="S562" s="720">
        <v>21.53</v>
      </c>
      <c r="T562" s="720"/>
      <c r="U562" s="724">
        <v>1861</v>
      </c>
      <c r="V562" s="724" t="str">
        <f t="shared" si="29"/>
        <v>1861</v>
      </c>
      <c r="W562" s="724">
        <v>111</v>
      </c>
      <c r="X562" s="720">
        <v>22.49</v>
      </c>
    </row>
    <row r="563" spans="16:24" ht="15" x14ac:dyDescent="0.25">
      <c r="P563" s="719">
        <v>1861</v>
      </c>
      <c r="Q563" s="719" t="str">
        <f t="shared" si="28"/>
        <v>1861</v>
      </c>
      <c r="R563" s="719">
        <v>112</v>
      </c>
      <c r="S563" s="720">
        <v>12.51</v>
      </c>
      <c r="T563" s="720"/>
      <c r="U563" s="724">
        <v>1861</v>
      </c>
      <c r="V563" s="724" t="str">
        <f t="shared" si="29"/>
        <v>1861</v>
      </c>
      <c r="W563" s="724">
        <v>112</v>
      </c>
      <c r="X563" s="720">
        <v>13.99</v>
      </c>
    </row>
    <row r="564" spans="16:24" ht="15" x14ac:dyDescent="0.25">
      <c r="P564" s="719">
        <v>1861</v>
      </c>
      <c r="Q564" s="719" t="str">
        <f t="shared" si="28"/>
        <v>1861</v>
      </c>
      <c r="R564" s="719">
        <v>130</v>
      </c>
      <c r="S564" s="720">
        <v>77.03</v>
      </c>
      <c r="T564" s="720"/>
      <c r="U564" s="724">
        <v>1861</v>
      </c>
      <c r="V564" s="724" t="str">
        <f t="shared" si="29"/>
        <v>1861</v>
      </c>
      <c r="W564" s="724">
        <v>130</v>
      </c>
      <c r="X564" s="720">
        <v>74.83</v>
      </c>
    </row>
    <row r="565" spans="16:24" ht="15" x14ac:dyDescent="0.25">
      <c r="P565" s="719">
        <v>1871</v>
      </c>
      <c r="Q565" s="719" t="str">
        <f t="shared" si="28"/>
        <v>1871</v>
      </c>
      <c r="R565" s="719">
        <v>101</v>
      </c>
      <c r="S565" s="720">
        <v>111.58</v>
      </c>
      <c r="T565" s="720"/>
      <c r="U565" s="724">
        <v>1871</v>
      </c>
      <c r="V565" s="724" t="str">
        <f t="shared" si="29"/>
        <v>1871</v>
      </c>
      <c r="W565" s="724">
        <v>101</v>
      </c>
      <c r="X565" s="720">
        <v>108.9</v>
      </c>
    </row>
    <row r="566" spans="16:24" ht="15" x14ac:dyDescent="0.25">
      <c r="P566" s="719">
        <v>1871</v>
      </c>
      <c r="Q566" s="719" t="str">
        <f t="shared" si="28"/>
        <v>1871</v>
      </c>
      <c r="R566" s="719">
        <v>102</v>
      </c>
      <c r="S566" s="720">
        <v>74.47</v>
      </c>
      <c r="T566" s="720"/>
      <c r="U566" s="724">
        <v>1871</v>
      </c>
      <c r="V566" s="724" t="str">
        <f t="shared" si="29"/>
        <v>1871</v>
      </c>
      <c r="W566" s="724">
        <v>102</v>
      </c>
      <c r="X566" s="720">
        <v>72.98</v>
      </c>
    </row>
    <row r="567" spans="16:24" ht="15" x14ac:dyDescent="0.25">
      <c r="P567" s="719">
        <v>1871</v>
      </c>
      <c r="Q567" s="719" t="str">
        <f t="shared" si="28"/>
        <v>1871</v>
      </c>
      <c r="R567" s="719">
        <v>111</v>
      </c>
      <c r="S567" s="720">
        <v>37.479999999999997</v>
      </c>
      <c r="T567" s="720"/>
      <c r="U567" s="724">
        <v>1871</v>
      </c>
      <c r="V567" s="724" t="str">
        <f t="shared" si="29"/>
        <v>1871</v>
      </c>
      <c r="W567" s="724">
        <v>111</v>
      </c>
      <c r="X567" s="720">
        <v>39.56</v>
      </c>
    </row>
    <row r="568" spans="16:24" ht="15" x14ac:dyDescent="0.25">
      <c r="P568" s="719">
        <v>1871</v>
      </c>
      <c r="Q568" s="719" t="str">
        <f t="shared" si="28"/>
        <v>1871</v>
      </c>
      <c r="R568" s="719">
        <v>112</v>
      </c>
      <c r="S568" s="720">
        <v>23.33</v>
      </c>
      <c r="T568" s="720"/>
      <c r="U568" s="724">
        <v>1871</v>
      </c>
      <c r="V568" s="724" t="str">
        <f t="shared" si="29"/>
        <v>1871</v>
      </c>
      <c r="W568" s="724">
        <v>112</v>
      </c>
      <c r="X568" s="720">
        <v>24</v>
      </c>
    </row>
    <row r="569" spans="16:24" ht="15" x14ac:dyDescent="0.25">
      <c r="P569" s="719">
        <v>1871</v>
      </c>
      <c r="Q569" s="719" t="str">
        <f t="shared" si="28"/>
        <v>1871</v>
      </c>
      <c r="R569" s="719">
        <v>130</v>
      </c>
      <c r="S569" s="720">
        <v>160.91999999999999</v>
      </c>
      <c r="T569" s="720"/>
      <c r="U569" s="724">
        <v>1871</v>
      </c>
      <c r="V569" s="724" t="str">
        <f t="shared" si="29"/>
        <v>1871</v>
      </c>
      <c r="W569" s="724">
        <v>130</v>
      </c>
      <c r="X569" s="720">
        <v>155.59</v>
      </c>
    </row>
    <row r="570" spans="16:24" ht="15" x14ac:dyDescent="0.25">
      <c r="P570" s="719">
        <v>1891</v>
      </c>
      <c r="Q570" s="719" t="str">
        <f t="shared" si="28"/>
        <v>1891</v>
      </c>
      <c r="R570" s="719">
        <v>101</v>
      </c>
      <c r="S570" s="720">
        <v>133.69999999999999</v>
      </c>
      <c r="T570" s="720"/>
      <c r="U570" s="724">
        <v>1891</v>
      </c>
      <c r="V570" s="724" t="str">
        <f t="shared" si="29"/>
        <v>1891</v>
      </c>
      <c r="W570" s="724">
        <v>101</v>
      </c>
      <c r="X570" s="720">
        <v>130.13999999999999</v>
      </c>
    </row>
    <row r="571" spans="16:24" ht="15" x14ac:dyDescent="0.25">
      <c r="P571" s="719">
        <v>1891</v>
      </c>
      <c r="Q571" s="719" t="str">
        <f t="shared" si="28"/>
        <v>1891</v>
      </c>
      <c r="R571" s="719">
        <v>102</v>
      </c>
      <c r="S571" s="720">
        <v>54.29</v>
      </c>
      <c r="T571" s="720"/>
      <c r="U571" s="724">
        <v>1891</v>
      </c>
      <c r="V571" s="724" t="str">
        <f t="shared" si="29"/>
        <v>1891</v>
      </c>
      <c r="W571" s="724">
        <v>102</v>
      </c>
      <c r="X571" s="720">
        <v>53.39</v>
      </c>
    </row>
    <row r="572" spans="16:24" ht="15" x14ac:dyDescent="0.25">
      <c r="P572" s="719">
        <v>1891</v>
      </c>
      <c r="Q572" s="719" t="str">
        <f t="shared" si="28"/>
        <v>1891</v>
      </c>
      <c r="R572" s="719">
        <v>111</v>
      </c>
      <c r="S572" s="720">
        <v>87.76</v>
      </c>
      <c r="T572" s="720"/>
      <c r="U572" s="724">
        <v>1891</v>
      </c>
      <c r="V572" s="724" t="str">
        <f t="shared" si="29"/>
        <v>1891</v>
      </c>
      <c r="W572" s="724">
        <v>111</v>
      </c>
      <c r="X572" s="720">
        <v>88.84</v>
      </c>
    </row>
    <row r="573" spans="16:24" ht="15" x14ac:dyDescent="0.25">
      <c r="P573" s="719">
        <v>1891</v>
      </c>
      <c r="Q573" s="719" t="str">
        <f t="shared" si="28"/>
        <v>1891</v>
      </c>
      <c r="R573" s="719">
        <v>112</v>
      </c>
      <c r="S573" s="720">
        <v>56.96</v>
      </c>
      <c r="T573" s="720"/>
      <c r="U573" s="724">
        <v>1891</v>
      </c>
      <c r="V573" s="724" t="str">
        <f t="shared" si="29"/>
        <v>1891</v>
      </c>
      <c r="W573" s="724">
        <v>112</v>
      </c>
      <c r="X573" s="720">
        <v>57.91</v>
      </c>
    </row>
    <row r="574" spans="16:24" ht="15" x14ac:dyDescent="0.25">
      <c r="P574" s="719">
        <v>1891</v>
      </c>
      <c r="Q574" s="719" t="str">
        <f t="shared" si="28"/>
        <v>1891</v>
      </c>
      <c r="R574" s="719">
        <v>130</v>
      </c>
      <c r="S574" s="720">
        <v>53.57</v>
      </c>
      <c r="T574" s="720"/>
      <c r="U574" s="724">
        <v>1891</v>
      </c>
      <c r="V574" s="724" t="str">
        <f t="shared" si="29"/>
        <v>1891</v>
      </c>
      <c r="W574" s="724">
        <v>130</v>
      </c>
      <c r="X574" s="720">
        <v>53.9</v>
      </c>
    </row>
    <row r="575" spans="16:24" ht="15" x14ac:dyDescent="0.25">
      <c r="P575" s="719">
        <v>1891</v>
      </c>
      <c r="Q575" s="719" t="str">
        <f t="shared" si="28"/>
        <v>1891</v>
      </c>
      <c r="R575" s="719">
        <v>254</v>
      </c>
      <c r="S575" s="720">
        <v>2.04</v>
      </c>
      <c r="T575" s="720"/>
      <c r="U575" s="724">
        <v>1891</v>
      </c>
      <c r="V575" s="724" t="str">
        <f t="shared" si="29"/>
        <v>1891</v>
      </c>
      <c r="W575" s="724">
        <v>254</v>
      </c>
      <c r="X575" s="720">
        <v>2.54</v>
      </c>
    </row>
    <row r="576" spans="16:24" ht="15" x14ac:dyDescent="0.25">
      <c r="P576" s="719">
        <v>1891</v>
      </c>
      <c r="Q576" s="719" t="str">
        <f t="shared" si="28"/>
        <v>1891</v>
      </c>
      <c r="R576" s="719">
        <v>255</v>
      </c>
      <c r="S576" s="720">
        <v>0.35</v>
      </c>
      <c r="T576" s="720"/>
      <c r="U576" s="724">
        <v>1891</v>
      </c>
      <c r="V576" s="724" t="str">
        <f t="shared" si="29"/>
        <v>1891</v>
      </c>
      <c r="W576" s="724">
        <v>255</v>
      </c>
      <c r="X576" s="720">
        <v>0.35</v>
      </c>
    </row>
    <row r="577" spans="16:24" ht="15" x14ac:dyDescent="0.25">
      <c r="P577" s="719">
        <v>1901</v>
      </c>
      <c r="Q577" s="719" t="str">
        <f t="shared" si="28"/>
        <v>1901</v>
      </c>
      <c r="R577" s="719">
        <v>101</v>
      </c>
      <c r="S577" s="720">
        <v>123.6</v>
      </c>
      <c r="T577" s="720"/>
      <c r="U577" s="724">
        <v>1901</v>
      </c>
      <c r="V577" s="724" t="str">
        <f t="shared" si="29"/>
        <v>1901</v>
      </c>
      <c r="W577" s="724">
        <v>101</v>
      </c>
      <c r="X577" s="720">
        <v>128.04</v>
      </c>
    </row>
    <row r="578" spans="16:24" ht="15" x14ac:dyDescent="0.25">
      <c r="P578" s="719">
        <v>1901</v>
      </c>
      <c r="Q578" s="719" t="str">
        <f t="shared" si="28"/>
        <v>1901</v>
      </c>
      <c r="R578" s="719">
        <v>102</v>
      </c>
      <c r="S578" s="720">
        <v>64.819999999999993</v>
      </c>
      <c r="T578" s="720"/>
      <c r="U578" s="724">
        <v>1901</v>
      </c>
      <c r="V578" s="724" t="str">
        <f t="shared" si="29"/>
        <v>1901</v>
      </c>
      <c r="W578" s="724">
        <v>102</v>
      </c>
      <c r="X578" s="720">
        <v>65.33</v>
      </c>
    </row>
    <row r="579" spans="16:24" ht="15" x14ac:dyDescent="0.25">
      <c r="P579" s="719">
        <v>1901</v>
      </c>
      <c r="Q579" s="719" t="str">
        <f t="shared" ref="Q579:Q642" si="30">TEXT(P579,"0000")</f>
        <v>1901</v>
      </c>
      <c r="R579" s="719">
        <v>111</v>
      </c>
      <c r="S579" s="720">
        <v>67</v>
      </c>
      <c r="T579" s="720"/>
      <c r="U579" s="724">
        <v>1901</v>
      </c>
      <c r="V579" s="724" t="str">
        <f t="shared" si="29"/>
        <v>1901</v>
      </c>
      <c r="W579" s="724">
        <v>111</v>
      </c>
      <c r="X579" s="720">
        <v>82.13</v>
      </c>
    </row>
    <row r="580" spans="16:24" ht="15" x14ac:dyDescent="0.25">
      <c r="P580" s="719">
        <v>1901</v>
      </c>
      <c r="Q580" s="719" t="str">
        <f t="shared" si="30"/>
        <v>1901</v>
      </c>
      <c r="R580" s="719">
        <v>112</v>
      </c>
      <c r="S580" s="720">
        <v>22.5</v>
      </c>
      <c r="T580" s="720"/>
      <c r="U580" s="724">
        <v>1901</v>
      </c>
      <c r="V580" s="724" t="str">
        <f t="shared" ref="V580:V643" si="31">TEXT(U580,"0000")</f>
        <v>1901</v>
      </c>
      <c r="W580" s="724">
        <v>112</v>
      </c>
      <c r="X580" s="720">
        <v>22</v>
      </c>
    </row>
    <row r="581" spans="16:24" ht="15" x14ac:dyDescent="0.25">
      <c r="P581" s="719">
        <v>1901</v>
      </c>
      <c r="Q581" s="719" t="str">
        <f t="shared" si="30"/>
        <v>1901</v>
      </c>
      <c r="R581" s="719">
        <v>130</v>
      </c>
      <c r="S581" s="720">
        <v>38.6</v>
      </c>
      <c r="T581" s="720"/>
      <c r="U581" s="724">
        <v>1901</v>
      </c>
      <c r="V581" s="724" t="str">
        <f t="shared" si="31"/>
        <v>1901</v>
      </c>
      <c r="W581" s="724">
        <v>130</v>
      </c>
      <c r="X581" s="720">
        <v>40.630000000000003</v>
      </c>
    </row>
    <row r="582" spans="16:24" ht="15" x14ac:dyDescent="0.25">
      <c r="P582" s="719">
        <v>1901</v>
      </c>
      <c r="Q582" s="719" t="str">
        <f t="shared" si="30"/>
        <v>1901</v>
      </c>
      <c r="R582" s="719">
        <v>254</v>
      </c>
      <c r="S582" s="720">
        <v>2.99</v>
      </c>
      <c r="T582" s="720"/>
      <c r="U582" s="724">
        <v>1901</v>
      </c>
      <c r="V582" s="724" t="str">
        <f t="shared" si="31"/>
        <v>1901</v>
      </c>
      <c r="W582" s="724">
        <v>254</v>
      </c>
      <c r="X582" s="720">
        <v>2.31</v>
      </c>
    </row>
    <row r="583" spans="16:24" ht="15" x14ac:dyDescent="0.25">
      <c r="P583" s="719">
        <v>1911</v>
      </c>
      <c r="Q583" s="719" t="str">
        <f t="shared" si="30"/>
        <v>1911</v>
      </c>
      <c r="R583" s="719">
        <v>101</v>
      </c>
      <c r="S583" s="720">
        <v>114.29</v>
      </c>
      <c r="T583" s="720"/>
      <c r="U583" s="724">
        <v>1911</v>
      </c>
      <c r="V583" s="724" t="str">
        <f t="shared" si="31"/>
        <v>1911</v>
      </c>
      <c r="W583" s="724">
        <v>101</v>
      </c>
      <c r="X583" s="720">
        <v>115.05</v>
      </c>
    </row>
    <row r="584" spans="16:24" ht="15" x14ac:dyDescent="0.25">
      <c r="P584" s="719">
        <v>1911</v>
      </c>
      <c r="Q584" s="719" t="str">
        <f t="shared" si="30"/>
        <v>1911</v>
      </c>
      <c r="R584" s="719">
        <v>102</v>
      </c>
      <c r="S584" s="720">
        <v>77.28</v>
      </c>
      <c r="T584" s="720"/>
      <c r="U584" s="724">
        <v>1911</v>
      </c>
      <c r="V584" s="724" t="str">
        <f t="shared" si="31"/>
        <v>1911</v>
      </c>
      <c r="W584" s="724">
        <v>102</v>
      </c>
      <c r="X584" s="720">
        <v>78.760000000000005</v>
      </c>
    </row>
    <row r="585" spans="16:24" ht="15" x14ac:dyDescent="0.25">
      <c r="P585" s="719">
        <v>1911</v>
      </c>
      <c r="Q585" s="719" t="str">
        <f t="shared" si="30"/>
        <v>1911</v>
      </c>
      <c r="R585" s="719">
        <v>111</v>
      </c>
      <c r="S585" s="720">
        <v>101.59</v>
      </c>
      <c r="T585" s="720"/>
      <c r="U585" s="724">
        <v>1911</v>
      </c>
      <c r="V585" s="724" t="str">
        <f t="shared" si="31"/>
        <v>1911</v>
      </c>
      <c r="W585" s="724">
        <v>111</v>
      </c>
      <c r="X585" s="720">
        <v>106.78</v>
      </c>
    </row>
    <row r="586" spans="16:24" ht="15" x14ac:dyDescent="0.25">
      <c r="P586" s="719">
        <v>1911</v>
      </c>
      <c r="Q586" s="719" t="str">
        <f t="shared" si="30"/>
        <v>1911</v>
      </c>
      <c r="R586" s="719">
        <v>112</v>
      </c>
      <c r="S586" s="720">
        <v>63</v>
      </c>
      <c r="T586" s="720"/>
      <c r="U586" s="724">
        <v>1911</v>
      </c>
      <c r="V586" s="724" t="str">
        <f t="shared" si="31"/>
        <v>1911</v>
      </c>
      <c r="W586" s="724">
        <v>112</v>
      </c>
      <c r="X586" s="720">
        <v>63.98</v>
      </c>
    </row>
    <row r="587" spans="16:24" ht="15" x14ac:dyDescent="0.25">
      <c r="P587" s="719">
        <v>1911</v>
      </c>
      <c r="Q587" s="719" t="str">
        <f t="shared" si="30"/>
        <v>1911</v>
      </c>
      <c r="R587" s="719">
        <v>130</v>
      </c>
      <c r="S587" s="720">
        <v>53.16</v>
      </c>
      <c r="T587" s="720"/>
      <c r="U587" s="724">
        <v>1911</v>
      </c>
      <c r="V587" s="724" t="str">
        <f t="shared" si="31"/>
        <v>1911</v>
      </c>
      <c r="W587" s="724">
        <v>130</v>
      </c>
      <c r="X587" s="720">
        <v>55.18</v>
      </c>
    </row>
    <row r="588" spans="16:24" ht="15" x14ac:dyDescent="0.25">
      <c r="P588" s="719">
        <v>1911</v>
      </c>
      <c r="Q588" s="719" t="str">
        <f t="shared" si="30"/>
        <v>1911</v>
      </c>
      <c r="R588" s="719">
        <v>255</v>
      </c>
      <c r="S588" s="720">
        <v>0.48</v>
      </c>
      <c r="T588" s="720"/>
      <c r="U588" s="724">
        <v>1911</v>
      </c>
      <c r="V588" s="724" t="str">
        <f t="shared" si="31"/>
        <v>1911</v>
      </c>
      <c r="W588" s="724">
        <v>254</v>
      </c>
      <c r="X588" s="720">
        <v>0.5</v>
      </c>
    </row>
    <row r="589" spans="16:24" ht="15" x14ac:dyDescent="0.25">
      <c r="P589" s="719">
        <v>1921</v>
      </c>
      <c r="Q589" s="719" t="str">
        <f t="shared" si="30"/>
        <v>1921</v>
      </c>
      <c r="R589" s="719">
        <v>102</v>
      </c>
      <c r="S589" s="720">
        <v>474</v>
      </c>
      <c r="T589" s="720"/>
      <c r="U589" s="724">
        <v>1911</v>
      </c>
      <c r="V589" s="724" t="str">
        <f t="shared" si="31"/>
        <v>1911</v>
      </c>
      <c r="W589" s="724">
        <v>255</v>
      </c>
      <c r="X589" s="720">
        <v>0</v>
      </c>
    </row>
    <row r="590" spans="16:24" ht="15" x14ac:dyDescent="0.25">
      <c r="P590" s="719">
        <v>1921</v>
      </c>
      <c r="Q590" s="719" t="str">
        <f t="shared" si="30"/>
        <v>1921</v>
      </c>
      <c r="R590" s="719">
        <v>112</v>
      </c>
      <c r="S590" s="720">
        <v>112.02</v>
      </c>
      <c r="T590" s="720"/>
      <c r="U590" s="724">
        <v>1921</v>
      </c>
      <c r="V590" s="724" t="str">
        <f t="shared" si="31"/>
        <v>1921</v>
      </c>
      <c r="W590" s="724">
        <v>102</v>
      </c>
      <c r="X590" s="720">
        <v>489.7</v>
      </c>
    </row>
    <row r="591" spans="16:24" ht="15" x14ac:dyDescent="0.25">
      <c r="P591" s="719">
        <v>1921</v>
      </c>
      <c r="Q591" s="719" t="str">
        <f t="shared" si="30"/>
        <v>1921</v>
      </c>
      <c r="R591" s="719">
        <v>130</v>
      </c>
      <c r="S591" s="720">
        <v>34.32</v>
      </c>
      <c r="T591" s="720"/>
      <c r="U591" s="724">
        <v>1921</v>
      </c>
      <c r="V591" s="724" t="str">
        <f t="shared" si="31"/>
        <v>1921</v>
      </c>
      <c r="W591" s="724">
        <v>112</v>
      </c>
      <c r="X591" s="720">
        <v>92.71</v>
      </c>
    </row>
    <row r="592" spans="16:24" ht="15" x14ac:dyDescent="0.25">
      <c r="P592" s="719">
        <v>1921</v>
      </c>
      <c r="Q592" s="719" t="str">
        <f t="shared" si="30"/>
        <v>1921</v>
      </c>
      <c r="R592" s="719">
        <v>254</v>
      </c>
      <c r="S592" s="720">
        <v>1</v>
      </c>
      <c r="T592" s="720"/>
      <c r="U592" s="724">
        <v>1921</v>
      </c>
      <c r="V592" s="724" t="str">
        <f t="shared" si="31"/>
        <v>1921</v>
      </c>
      <c r="W592" s="724">
        <v>130</v>
      </c>
      <c r="X592" s="720">
        <v>32.57</v>
      </c>
    </row>
    <row r="593" spans="16:24" ht="15" x14ac:dyDescent="0.25">
      <c r="P593" s="719">
        <v>1921</v>
      </c>
      <c r="Q593" s="719" t="str">
        <f t="shared" si="30"/>
        <v>1921</v>
      </c>
      <c r="R593" s="719">
        <v>255</v>
      </c>
      <c r="S593" s="720">
        <v>1</v>
      </c>
      <c r="T593" s="720"/>
      <c r="U593" s="724">
        <v>1921</v>
      </c>
      <c r="V593" s="724" t="str">
        <f t="shared" si="31"/>
        <v>1921</v>
      </c>
      <c r="W593" s="724">
        <v>254</v>
      </c>
      <c r="X593" s="720">
        <v>1</v>
      </c>
    </row>
    <row r="594" spans="16:24" ht="15" x14ac:dyDescent="0.25">
      <c r="P594" s="719">
        <v>1931</v>
      </c>
      <c r="Q594" s="719" t="str">
        <f t="shared" si="30"/>
        <v>1931</v>
      </c>
      <c r="R594" s="719">
        <v>101</v>
      </c>
      <c r="S594" s="720">
        <v>179.66</v>
      </c>
      <c r="T594" s="720"/>
      <c r="U594" s="724">
        <v>1921</v>
      </c>
      <c r="V594" s="724" t="str">
        <f t="shared" si="31"/>
        <v>1921</v>
      </c>
      <c r="W594" s="724">
        <v>255</v>
      </c>
      <c r="X594" s="720">
        <v>1</v>
      </c>
    </row>
    <row r="595" spans="16:24" ht="15" x14ac:dyDescent="0.25">
      <c r="P595" s="719">
        <v>1931</v>
      </c>
      <c r="Q595" s="719" t="str">
        <f t="shared" si="30"/>
        <v>1931</v>
      </c>
      <c r="R595" s="719">
        <v>111</v>
      </c>
      <c r="S595" s="720">
        <v>52.27</v>
      </c>
      <c r="T595" s="720"/>
      <c r="U595" s="724">
        <v>1931</v>
      </c>
      <c r="V595" s="724" t="str">
        <f t="shared" si="31"/>
        <v>1931</v>
      </c>
      <c r="W595" s="724">
        <v>101</v>
      </c>
      <c r="X595" s="720">
        <v>172.13</v>
      </c>
    </row>
    <row r="596" spans="16:24" ht="15" x14ac:dyDescent="0.25">
      <c r="P596" s="719">
        <v>1931</v>
      </c>
      <c r="Q596" s="719" t="str">
        <f t="shared" si="30"/>
        <v>1931</v>
      </c>
      <c r="R596" s="719">
        <v>130</v>
      </c>
      <c r="S596" s="720">
        <v>5.3</v>
      </c>
      <c r="T596" s="720"/>
      <c r="U596" s="724">
        <v>1931</v>
      </c>
      <c r="V596" s="724" t="str">
        <f t="shared" si="31"/>
        <v>1931</v>
      </c>
      <c r="W596" s="724">
        <v>111</v>
      </c>
      <c r="X596" s="720">
        <v>63.59</v>
      </c>
    </row>
    <row r="597" spans="16:24" ht="15" x14ac:dyDescent="0.25">
      <c r="P597" s="719">
        <v>1931</v>
      </c>
      <c r="Q597" s="719" t="str">
        <f t="shared" si="30"/>
        <v>1931</v>
      </c>
      <c r="R597" s="719">
        <v>254</v>
      </c>
      <c r="S597" s="720">
        <v>3</v>
      </c>
      <c r="T597" s="720"/>
      <c r="U597" s="724">
        <v>1931</v>
      </c>
      <c r="V597" s="724" t="str">
        <f t="shared" si="31"/>
        <v>1931</v>
      </c>
      <c r="W597" s="724">
        <v>130</v>
      </c>
      <c r="X597" s="720">
        <v>4.8899999999999997</v>
      </c>
    </row>
    <row r="598" spans="16:24" ht="15" x14ac:dyDescent="0.25">
      <c r="P598" s="719">
        <v>1941</v>
      </c>
      <c r="Q598" s="719" t="str">
        <f t="shared" si="30"/>
        <v>1941</v>
      </c>
      <c r="R598" s="719">
        <v>101</v>
      </c>
      <c r="S598" s="720">
        <v>115.58</v>
      </c>
      <c r="T598" s="720"/>
      <c r="U598" s="724">
        <v>1931</v>
      </c>
      <c r="V598" s="724" t="str">
        <f t="shared" si="31"/>
        <v>1931</v>
      </c>
      <c r="W598" s="724">
        <v>254</v>
      </c>
      <c r="X598" s="720">
        <v>4</v>
      </c>
    </row>
    <row r="599" spans="16:24" ht="15" x14ac:dyDescent="0.25">
      <c r="P599" s="719">
        <v>1941</v>
      </c>
      <c r="Q599" s="719" t="str">
        <f t="shared" si="30"/>
        <v>1941</v>
      </c>
      <c r="R599" s="719">
        <v>102</v>
      </c>
      <c r="S599" s="720">
        <v>44.09</v>
      </c>
      <c r="T599" s="720"/>
      <c r="U599" s="724">
        <v>1941</v>
      </c>
      <c r="V599" s="724" t="str">
        <f t="shared" si="31"/>
        <v>1941</v>
      </c>
      <c r="W599" s="724">
        <v>101</v>
      </c>
      <c r="X599" s="720">
        <v>114.83</v>
      </c>
    </row>
    <row r="600" spans="16:24" ht="15" x14ac:dyDescent="0.25">
      <c r="P600" s="719">
        <v>1941</v>
      </c>
      <c r="Q600" s="719" t="str">
        <f t="shared" si="30"/>
        <v>1941</v>
      </c>
      <c r="R600" s="719">
        <v>111</v>
      </c>
      <c r="S600" s="720">
        <v>45.13</v>
      </c>
      <c r="T600" s="720"/>
      <c r="U600" s="724">
        <v>1941</v>
      </c>
      <c r="V600" s="724" t="str">
        <f t="shared" si="31"/>
        <v>1941</v>
      </c>
      <c r="W600" s="724">
        <v>102</v>
      </c>
      <c r="X600" s="720">
        <v>44.37</v>
      </c>
    </row>
    <row r="601" spans="16:24" ht="15" x14ac:dyDescent="0.25">
      <c r="P601" s="719">
        <v>1941</v>
      </c>
      <c r="Q601" s="719" t="str">
        <f t="shared" si="30"/>
        <v>1941</v>
      </c>
      <c r="R601" s="719">
        <v>112</v>
      </c>
      <c r="S601" s="720">
        <v>32.47</v>
      </c>
      <c r="T601" s="720"/>
      <c r="U601" s="724">
        <v>1941</v>
      </c>
      <c r="V601" s="724" t="str">
        <f t="shared" si="31"/>
        <v>1941</v>
      </c>
      <c r="W601" s="724">
        <v>111</v>
      </c>
      <c r="X601" s="720">
        <v>45.33</v>
      </c>
    </row>
    <row r="602" spans="16:24" ht="15" x14ac:dyDescent="0.25">
      <c r="P602" s="719">
        <v>1941</v>
      </c>
      <c r="Q602" s="719" t="str">
        <f t="shared" si="30"/>
        <v>1941</v>
      </c>
      <c r="R602" s="719">
        <v>130</v>
      </c>
      <c r="S602" s="720">
        <v>23.73</v>
      </c>
      <c r="T602" s="720"/>
      <c r="U602" s="724">
        <v>1941</v>
      </c>
      <c r="V602" s="724" t="str">
        <f t="shared" si="31"/>
        <v>1941</v>
      </c>
      <c r="W602" s="724">
        <v>112</v>
      </c>
      <c r="X602" s="720">
        <v>30.5</v>
      </c>
    </row>
    <row r="603" spans="16:24" ht="15" x14ac:dyDescent="0.25">
      <c r="P603" s="719">
        <v>1941</v>
      </c>
      <c r="Q603" s="719" t="str">
        <f t="shared" si="30"/>
        <v>1941</v>
      </c>
      <c r="R603" s="719">
        <v>254</v>
      </c>
      <c r="S603" s="720">
        <v>2</v>
      </c>
      <c r="T603" s="720"/>
      <c r="U603" s="724">
        <v>1941</v>
      </c>
      <c r="V603" s="724" t="str">
        <f t="shared" si="31"/>
        <v>1941</v>
      </c>
      <c r="W603" s="724">
        <v>130</v>
      </c>
      <c r="X603" s="720">
        <v>24.05</v>
      </c>
    </row>
    <row r="604" spans="16:24" ht="15" x14ac:dyDescent="0.25">
      <c r="P604" s="719">
        <v>1941</v>
      </c>
      <c r="Q604" s="719" t="str">
        <f t="shared" si="30"/>
        <v>1941</v>
      </c>
      <c r="R604" s="719">
        <v>255</v>
      </c>
      <c r="S604" s="720">
        <v>0.5</v>
      </c>
      <c r="T604" s="720"/>
      <c r="U604" s="724">
        <v>1941</v>
      </c>
      <c r="V604" s="724" t="str">
        <f t="shared" si="31"/>
        <v>1941</v>
      </c>
      <c r="W604" s="724">
        <v>254</v>
      </c>
      <c r="X604" s="720">
        <v>2</v>
      </c>
    </row>
    <row r="605" spans="16:24" ht="15" x14ac:dyDescent="0.25">
      <c r="P605" s="719">
        <v>1951</v>
      </c>
      <c r="Q605" s="719" t="str">
        <f t="shared" si="30"/>
        <v>1951</v>
      </c>
      <c r="R605" s="719">
        <v>101</v>
      </c>
      <c r="S605" s="720">
        <v>238.04</v>
      </c>
      <c r="T605" s="720"/>
      <c r="U605" s="724">
        <v>1941</v>
      </c>
      <c r="V605" s="724" t="str">
        <f t="shared" si="31"/>
        <v>1941</v>
      </c>
      <c r="W605" s="724">
        <v>255</v>
      </c>
      <c r="X605" s="720">
        <v>0.5</v>
      </c>
    </row>
    <row r="606" spans="16:24" ht="15" x14ac:dyDescent="0.25">
      <c r="P606" s="719">
        <v>1951</v>
      </c>
      <c r="Q606" s="719" t="str">
        <f t="shared" si="30"/>
        <v>1951</v>
      </c>
      <c r="R606" s="719">
        <v>102</v>
      </c>
      <c r="S606" s="720">
        <v>111.03</v>
      </c>
      <c r="T606" s="720"/>
      <c r="U606" s="724">
        <v>1951</v>
      </c>
      <c r="V606" s="724" t="str">
        <f t="shared" si="31"/>
        <v>1951</v>
      </c>
      <c r="W606" s="724">
        <v>101</v>
      </c>
      <c r="X606" s="720">
        <v>234.55</v>
      </c>
    </row>
    <row r="607" spans="16:24" ht="15" x14ac:dyDescent="0.25">
      <c r="P607" s="719">
        <v>1951</v>
      </c>
      <c r="Q607" s="719" t="str">
        <f t="shared" si="30"/>
        <v>1951</v>
      </c>
      <c r="R607" s="719">
        <v>111</v>
      </c>
      <c r="S607" s="720">
        <v>25.51</v>
      </c>
      <c r="T607" s="720"/>
      <c r="U607" s="724">
        <v>1951</v>
      </c>
      <c r="V607" s="724" t="str">
        <f t="shared" si="31"/>
        <v>1951</v>
      </c>
      <c r="W607" s="724">
        <v>102</v>
      </c>
      <c r="X607" s="720">
        <v>110.48</v>
      </c>
    </row>
    <row r="608" spans="16:24" ht="15" x14ac:dyDescent="0.25">
      <c r="P608" s="719">
        <v>1951</v>
      </c>
      <c r="Q608" s="719" t="str">
        <f t="shared" si="30"/>
        <v>1951</v>
      </c>
      <c r="R608" s="719">
        <v>112</v>
      </c>
      <c r="S608" s="720">
        <v>15.5</v>
      </c>
      <c r="T608" s="720"/>
      <c r="U608" s="724">
        <v>1951</v>
      </c>
      <c r="V608" s="724" t="str">
        <f t="shared" si="31"/>
        <v>1951</v>
      </c>
      <c r="W608" s="724">
        <v>111</v>
      </c>
      <c r="X608" s="720">
        <v>27.47</v>
      </c>
    </row>
    <row r="609" spans="16:24" ht="15" x14ac:dyDescent="0.25">
      <c r="P609" s="719">
        <v>1951</v>
      </c>
      <c r="Q609" s="719" t="str">
        <f t="shared" si="30"/>
        <v>1951</v>
      </c>
      <c r="R609" s="719">
        <v>130</v>
      </c>
      <c r="S609" s="720">
        <v>10.19</v>
      </c>
      <c r="T609" s="720"/>
      <c r="U609" s="724">
        <v>1951</v>
      </c>
      <c r="V609" s="724" t="str">
        <f t="shared" si="31"/>
        <v>1951</v>
      </c>
      <c r="W609" s="724">
        <v>112</v>
      </c>
      <c r="X609" s="720">
        <v>16</v>
      </c>
    </row>
    <row r="610" spans="16:24" ht="15" x14ac:dyDescent="0.25">
      <c r="P610" s="719">
        <v>1961</v>
      </c>
      <c r="Q610" s="719" t="str">
        <f t="shared" si="30"/>
        <v>1961</v>
      </c>
      <c r="R610" s="719">
        <v>101</v>
      </c>
      <c r="S610" s="720">
        <v>172.65</v>
      </c>
      <c r="T610" s="720"/>
      <c r="U610" s="724">
        <v>1951</v>
      </c>
      <c r="V610" s="724" t="str">
        <f t="shared" si="31"/>
        <v>1951</v>
      </c>
      <c r="W610" s="724">
        <v>130</v>
      </c>
      <c r="X610" s="720">
        <v>10.19</v>
      </c>
    </row>
    <row r="611" spans="16:24" ht="15" x14ac:dyDescent="0.25">
      <c r="P611" s="719">
        <v>1961</v>
      </c>
      <c r="Q611" s="719" t="str">
        <f t="shared" si="30"/>
        <v>1961</v>
      </c>
      <c r="R611" s="719">
        <v>102</v>
      </c>
      <c r="S611" s="720">
        <v>103.23</v>
      </c>
      <c r="T611" s="720"/>
      <c r="U611" s="724">
        <v>1961</v>
      </c>
      <c r="V611" s="724" t="str">
        <f t="shared" si="31"/>
        <v>1961</v>
      </c>
      <c r="W611" s="724">
        <v>101</v>
      </c>
      <c r="X611" s="720">
        <v>171.72</v>
      </c>
    </row>
    <row r="612" spans="16:24" ht="15" x14ac:dyDescent="0.25">
      <c r="P612" s="719">
        <v>1961</v>
      </c>
      <c r="Q612" s="719" t="str">
        <f t="shared" si="30"/>
        <v>1961</v>
      </c>
      <c r="R612" s="719">
        <v>111</v>
      </c>
      <c r="S612" s="720">
        <v>64.510000000000005</v>
      </c>
      <c r="T612" s="720"/>
      <c r="U612" s="724">
        <v>1961</v>
      </c>
      <c r="V612" s="724" t="str">
        <f t="shared" si="31"/>
        <v>1961</v>
      </c>
      <c r="W612" s="724">
        <v>102</v>
      </c>
      <c r="X612" s="720">
        <v>104.01</v>
      </c>
    </row>
    <row r="613" spans="16:24" ht="15" x14ac:dyDescent="0.25">
      <c r="P613" s="719">
        <v>1961</v>
      </c>
      <c r="Q613" s="719" t="str">
        <f t="shared" si="30"/>
        <v>1961</v>
      </c>
      <c r="R613" s="719">
        <v>112</v>
      </c>
      <c r="S613" s="720">
        <v>35</v>
      </c>
      <c r="T613" s="720"/>
      <c r="U613" s="724">
        <v>1961</v>
      </c>
      <c r="V613" s="724" t="str">
        <f t="shared" si="31"/>
        <v>1961</v>
      </c>
      <c r="W613" s="724">
        <v>111</v>
      </c>
      <c r="X613" s="720">
        <v>67.98</v>
      </c>
    </row>
    <row r="614" spans="16:24" ht="15" x14ac:dyDescent="0.25">
      <c r="P614" s="719">
        <v>1961</v>
      </c>
      <c r="Q614" s="719" t="str">
        <f t="shared" si="30"/>
        <v>1961</v>
      </c>
      <c r="R614" s="719">
        <v>130</v>
      </c>
      <c r="S614" s="720">
        <v>51.52</v>
      </c>
      <c r="T614" s="720"/>
      <c r="U614" s="724">
        <v>1961</v>
      </c>
      <c r="V614" s="724" t="str">
        <f t="shared" si="31"/>
        <v>1961</v>
      </c>
      <c r="W614" s="724">
        <v>112</v>
      </c>
      <c r="X614" s="720">
        <v>33.5</v>
      </c>
    </row>
    <row r="615" spans="16:24" ht="15" x14ac:dyDescent="0.25">
      <c r="P615" s="719">
        <v>1961</v>
      </c>
      <c r="Q615" s="719" t="str">
        <f t="shared" si="30"/>
        <v>1961</v>
      </c>
      <c r="R615" s="719">
        <v>254</v>
      </c>
      <c r="S615" s="720">
        <v>0.5</v>
      </c>
      <c r="T615" s="720"/>
      <c r="U615" s="724">
        <v>1961</v>
      </c>
      <c r="V615" s="724" t="str">
        <f t="shared" si="31"/>
        <v>1961</v>
      </c>
      <c r="W615" s="724">
        <v>130</v>
      </c>
      <c r="X615" s="720">
        <v>53.14</v>
      </c>
    </row>
    <row r="616" spans="16:24" ht="15" x14ac:dyDescent="0.25">
      <c r="P616" s="719">
        <v>1961</v>
      </c>
      <c r="Q616" s="719" t="str">
        <f t="shared" si="30"/>
        <v>1961</v>
      </c>
      <c r="R616" s="719">
        <v>255</v>
      </c>
      <c r="S616" s="720">
        <v>0.5</v>
      </c>
      <c r="T616" s="720"/>
      <c r="U616" s="724">
        <v>1961</v>
      </c>
      <c r="V616" s="724" t="str">
        <f t="shared" si="31"/>
        <v>1961</v>
      </c>
      <c r="W616" s="724">
        <v>254</v>
      </c>
      <c r="X616" s="720">
        <v>1.5</v>
      </c>
    </row>
    <row r="617" spans="16:24" ht="15" x14ac:dyDescent="0.25">
      <c r="P617" s="719">
        <v>1971</v>
      </c>
      <c r="Q617" s="719" t="str">
        <f t="shared" si="30"/>
        <v>1971</v>
      </c>
      <c r="R617" s="719">
        <v>102</v>
      </c>
      <c r="S617" s="720">
        <v>292.56</v>
      </c>
      <c r="T617" s="720"/>
      <c r="U617" s="724">
        <v>1961</v>
      </c>
      <c r="V617" s="724" t="str">
        <f t="shared" si="31"/>
        <v>1961</v>
      </c>
      <c r="W617" s="724">
        <v>255</v>
      </c>
      <c r="X617" s="720">
        <v>0.5</v>
      </c>
    </row>
    <row r="618" spans="16:24" ht="15" x14ac:dyDescent="0.25">
      <c r="P618" s="719">
        <v>1971</v>
      </c>
      <c r="Q618" s="719" t="str">
        <f t="shared" si="30"/>
        <v>1971</v>
      </c>
      <c r="R618" s="719">
        <v>112</v>
      </c>
      <c r="S618" s="720">
        <v>156.24</v>
      </c>
      <c r="T618" s="720"/>
      <c r="U618" s="724">
        <v>1971</v>
      </c>
      <c r="V618" s="724" t="str">
        <f t="shared" si="31"/>
        <v>1971</v>
      </c>
      <c r="W618" s="724">
        <v>102</v>
      </c>
      <c r="X618" s="720">
        <v>288.52999999999997</v>
      </c>
    </row>
    <row r="619" spans="16:24" ht="15" x14ac:dyDescent="0.25">
      <c r="P619" s="719">
        <v>1971</v>
      </c>
      <c r="Q619" s="719" t="str">
        <f t="shared" si="30"/>
        <v>1971</v>
      </c>
      <c r="R619" s="719">
        <v>130</v>
      </c>
      <c r="S619" s="720">
        <v>13.81</v>
      </c>
      <c r="T619" s="720"/>
      <c r="U619" s="724">
        <v>1971</v>
      </c>
      <c r="V619" s="724" t="str">
        <f t="shared" si="31"/>
        <v>1971</v>
      </c>
      <c r="W619" s="724">
        <v>112</v>
      </c>
      <c r="X619" s="720">
        <v>152.19</v>
      </c>
    </row>
    <row r="620" spans="16:24" ht="15" x14ac:dyDescent="0.25">
      <c r="P620" s="719">
        <v>1971</v>
      </c>
      <c r="Q620" s="719" t="str">
        <f t="shared" si="30"/>
        <v>1971</v>
      </c>
      <c r="R620" s="719">
        <v>254</v>
      </c>
      <c r="S620" s="720">
        <v>1.5</v>
      </c>
      <c r="T620" s="720"/>
      <c r="U620" s="724">
        <v>1971</v>
      </c>
      <c r="V620" s="724" t="str">
        <f t="shared" si="31"/>
        <v>1971</v>
      </c>
      <c r="W620" s="724">
        <v>130</v>
      </c>
      <c r="X620" s="720">
        <v>13.41</v>
      </c>
    </row>
    <row r="621" spans="16:24" ht="15" x14ac:dyDescent="0.25">
      <c r="P621" s="719">
        <v>1981</v>
      </c>
      <c r="Q621" s="719" t="str">
        <f t="shared" si="30"/>
        <v>1981</v>
      </c>
      <c r="R621" s="719">
        <v>102</v>
      </c>
      <c r="S621" s="720">
        <v>234.46</v>
      </c>
      <c r="T621" s="720"/>
      <c r="U621" s="724">
        <v>1971</v>
      </c>
      <c r="V621" s="724" t="str">
        <f t="shared" si="31"/>
        <v>1971</v>
      </c>
      <c r="W621" s="724">
        <v>254</v>
      </c>
      <c r="X621" s="720">
        <v>2</v>
      </c>
    </row>
    <row r="622" spans="16:24" ht="15" x14ac:dyDescent="0.25">
      <c r="P622" s="719">
        <v>1981</v>
      </c>
      <c r="Q622" s="719" t="str">
        <f t="shared" si="30"/>
        <v>1981</v>
      </c>
      <c r="R622" s="719">
        <v>112</v>
      </c>
      <c r="S622" s="720">
        <v>87.47</v>
      </c>
      <c r="T622" s="720"/>
      <c r="U622" s="724">
        <v>1981</v>
      </c>
      <c r="V622" s="724" t="str">
        <f t="shared" si="31"/>
        <v>1981</v>
      </c>
      <c r="W622" s="724">
        <v>102</v>
      </c>
      <c r="X622" s="720">
        <v>241.98</v>
      </c>
    </row>
    <row r="623" spans="16:24" ht="15" x14ac:dyDescent="0.25">
      <c r="P623" s="719">
        <v>1981</v>
      </c>
      <c r="Q623" s="719" t="str">
        <f t="shared" si="30"/>
        <v>1981</v>
      </c>
      <c r="R623" s="719">
        <v>130</v>
      </c>
      <c r="S623" s="720">
        <v>48.96</v>
      </c>
      <c r="T623" s="720"/>
      <c r="U623" s="724">
        <v>1981</v>
      </c>
      <c r="V623" s="724" t="str">
        <f t="shared" si="31"/>
        <v>1981</v>
      </c>
      <c r="W623" s="724">
        <v>112</v>
      </c>
      <c r="X623" s="720">
        <v>78</v>
      </c>
    </row>
    <row r="624" spans="16:24" ht="15" x14ac:dyDescent="0.25">
      <c r="P624" s="719">
        <v>1981</v>
      </c>
      <c r="Q624" s="719" t="str">
        <f t="shared" si="30"/>
        <v>1981</v>
      </c>
      <c r="R624" s="719">
        <v>254</v>
      </c>
      <c r="S624" s="720">
        <v>1</v>
      </c>
      <c r="T624" s="720"/>
      <c r="U624" s="724">
        <v>1981</v>
      </c>
      <c r="V624" s="724" t="str">
        <f t="shared" si="31"/>
        <v>1981</v>
      </c>
      <c r="W624" s="724">
        <v>130</v>
      </c>
      <c r="X624" s="720">
        <v>49.33</v>
      </c>
    </row>
    <row r="625" spans="16:24" ht="15" x14ac:dyDescent="0.25">
      <c r="P625" s="719">
        <v>1991</v>
      </c>
      <c r="Q625" s="719" t="str">
        <f t="shared" si="30"/>
        <v>1991</v>
      </c>
      <c r="R625" s="719">
        <v>102</v>
      </c>
      <c r="S625" s="720">
        <v>302.68</v>
      </c>
      <c r="T625" s="720"/>
      <c r="U625" s="724">
        <v>1981</v>
      </c>
      <c r="V625" s="724" t="str">
        <f t="shared" si="31"/>
        <v>1981</v>
      </c>
      <c r="W625" s="724">
        <v>254</v>
      </c>
      <c r="X625" s="720">
        <v>1.48</v>
      </c>
    </row>
    <row r="626" spans="16:24" ht="15" x14ac:dyDescent="0.25">
      <c r="P626" s="719">
        <v>1991</v>
      </c>
      <c r="Q626" s="719" t="str">
        <f t="shared" si="30"/>
        <v>1991</v>
      </c>
      <c r="R626" s="719">
        <v>112</v>
      </c>
      <c r="S626" s="720">
        <v>111.66</v>
      </c>
      <c r="T626" s="720"/>
      <c r="U626" s="724">
        <v>1991</v>
      </c>
      <c r="V626" s="724" t="str">
        <f t="shared" si="31"/>
        <v>1991</v>
      </c>
      <c r="W626" s="724">
        <v>102</v>
      </c>
      <c r="X626" s="720">
        <v>303.68</v>
      </c>
    </row>
    <row r="627" spans="16:24" ht="15" x14ac:dyDescent="0.25">
      <c r="P627" s="719">
        <v>1991</v>
      </c>
      <c r="Q627" s="719" t="str">
        <f t="shared" si="30"/>
        <v>1991</v>
      </c>
      <c r="R627" s="719">
        <v>130</v>
      </c>
      <c r="S627" s="720">
        <v>53.89</v>
      </c>
      <c r="T627" s="720"/>
      <c r="U627" s="724">
        <v>1991</v>
      </c>
      <c r="V627" s="724" t="str">
        <f t="shared" si="31"/>
        <v>1991</v>
      </c>
      <c r="W627" s="724">
        <v>112</v>
      </c>
      <c r="X627" s="720">
        <v>106.83</v>
      </c>
    </row>
    <row r="628" spans="16:24" ht="15" x14ac:dyDescent="0.25">
      <c r="P628" s="719">
        <v>2001</v>
      </c>
      <c r="Q628" s="719" t="str">
        <f t="shared" si="30"/>
        <v>2001</v>
      </c>
      <c r="R628" s="719">
        <v>103</v>
      </c>
      <c r="S628" s="720">
        <v>991.79</v>
      </c>
      <c r="T628" s="720"/>
      <c r="U628" s="724">
        <v>1991</v>
      </c>
      <c r="V628" s="724" t="str">
        <f t="shared" si="31"/>
        <v>1991</v>
      </c>
      <c r="W628" s="724">
        <v>130</v>
      </c>
      <c r="X628" s="720">
        <v>56.06</v>
      </c>
    </row>
    <row r="629" spans="16:24" ht="15" x14ac:dyDescent="0.25">
      <c r="P629" s="719">
        <v>2001</v>
      </c>
      <c r="Q629" s="719" t="str">
        <f t="shared" si="30"/>
        <v>2001</v>
      </c>
      <c r="R629" s="719">
        <v>113</v>
      </c>
      <c r="S629" s="720">
        <v>210.19</v>
      </c>
      <c r="T629" s="720"/>
      <c r="U629" s="724">
        <v>2001</v>
      </c>
      <c r="V629" s="724" t="str">
        <f t="shared" si="31"/>
        <v>2001</v>
      </c>
      <c r="W629" s="724">
        <v>103</v>
      </c>
      <c r="X629" s="720">
        <v>971.47</v>
      </c>
    </row>
    <row r="630" spans="16:24" ht="15" x14ac:dyDescent="0.25">
      <c r="P630" s="719">
        <v>2001</v>
      </c>
      <c r="Q630" s="719" t="str">
        <f t="shared" si="30"/>
        <v>2001</v>
      </c>
      <c r="R630" s="719">
        <v>130</v>
      </c>
      <c r="S630" s="720">
        <v>21.46</v>
      </c>
      <c r="T630" s="720"/>
      <c r="U630" s="724">
        <v>2001</v>
      </c>
      <c r="V630" s="724" t="str">
        <f t="shared" si="31"/>
        <v>2001</v>
      </c>
      <c r="W630" s="724">
        <v>113</v>
      </c>
      <c r="X630" s="720">
        <v>210.32</v>
      </c>
    </row>
    <row r="631" spans="16:24" ht="15" x14ac:dyDescent="0.25">
      <c r="P631" s="719">
        <v>2001</v>
      </c>
      <c r="Q631" s="719" t="str">
        <f t="shared" si="30"/>
        <v>2001</v>
      </c>
      <c r="R631" s="719">
        <v>254</v>
      </c>
      <c r="S631" s="720">
        <v>5</v>
      </c>
      <c r="T631" s="720"/>
      <c r="U631" s="724">
        <v>2001</v>
      </c>
      <c r="V631" s="724" t="str">
        <f t="shared" si="31"/>
        <v>2001</v>
      </c>
      <c r="W631" s="724">
        <v>130</v>
      </c>
      <c r="X631" s="720">
        <v>18.88</v>
      </c>
    </row>
    <row r="632" spans="16:24" ht="15" x14ac:dyDescent="0.25">
      <c r="P632" s="719">
        <v>2001</v>
      </c>
      <c r="Q632" s="719" t="str">
        <f t="shared" si="30"/>
        <v>2001</v>
      </c>
      <c r="R632" s="719">
        <v>255</v>
      </c>
      <c r="S632" s="720">
        <v>0.5</v>
      </c>
      <c r="T632" s="720"/>
      <c r="U632" s="724">
        <v>2001</v>
      </c>
      <c r="V632" s="724" t="str">
        <f t="shared" si="31"/>
        <v>2001</v>
      </c>
      <c r="W632" s="724">
        <v>254</v>
      </c>
      <c r="X632" s="720">
        <v>5.5</v>
      </c>
    </row>
    <row r="633" spans="16:24" ht="15" x14ac:dyDescent="0.25">
      <c r="P633" s="719">
        <v>2001</v>
      </c>
      <c r="Q633" s="719" t="str">
        <f t="shared" si="30"/>
        <v>2001</v>
      </c>
      <c r="R633" s="719">
        <v>300</v>
      </c>
      <c r="S633" s="720">
        <v>88.96</v>
      </c>
      <c r="T633" s="720"/>
      <c r="U633" s="724">
        <v>2001</v>
      </c>
      <c r="V633" s="724" t="str">
        <f t="shared" si="31"/>
        <v>2001</v>
      </c>
      <c r="W633" s="724">
        <v>255</v>
      </c>
      <c r="X633" s="720">
        <v>0.5</v>
      </c>
    </row>
    <row r="634" spans="16:24" ht="15" x14ac:dyDescent="0.25">
      <c r="P634" s="719">
        <v>2011</v>
      </c>
      <c r="Q634" s="719" t="str">
        <f t="shared" si="30"/>
        <v>2011</v>
      </c>
      <c r="R634" s="719">
        <v>101</v>
      </c>
      <c r="S634" s="720">
        <v>144.27000000000001</v>
      </c>
      <c r="T634" s="720"/>
      <c r="U634" s="724">
        <v>2001</v>
      </c>
      <c r="V634" s="724" t="str">
        <f t="shared" si="31"/>
        <v>2001</v>
      </c>
      <c r="W634" s="724">
        <v>300</v>
      </c>
      <c r="X634" s="720">
        <v>87.45</v>
      </c>
    </row>
    <row r="635" spans="16:24" ht="15" x14ac:dyDescent="0.25">
      <c r="P635" s="719">
        <v>2011</v>
      </c>
      <c r="Q635" s="719" t="str">
        <f t="shared" si="30"/>
        <v>2011</v>
      </c>
      <c r="R635" s="719">
        <v>102</v>
      </c>
      <c r="S635" s="720">
        <v>72.819999999999993</v>
      </c>
      <c r="T635" s="720"/>
      <c r="U635" s="724">
        <v>2011</v>
      </c>
      <c r="V635" s="724" t="str">
        <f t="shared" si="31"/>
        <v>2011</v>
      </c>
      <c r="W635" s="724">
        <v>101</v>
      </c>
      <c r="X635" s="720">
        <v>142.88</v>
      </c>
    </row>
    <row r="636" spans="16:24" ht="15" x14ac:dyDescent="0.25">
      <c r="P636" s="719">
        <v>2011</v>
      </c>
      <c r="Q636" s="719" t="str">
        <f t="shared" si="30"/>
        <v>2011</v>
      </c>
      <c r="R636" s="719">
        <v>111</v>
      </c>
      <c r="S636" s="720">
        <v>81.510000000000005</v>
      </c>
      <c r="T636" s="720"/>
      <c r="U636" s="724">
        <v>2011</v>
      </c>
      <c r="V636" s="724" t="str">
        <f t="shared" si="31"/>
        <v>2011</v>
      </c>
      <c r="W636" s="724">
        <v>102</v>
      </c>
      <c r="X636" s="720">
        <v>76.349999999999994</v>
      </c>
    </row>
    <row r="637" spans="16:24" ht="15" x14ac:dyDescent="0.25">
      <c r="P637" s="719">
        <v>2011</v>
      </c>
      <c r="Q637" s="719" t="str">
        <f t="shared" si="30"/>
        <v>2011</v>
      </c>
      <c r="R637" s="719">
        <v>112</v>
      </c>
      <c r="S637" s="720">
        <v>51.52</v>
      </c>
      <c r="T637" s="720"/>
      <c r="U637" s="724">
        <v>2011</v>
      </c>
      <c r="V637" s="724" t="str">
        <f t="shared" si="31"/>
        <v>2011</v>
      </c>
      <c r="W637" s="724">
        <v>111</v>
      </c>
      <c r="X637" s="720">
        <v>83.07</v>
      </c>
    </row>
    <row r="638" spans="16:24" ht="15" x14ac:dyDescent="0.25">
      <c r="P638" s="719">
        <v>2011</v>
      </c>
      <c r="Q638" s="719" t="str">
        <f t="shared" si="30"/>
        <v>2011</v>
      </c>
      <c r="R638" s="719">
        <v>130</v>
      </c>
      <c r="S638" s="720">
        <v>31.94</v>
      </c>
      <c r="T638" s="720"/>
      <c r="U638" s="724">
        <v>2011</v>
      </c>
      <c r="V638" s="724" t="str">
        <f t="shared" si="31"/>
        <v>2011</v>
      </c>
      <c r="W638" s="724">
        <v>112</v>
      </c>
      <c r="X638" s="720">
        <v>50.87</v>
      </c>
    </row>
    <row r="639" spans="16:24" ht="15" x14ac:dyDescent="0.25">
      <c r="P639" s="719">
        <v>2011</v>
      </c>
      <c r="Q639" s="719" t="str">
        <f t="shared" si="30"/>
        <v>2011</v>
      </c>
      <c r="R639" s="719">
        <v>254</v>
      </c>
      <c r="S639" s="720">
        <v>0.5</v>
      </c>
      <c r="T639" s="720"/>
      <c r="U639" s="724">
        <v>2011</v>
      </c>
      <c r="V639" s="724" t="str">
        <f t="shared" si="31"/>
        <v>2011</v>
      </c>
      <c r="W639" s="724">
        <v>130</v>
      </c>
      <c r="X639" s="720">
        <v>30.72</v>
      </c>
    </row>
    <row r="640" spans="16:24" ht="15" x14ac:dyDescent="0.25">
      <c r="P640" s="719">
        <v>2031</v>
      </c>
      <c r="Q640" s="719" t="str">
        <f t="shared" si="30"/>
        <v>2031</v>
      </c>
      <c r="R640" s="719">
        <v>101</v>
      </c>
      <c r="S640" s="720">
        <v>176.31</v>
      </c>
      <c r="T640" s="720"/>
      <c r="U640" s="724">
        <v>2011</v>
      </c>
      <c r="V640" s="724" t="str">
        <f t="shared" si="31"/>
        <v>2011</v>
      </c>
      <c r="W640" s="724">
        <v>254</v>
      </c>
      <c r="X640" s="720">
        <v>1</v>
      </c>
    </row>
    <row r="641" spans="16:24" ht="15" x14ac:dyDescent="0.25">
      <c r="P641" s="719">
        <v>2031</v>
      </c>
      <c r="Q641" s="719" t="str">
        <f t="shared" si="30"/>
        <v>2031</v>
      </c>
      <c r="R641" s="719">
        <v>102</v>
      </c>
      <c r="S641" s="720">
        <v>87.09</v>
      </c>
      <c r="T641" s="720"/>
      <c r="U641" s="724">
        <v>2031</v>
      </c>
      <c r="V641" s="724" t="str">
        <f t="shared" si="31"/>
        <v>2031</v>
      </c>
      <c r="W641" s="724">
        <v>101</v>
      </c>
      <c r="X641" s="720">
        <v>160.13</v>
      </c>
    </row>
    <row r="642" spans="16:24" ht="15" x14ac:dyDescent="0.25">
      <c r="P642" s="719">
        <v>2031</v>
      </c>
      <c r="Q642" s="719" t="str">
        <f t="shared" si="30"/>
        <v>2031</v>
      </c>
      <c r="R642" s="719">
        <v>111</v>
      </c>
      <c r="S642" s="720">
        <v>80.53</v>
      </c>
      <c r="T642" s="720"/>
      <c r="U642" s="724">
        <v>2031</v>
      </c>
      <c r="V642" s="724" t="str">
        <f t="shared" si="31"/>
        <v>2031</v>
      </c>
      <c r="W642" s="724">
        <v>102</v>
      </c>
      <c r="X642" s="720">
        <v>88.41</v>
      </c>
    </row>
    <row r="643" spans="16:24" ht="15" x14ac:dyDescent="0.25">
      <c r="P643" s="719">
        <v>2031</v>
      </c>
      <c r="Q643" s="719" t="str">
        <f t="shared" ref="Q643:Q706" si="32">TEXT(P643,"0000")</f>
        <v>2031</v>
      </c>
      <c r="R643" s="719">
        <v>112</v>
      </c>
      <c r="S643" s="720">
        <v>66.33</v>
      </c>
      <c r="T643" s="720"/>
      <c r="U643" s="724">
        <v>2031</v>
      </c>
      <c r="V643" s="724" t="str">
        <f t="shared" si="31"/>
        <v>2031</v>
      </c>
      <c r="W643" s="724">
        <v>111</v>
      </c>
      <c r="X643" s="720">
        <v>99.55</v>
      </c>
    </row>
    <row r="644" spans="16:24" ht="15" x14ac:dyDescent="0.25">
      <c r="P644" s="719">
        <v>2031</v>
      </c>
      <c r="Q644" s="719" t="str">
        <f t="shared" si="32"/>
        <v>2031</v>
      </c>
      <c r="R644" s="719">
        <v>130</v>
      </c>
      <c r="S644" s="720">
        <v>24.57</v>
      </c>
      <c r="T644" s="720"/>
      <c r="U644" s="724">
        <v>2031</v>
      </c>
      <c r="V644" s="724" t="str">
        <f t="shared" ref="V644:V707" si="33">TEXT(U644,"0000")</f>
        <v>2031</v>
      </c>
      <c r="W644" s="724">
        <v>112</v>
      </c>
      <c r="X644" s="720">
        <v>64.34</v>
      </c>
    </row>
    <row r="645" spans="16:24" ht="15" x14ac:dyDescent="0.25">
      <c r="P645" s="719">
        <v>2031</v>
      </c>
      <c r="Q645" s="719" t="str">
        <f t="shared" si="32"/>
        <v>2031</v>
      </c>
      <c r="R645" s="719">
        <v>254</v>
      </c>
      <c r="S645" s="720">
        <v>1.5</v>
      </c>
      <c r="T645" s="720"/>
      <c r="U645" s="724">
        <v>2031</v>
      </c>
      <c r="V645" s="724" t="str">
        <f t="shared" si="33"/>
        <v>2031</v>
      </c>
      <c r="W645" s="724">
        <v>130</v>
      </c>
      <c r="X645" s="720">
        <v>22.95</v>
      </c>
    </row>
    <row r="646" spans="16:24" ht="15" x14ac:dyDescent="0.25">
      <c r="P646" s="719">
        <v>2041</v>
      </c>
      <c r="Q646" s="719" t="str">
        <f t="shared" si="32"/>
        <v>2041</v>
      </c>
      <c r="R646" s="719">
        <v>102</v>
      </c>
      <c r="S646" s="720">
        <v>164.19</v>
      </c>
      <c r="T646" s="720"/>
      <c r="U646" s="724">
        <v>2031</v>
      </c>
      <c r="V646" s="724" t="str">
        <f t="shared" si="33"/>
        <v>2031</v>
      </c>
      <c r="W646" s="724">
        <v>254</v>
      </c>
      <c r="X646" s="720">
        <v>1.5</v>
      </c>
    </row>
    <row r="647" spans="16:24" ht="15" x14ac:dyDescent="0.25">
      <c r="P647" s="719">
        <v>2041</v>
      </c>
      <c r="Q647" s="719" t="str">
        <f t="shared" si="32"/>
        <v>2041</v>
      </c>
      <c r="R647" s="719">
        <v>112</v>
      </c>
      <c r="S647" s="720">
        <v>71.239999999999995</v>
      </c>
      <c r="T647" s="720"/>
      <c r="U647" s="724">
        <v>2041</v>
      </c>
      <c r="V647" s="724" t="str">
        <f t="shared" si="33"/>
        <v>2041</v>
      </c>
      <c r="W647" s="724">
        <v>102</v>
      </c>
      <c r="X647" s="720">
        <v>163.82</v>
      </c>
    </row>
    <row r="648" spans="16:24" ht="15" x14ac:dyDescent="0.25">
      <c r="P648" s="719">
        <v>2041</v>
      </c>
      <c r="Q648" s="719" t="str">
        <f t="shared" si="32"/>
        <v>2041</v>
      </c>
      <c r="R648" s="719">
        <v>130</v>
      </c>
      <c r="S648" s="720">
        <v>57.47</v>
      </c>
      <c r="T648" s="720"/>
      <c r="U648" s="724">
        <v>2041</v>
      </c>
      <c r="V648" s="724" t="str">
        <f t="shared" si="33"/>
        <v>2041</v>
      </c>
      <c r="W648" s="724">
        <v>112</v>
      </c>
      <c r="X648" s="720">
        <v>72.89</v>
      </c>
    </row>
    <row r="649" spans="16:24" ht="15" x14ac:dyDescent="0.25">
      <c r="P649" s="719">
        <v>2051</v>
      </c>
      <c r="Q649" s="719" t="str">
        <f t="shared" si="32"/>
        <v>2051</v>
      </c>
      <c r="R649" s="719">
        <v>101</v>
      </c>
      <c r="S649" s="720">
        <v>119.24</v>
      </c>
      <c r="T649" s="720"/>
      <c r="U649" s="724">
        <v>2041</v>
      </c>
      <c r="V649" s="724" t="str">
        <f t="shared" si="33"/>
        <v>2041</v>
      </c>
      <c r="W649" s="724">
        <v>130</v>
      </c>
      <c r="X649" s="720">
        <v>53.68</v>
      </c>
    </row>
    <row r="650" spans="16:24" ht="15" x14ac:dyDescent="0.25">
      <c r="P650" s="719">
        <v>2051</v>
      </c>
      <c r="Q650" s="719" t="str">
        <f t="shared" si="32"/>
        <v>2051</v>
      </c>
      <c r="R650" s="719">
        <v>102</v>
      </c>
      <c r="S650" s="720">
        <v>55.92</v>
      </c>
      <c r="T650" s="720"/>
      <c r="U650" s="724">
        <v>2051</v>
      </c>
      <c r="V650" s="724" t="str">
        <f t="shared" si="33"/>
        <v>2051</v>
      </c>
      <c r="W650" s="724">
        <v>101</v>
      </c>
      <c r="X650" s="720">
        <v>112.94</v>
      </c>
    </row>
    <row r="651" spans="16:24" ht="15" x14ac:dyDescent="0.25">
      <c r="P651" s="719">
        <v>2051</v>
      </c>
      <c r="Q651" s="719" t="str">
        <f t="shared" si="32"/>
        <v>2051</v>
      </c>
      <c r="R651" s="719">
        <v>111</v>
      </c>
      <c r="S651" s="720">
        <v>56.59</v>
      </c>
      <c r="T651" s="720"/>
      <c r="U651" s="724">
        <v>2051</v>
      </c>
      <c r="V651" s="724" t="str">
        <f t="shared" si="33"/>
        <v>2051</v>
      </c>
      <c r="W651" s="724">
        <v>102</v>
      </c>
      <c r="X651" s="720">
        <v>53.21</v>
      </c>
    </row>
    <row r="652" spans="16:24" ht="15" x14ac:dyDescent="0.25">
      <c r="P652" s="719">
        <v>2051</v>
      </c>
      <c r="Q652" s="719" t="str">
        <f t="shared" si="32"/>
        <v>2051</v>
      </c>
      <c r="R652" s="719">
        <v>112</v>
      </c>
      <c r="S652" s="720">
        <v>30.5</v>
      </c>
      <c r="T652" s="720"/>
      <c r="U652" s="724">
        <v>2051</v>
      </c>
      <c r="V652" s="724" t="str">
        <f t="shared" si="33"/>
        <v>2051</v>
      </c>
      <c r="W652" s="724">
        <v>111</v>
      </c>
      <c r="X652" s="720">
        <v>56.69</v>
      </c>
    </row>
    <row r="653" spans="16:24" ht="15" x14ac:dyDescent="0.25">
      <c r="P653" s="719">
        <v>2051</v>
      </c>
      <c r="Q653" s="719" t="str">
        <f t="shared" si="32"/>
        <v>2051</v>
      </c>
      <c r="R653" s="719">
        <v>130</v>
      </c>
      <c r="S653" s="720">
        <v>42.78</v>
      </c>
      <c r="T653" s="720"/>
      <c r="U653" s="724">
        <v>2051</v>
      </c>
      <c r="V653" s="724" t="str">
        <f t="shared" si="33"/>
        <v>2051</v>
      </c>
      <c r="W653" s="724">
        <v>112</v>
      </c>
      <c r="X653" s="720">
        <v>30.5</v>
      </c>
    </row>
    <row r="654" spans="16:24" ht="15" x14ac:dyDescent="0.25">
      <c r="P654" s="719">
        <v>2051</v>
      </c>
      <c r="Q654" s="719" t="str">
        <f t="shared" si="32"/>
        <v>2051</v>
      </c>
      <c r="R654" s="719">
        <v>254</v>
      </c>
      <c r="S654" s="720">
        <v>2</v>
      </c>
      <c r="T654" s="720"/>
      <c r="U654" s="724">
        <v>2051</v>
      </c>
      <c r="V654" s="724" t="str">
        <f t="shared" si="33"/>
        <v>2051</v>
      </c>
      <c r="W654" s="724">
        <v>130</v>
      </c>
      <c r="X654" s="720">
        <v>44.87</v>
      </c>
    </row>
    <row r="655" spans="16:24" ht="15" x14ac:dyDescent="0.25">
      <c r="P655" s="719">
        <v>2071</v>
      </c>
      <c r="Q655" s="719" t="str">
        <f t="shared" si="32"/>
        <v>2071</v>
      </c>
      <c r="R655" s="719">
        <v>101</v>
      </c>
      <c r="S655" s="720">
        <v>209.81</v>
      </c>
      <c r="T655" s="720"/>
      <c r="U655" s="724">
        <v>2051</v>
      </c>
      <c r="V655" s="724" t="str">
        <f t="shared" si="33"/>
        <v>2051</v>
      </c>
      <c r="W655" s="724">
        <v>254</v>
      </c>
      <c r="X655" s="720">
        <v>1</v>
      </c>
    </row>
    <row r="656" spans="16:24" ht="15" x14ac:dyDescent="0.25">
      <c r="P656" s="719">
        <v>2071</v>
      </c>
      <c r="Q656" s="719" t="str">
        <f t="shared" si="32"/>
        <v>2071</v>
      </c>
      <c r="R656" s="719">
        <v>102</v>
      </c>
      <c r="S656" s="720">
        <v>92.65</v>
      </c>
      <c r="T656" s="720"/>
      <c r="U656" s="724">
        <v>2071</v>
      </c>
      <c r="V656" s="724" t="str">
        <f t="shared" si="33"/>
        <v>2071</v>
      </c>
      <c r="W656" s="724">
        <v>101</v>
      </c>
      <c r="X656" s="720">
        <v>208.6</v>
      </c>
    </row>
    <row r="657" spans="16:24" ht="15" x14ac:dyDescent="0.25">
      <c r="P657" s="719">
        <v>2071</v>
      </c>
      <c r="Q657" s="719" t="str">
        <f t="shared" si="32"/>
        <v>2071</v>
      </c>
      <c r="R657" s="719">
        <v>111</v>
      </c>
      <c r="S657" s="720">
        <v>104.11</v>
      </c>
      <c r="T657" s="720"/>
      <c r="U657" s="724">
        <v>2071</v>
      </c>
      <c r="V657" s="724" t="str">
        <f t="shared" si="33"/>
        <v>2071</v>
      </c>
      <c r="W657" s="724">
        <v>102</v>
      </c>
      <c r="X657" s="720">
        <v>91.57</v>
      </c>
    </row>
    <row r="658" spans="16:24" ht="15" x14ac:dyDescent="0.25">
      <c r="P658" s="719">
        <v>2071</v>
      </c>
      <c r="Q658" s="719" t="str">
        <f t="shared" si="32"/>
        <v>2071</v>
      </c>
      <c r="R658" s="719">
        <v>112</v>
      </c>
      <c r="S658" s="720">
        <v>43.01</v>
      </c>
      <c r="T658" s="720"/>
      <c r="U658" s="724">
        <v>2071</v>
      </c>
      <c r="V658" s="724" t="str">
        <f t="shared" si="33"/>
        <v>2071</v>
      </c>
      <c r="W658" s="724">
        <v>111</v>
      </c>
      <c r="X658" s="720">
        <v>116.03</v>
      </c>
    </row>
    <row r="659" spans="16:24" ht="15" x14ac:dyDescent="0.25">
      <c r="P659" s="719">
        <v>2071</v>
      </c>
      <c r="Q659" s="719" t="str">
        <f t="shared" si="32"/>
        <v>2071</v>
      </c>
      <c r="R659" s="719">
        <v>130</v>
      </c>
      <c r="S659" s="720">
        <v>62.45</v>
      </c>
      <c r="T659" s="720"/>
      <c r="U659" s="724">
        <v>2071</v>
      </c>
      <c r="V659" s="724" t="str">
        <f t="shared" si="33"/>
        <v>2071</v>
      </c>
      <c r="W659" s="724">
        <v>112</v>
      </c>
      <c r="X659" s="720">
        <v>42.97</v>
      </c>
    </row>
    <row r="660" spans="16:24" ht="15" x14ac:dyDescent="0.25">
      <c r="P660" s="719">
        <v>2081</v>
      </c>
      <c r="Q660" s="719" t="str">
        <f t="shared" si="32"/>
        <v>2081</v>
      </c>
      <c r="R660" s="719">
        <v>101</v>
      </c>
      <c r="S660" s="720">
        <v>142.69999999999999</v>
      </c>
      <c r="T660" s="720"/>
      <c r="U660" s="724">
        <v>2071</v>
      </c>
      <c r="V660" s="724" t="str">
        <f t="shared" si="33"/>
        <v>2071</v>
      </c>
      <c r="W660" s="724">
        <v>130</v>
      </c>
      <c r="X660" s="720">
        <v>61.18</v>
      </c>
    </row>
    <row r="661" spans="16:24" ht="15" x14ac:dyDescent="0.25">
      <c r="P661" s="719">
        <v>2081</v>
      </c>
      <c r="Q661" s="719" t="str">
        <f t="shared" si="32"/>
        <v>2081</v>
      </c>
      <c r="R661" s="719">
        <v>102</v>
      </c>
      <c r="S661" s="720">
        <v>103.24</v>
      </c>
      <c r="T661" s="720"/>
      <c r="U661" s="724">
        <v>2081</v>
      </c>
      <c r="V661" s="724" t="str">
        <f t="shared" si="33"/>
        <v>2081</v>
      </c>
      <c r="W661" s="724">
        <v>101</v>
      </c>
      <c r="X661" s="720">
        <v>140.78</v>
      </c>
    </row>
    <row r="662" spans="16:24" ht="15" x14ac:dyDescent="0.25">
      <c r="P662" s="719">
        <v>2081</v>
      </c>
      <c r="Q662" s="719" t="str">
        <f t="shared" si="32"/>
        <v>2081</v>
      </c>
      <c r="R662" s="719">
        <v>111</v>
      </c>
      <c r="S662" s="720">
        <v>60.03</v>
      </c>
      <c r="T662" s="720"/>
      <c r="U662" s="724">
        <v>2081</v>
      </c>
      <c r="V662" s="724" t="str">
        <f t="shared" si="33"/>
        <v>2081</v>
      </c>
      <c r="W662" s="724">
        <v>102</v>
      </c>
      <c r="X662" s="720">
        <v>102.62</v>
      </c>
    </row>
    <row r="663" spans="16:24" ht="15" x14ac:dyDescent="0.25">
      <c r="P663" s="719">
        <v>2081</v>
      </c>
      <c r="Q663" s="719" t="str">
        <f t="shared" si="32"/>
        <v>2081</v>
      </c>
      <c r="R663" s="719">
        <v>112</v>
      </c>
      <c r="S663" s="720">
        <v>25.96</v>
      </c>
      <c r="T663" s="720"/>
      <c r="U663" s="724">
        <v>2081</v>
      </c>
      <c r="V663" s="724" t="str">
        <f t="shared" si="33"/>
        <v>2081</v>
      </c>
      <c r="W663" s="724">
        <v>111</v>
      </c>
      <c r="X663" s="720">
        <v>65.25</v>
      </c>
    </row>
    <row r="664" spans="16:24" ht="15" x14ac:dyDescent="0.25">
      <c r="P664" s="719">
        <v>2081</v>
      </c>
      <c r="Q664" s="719" t="str">
        <f t="shared" si="32"/>
        <v>2081</v>
      </c>
      <c r="R664" s="719">
        <v>130</v>
      </c>
      <c r="S664" s="720">
        <v>112.53</v>
      </c>
      <c r="T664" s="720"/>
      <c r="U664" s="724">
        <v>2081</v>
      </c>
      <c r="V664" s="724" t="str">
        <f t="shared" si="33"/>
        <v>2081</v>
      </c>
      <c r="W664" s="724">
        <v>112</v>
      </c>
      <c r="X664" s="720">
        <v>28.95</v>
      </c>
    </row>
    <row r="665" spans="16:24" ht="15" x14ac:dyDescent="0.25">
      <c r="P665" s="719">
        <v>2081</v>
      </c>
      <c r="Q665" s="719" t="str">
        <f t="shared" si="32"/>
        <v>2081</v>
      </c>
      <c r="R665" s="719">
        <v>254</v>
      </c>
      <c r="S665" s="720">
        <v>0.84</v>
      </c>
      <c r="T665" s="720"/>
      <c r="U665" s="724">
        <v>2081</v>
      </c>
      <c r="V665" s="724" t="str">
        <f t="shared" si="33"/>
        <v>2081</v>
      </c>
      <c r="W665" s="724">
        <v>130</v>
      </c>
      <c r="X665" s="720">
        <v>110.94</v>
      </c>
    </row>
    <row r="666" spans="16:24" ht="15" x14ac:dyDescent="0.25">
      <c r="P666" s="719">
        <v>2091</v>
      </c>
      <c r="Q666" s="719" t="str">
        <f t="shared" si="32"/>
        <v>2091</v>
      </c>
      <c r="R666" s="719">
        <v>101</v>
      </c>
      <c r="S666" s="720">
        <v>152.55000000000001</v>
      </c>
      <c r="T666" s="720"/>
      <c r="U666" s="724">
        <v>2081</v>
      </c>
      <c r="V666" s="724" t="str">
        <f t="shared" si="33"/>
        <v>2081</v>
      </c>
      <c r="W666" s="724">
        <v>254</v>
      </c>
      <c r="X666" s="720">
        <v>0.84</v>
      </c>
    </row>
    <row r="667" spans="16:24" ht="15" x14ac:dyDescent="0.25">
      <c r="P667" s="719">
        <v>2091</v>
      </c>
      <c r="Q667" s="719" t="str">
        <f t="shared" si="32"/>
        <v>2091</v>
      </c>
      <c r="R667" s="719">
        <v>102</v>
      </c>
      <c r="S667" s="720">
        <v>73.099999999999994</v>
      </c>
      <c r="T667" s="720"/>
      <c r="U667" s="724">
        <v>2091</v>
      </c>
      <c r="V667" s="724" t="str">
        <f t="shared" si="33"/>
        <v>2091</v>
      </c>
      <c r="W667" s="724">
        <v>101</v>
      </c>
      <c r="X667" s="720">
        <v>149.88</v>
      </c>
    </row>
    <row r="668" spans="16:24" ht="15" x14ac:dyDescent="0.25">
      <c r="P668" s="719">
        <v>2091</v>
      </c>
      <c r="Q668" s="719" t="str">
        <f t="shared" si="32"/>
        <v>2091</v>
      </c>
      <c r="R668" s="719">
        <v>111</v>
      </c>
      <c r="S668" s="720">
        <v>37.54</v>
      </c>
      <c r="T668" s="720"/>
      <c r="U668" s="724">
        <v>2091</v>
      </c>
      <c r="V668" s="724" t="str">
        <f t="shared" si="33"/>
        <v>2091</v>
      </c>
      <c r="W668" s="724">
        <v>102</v>
      </c>
      <c r="X668" s="720">
        <v>75.599999999999994</v>
      </c>
    </row>
    <row r="669" spans="16:24" ht="15" x14ac:dyDescent="0.25">
      <c r="P669" s="719">
        <v>2091</v>
      </c>
      <c r="Q669" s="719" t="str">
        <f t="shared" si="32"/>
        <v>2091</v>
      </c>
      <c r="R669" s="719">
        <v>112</v>
      </c>
      <c r="S669" s="720">
        <v>35</v>
      </c>
      <c r="T669" s="720"/>
      <c r="U669" s="724">
        <v>2091</v>
      </c>
      <c r="V669" s="724" t="str">
        <f t="shared" si="33"/>
        <v>2091</v>
      </c>
      <c r="W669" s="724">
        <v>111</v>
      </c>
      <c r="X669" s="720">
        <v>41.04</v>
      </c>
    </row>
    <row r="670" spans="16:24" ht="15" x14ac:dyDescent="0.25">
      <c r="P670" s="719">
        <v>2091</v>
      </c>
      <c r="Q670" s="719" t="str">
        <f t="shared" si="32"/>
        <v>2091</v>
      </c>
      <c r="R670" s="719">
        <v>130</v>
      </c>
      <c r="S670" s="720">
        <v>1.21</v>
      </c>
      <c r="T670" s="720"/>
      <c r="U670" s="724">
        <v>2091</v>
      </c>
      <c r="V670" s="724" t="str">
        <f t="shared" si="33"/>
        <v>2091</v>
      </c>
      <c r="W670" s="724">
        <v>112</v>
      </c>
      <c r="X670" s="720">
        <v>34</v>
      </c>
    </row>
    <row r="671" spans="16:24" ht="15" x14ac:dyDescent="0.25">
      <c r="P671" s="719">
        <v>2101</v>
      </c>
      <c r="Q671" s="719" t="str">
        <f t="shared" si="32"/>
        <v>2101</v>
      </c>
      <c r="R671" s="719">
        <v>101</v>
      </c>
      <c r="S671" s="720">
        <v>89.06</v>
      </c>
      <c r="T671" s="720"/>
      <c r="U671" s="724">
        <v>2091</v>
      </c>
      <c r="V671" s="724" t="str">
        <f t="shared" si="33"/>
        <v>2091</v>
      </c>
      <c r="W671" s="724">
        <v>130</v>
      </c>
      <c r="X671" s="720">
        <v>1.21</v>
      </c>
    </row>
    <row r="672" spans="16:24" ht="15" x14ac:dyDescent="0.25">
      <c r="P672" s="719">
        <v>2101</v>
      </c>
      <c r="Q672" s="719" t="str">
        <f t="shared" si="32"/>
        <v>2101</v>
      </c>
      <c r="R672" s="719">
        <v>102</v>
      </c>
      <c r="S672" s="720">
        <v>48.6</v>
      </c>
      <c r="T672" s="720"/>
      <c r="U672" s="724">
        <v>2101</v>
      </c>
      <c r="V672" s="724" t="str">
        <f t="shared" si="33"/>
        <v>2101</v>
      </c>
      <c r="W672" s="724">
        <v>101</v>
      </c>
      <c r="X672" s="720">
        <v>84.23</v>
      </c>
    </row>
    <row r="673" spans="16:24" ht="15" x14ac:dyDescent="0.25">
      <c r="P673" s="719">
        <v>2101</v>
      </c>
      <c r="Q673" s="719" t="str">
        <f t="shared" si="32"/>
        <v>2101</v>
      </c>
      <c r="R673" s="719">
        <v>111</v>
      </c>
      <c r="S673" s="720">
        <v>27.75</v>
      </c>
      <c r="T673" s="720"/>
      <c r="U673" s="724">
        <v>2101</v>
      </c>
      <c r="V673" s="724" t="str">
        <f t="shared" si="33"/>
        <v>2101</v>
      </c>
      <c r="W673" s="724">
        <v>102</v>
      </c>
      <c r="X673" s="720">
        <v>46.5</v>
      </c>
    </row>
    <row r="674" spans="16:24" ht="15" x14ac:dyDescent="0.25">
      <c r="P674" s="719">
        <v>2101</v>
      </c>
      <c r="Q674" s="719" t="str">
        <f t="shared" si="32"/>
        <v>2101</v>
      </c>
      <c r="R674" s="719">
        <v>112</v>
      </c>
      <c r="S674" s="720">
        <v>19.02</v>
      </c>
      <c r="T674" s="720"/>
      <c r="U674" s="724">
        <v>2101</v>
      </c>
      <c r="V674" s="724" t="str">
        <f t="shared" si="33"/>
        <v>2101</v>
      </c>
      <c r="W674" s="724">
        <v>111</v>
      </c>
      <c r="X674" s="720">
        <v>37.11</v>
      </c>
    </row>
    <row r="675" spans="16:24" ht="15" x14ac:dyDescent="0.25">
      <c r="P675" s="719">
        <v>2101</v>
      </c>
      <c r="Q675" s="719" t="str">
        <f t="shared" si="32"/>
        <v>2101</v>
      </c>
      <c r="R675" s="719">
        <v>130</v>
      </c>
      <c r="S675" s="720">
        <v>57.16</v>
      </c>
      <c r="T675" s="720"/>
      <c r="U675" s="724">
        <v>2101</v>
      </c>
      <c r="V675" s="724" t="str">
        <f t="shared" si="33"/>
        <v>2101</v>
      </c>
      <c r="W675" s="724">
        <v>112</v>
      </c>
      <c r="X675" s="720">
        <v>16.989999999999998</v>
      </c>
    </row>
    <row r="676" spans="16:24" ht="15" x14ac:dyDescent="0.25">
      <c r="P676" s="719">
        <v>2101</v>
      </c>
      <c r="Q676" s="719" t="str">
        <f t="shared" si="32"/>
        <v>2101</v>
      </c>
      <c r="R676" s="719">
        <v>254</v>
      </c>
      <c r="S676" s="720">
        <v>1.75</v>
      </c>
      <c r="T676" s="720"/>
      <c r="U676" s="724">
        <v>2101</v>
      </c>
      <c r="V676" s="724" t="str">
        <f t="shared" si="33"/>
        <v>2101</v>
      </c>
      <c r="W676" s="724">
        <v>130</v>
      </c>
      <c r="X676" s="720">
        <v>56.74</v>
      </c>
    </row>
    <row r="677" spans="16:24" ht="15" x14ac:dyDescent="0.25">
      <c r="P677" s="719">
        <v>2121</v>
      </c>
      <c r="Q677" s="719" t="str">
        <f t="shared" si="32"/>
        <v>2121</v>
      </c>
      <c r="R677" s="719">
        <v>101</v>
      </c>
      <c r="S677" s="720">
        <v>174.74</v>
      </c>
      <c r="T677" s="720"/>
      <c r="U677" s="724">
        <v>2101</v>
      </c>
      <c r="V677" s="724" t="str">
        <f t="shared" si="33"/>
        <v>2101</v>
      </c>
      <c r="W677" s="724">
        <v>254</v>
      </c>
      <c r="X677" s="720">
        <v>1.75</v>
      </c>
    </row>
    <row r="678" spans="16:24" ht="15" x14ac:dyDescent="0.25">
      <c r="P678" s="719">
        <v>2121</v>
      </c>
      <c r="Q678" s="719" t="str">
        <f t="shared" si="32"/>
        <v>2121</v>
      </c>
      <c r="R678" s="719">
        <v>102</v>
      </c>
      <c r="S678" s="720">
        <v>81.28</v>
      </c>
      <c r="T678" s="720"/>
      <c r="U678" s="724">
        <v>2121</v>
      </c>
      <c r="V678" s="724" t="str">
        <f t="shared" si="33"/>
        <v>2121</v>
      </c>
      <c r="W678" s="724">
        <v>101</v>
      </c>
      <c r="X678" s="720">
        <v>167.31</v>
      </c>
    </row>
    <row r="679" spans="16:24" ht="15" x14ac:dyDescent="0.25">
      <c r="P679" s="719">
        <v>2121</v>
      </c>
      <c r="Q679" s="719" t="str">
        <f t="shared" si="32"/>
        <v>2121</v>
      </c>
      <c r="R679" s="719">
        <v>111</v>
      </c>
      <c r="S679" s="720">
        <v>65.52</v>
      </c>
      <c r="T679" s="720"/>
      <c r="U679" s="724">
        <v>2121</v>
      </c>
      <c r="V679" s="724" t="str">
        <f t="shared" si="33"/>
        <v>2121</v>
      </c>
      <c r="W679" s="724">
        <v>102</v>
      </c>
      <c r="X679" s="720">
        <v>79.290000000000006</v>
      </c>
    </row>
    <row r="680" spans="16:24" ht="15" x14ac:dyDescent="0.25">
      <c r="P680" s="719">
        <v>2121</v>
      </c>
      <c r="Q680" s="719" t="str">
        <f t="shared" si="32"/>
        <v>2121</v>
      </c>
      <c r="R680" s="719">
        <v>112</v>
      </c>
      <c r="S680" s="720">
        <v>38.01</v>
      </c>
      <c r="T680" s="720"/>
      <c r="U680" s="724">
        <v>2121</v>
      </c>
      <c r="V680" s="724" t="str">
        <f t="shared" si="33"/>
        <v>2121</v>
      </c>
      <c r="W680" s="724">
        <v>111</v>
      </c>
      <c r="X680" s="720">
        <v>67.510000000000005</v>
      </c>
    </row>
    <row r="681" spans="16:24" ht="15" x14ac:dyDescent="0.25">
      <c r="P681" s="719">
        <v>2121</v>
      </c>
      <c r="Q681" s="719" t="str">
        <f t="shared" si="32"/>
        <v>2121</v>
      </c>
      <c r="R681" s="719">
        <v>130</v>
      </c>
      <c r="S681" s="720">
        <v>24.95</v>
      </c>
      <c r="T681" s="720"/>
      <c r="U681" s="724">
        <v>2121</v>
      </c>
      <c r="V681" s="724" t="str">
        <f t="shared" si="33"/>
        <v>2121</v>
      </c>
      <c r="W681" s="724">
        <v>112</v>
      </c>
      <c r="X681" s="720">
        <v>37.99</v>
      </c>
    </row>
    <row r="682" spans="16:24" ht="15" x14ac:dyDescent="0.25">
      <c r="P682" s="719">
        <v>2121</v>
      </c>
      <c r="Q682" s="719" t="str">
        <f t="shared" si="32"/>
        <v>2121</v>
      </c>
      <c r="R682" s="719">
        <v>255</v>
      </c>
      <c r="S682" s="720">
        <v>0.5</v>
      </c>
      <c r="T682" s="720"/>
      <c r="U682" s="724">
        <v>2121</v>
      </c>
      <c r="V682" s="724" t="str">
        <f t="shared" si="33"/>
        <v>2121</v>
      </c>
      <c r="W682" s="724">
        <v>130</v>
      </c>
      <c r="X682" s="720">
        <v>24.46</v>
      </c>
    </row>
    <row r="683" spans="16:24" ht="15" x14ac:dyDescent="0.25">
      <c r="P683" s="719">
        <v>2131</v>
      </c>
      <c r="Q683" s="719" t="str">
        <f t="shared" si="32"/>
        <v>2131</v>
      </c>
      <c r="R683" s="719">
        <v>102</v>
      </c>
      <c r="S683" s="720">
        <v>302.94</v>
      </c>
      <c r="T683" s="720"/>
      <c r="U683" s="724">
        <v>2121</v>
      </c>
      <c r="V683" s="724" t="str">
        <f t="shared" si="33"/>
        <v>2121</v>
      </c>
      <c r="W683" s="724">
        <v>254</v>
      </c>
      <c r="X683" s="720">
        <v>0.5</v>
      </c>
    </row>
    <row r="684" spans="16:24" ht="15" x14ac:dyDescent="0.25">
      <c r="P684" s="719">
        <v>2131</v>
      </c>
      <c r="Q684" s="719" t="str">
        <f t="shared" si="32"/>
        <v>2131</v>
      </c>
      <c r="R684" s="719">
        <v>112</v>
      </c>
      <c r="S684" s="720">
        <v>78.47</v>
      </c>
      <c r="T684" s="720"/>
      <c r="U684" s="724">
        <v>2121</v>
      </c>
      <c r="V684" s="724" t="str">
        <f t="shared" si="33"/>
        <v>2121</v>
      </c>
      <c r="W684" s="724">
        <v>255</v>
      </c>
      <c r="X684" s="720">
        <v>0</v>
      </c>
    </row>
    <row r="685" spans="16:24" ht="15" x14ac:dyDescent="0.25">
      <c r="P685" s="719">
        <v>2131</v>
      </c>
      <c r="Q685" s="719" t="str">
        <f t="shared" si="32"/>
        <v>2131</v>
      </c>
      <c r="R685" s="719">
        <v>130</v>
      </c>
      <c r="S685" s="720">
        <v>99.54</v>
      </c>
      <c r="T685" s="720"/>
      <c r="U685" s="724">
        <v>2131</v>
      </c>
      <c r="V685" s="724" t="str">
        <f t="shared" si="33"/>
        <v>2131</v>
      </c>
      <c r="W685" s="724">
        <v>102</v>
      </c>
      <c r="X685" s="720">
        <v>295.92</v>
      </c>
    </row>
    <row r="686" spans="16:24" ht="15" x14ac:dyDescent="0.25">
      <c r="P686" s="719">
        <v>2131</v>
      </c>
      <c r="Q686" s="719" t="str">
        <f t="shared" si="32"/>
        <v>2131</v>
      </c>
      <c r="R686" s="719">
        <v>254</v>
      </c>
      <c r="S686" s="720">
        <v>0.5</v>
      </c>
      <c r="T686" s="720"/>
      <c r="U686" s="724">
        <v>2131</v>
      </c>
      <c r="V686" s="724" t="str">
        <f t="shared" si="33"/>
        <v>2131</v>
      </c>
      <c r="W686" s="724">
        <v>112</v>
      </c>
      <c r="X686" s="720">
        <v>75.510000000000005</v>
      </c>
    </row>
    <row r="687" spans="16:24" ht="15" x14ac:dyDescent="0.25">
      <c r="P687" s="719">
        <v>2141</v>
      </c>
      <c r="Q687" s="719" t="str">
        <f t="shared" si="32"/>
        <v>2141</v>
      </c>
      <c r="R687" s="719">
        <v>101</v>
      </c>
      <c r="S687" s="720">
        <v>108.44</v>
      </c>
      <c r="T687" s="720"/>
      <c r="U687" s="724">
        <v>2131</v>
      </c>
      <c r="V687" s="724" t="str">
        <f t="shared" si="33"/>
        <v>2131</v>
      </c>
      <c r="W687" s="724">
        <v>130</v>
      </c>
      <c r="X687" s="720">
        <v>91.87</v>
      </c>
    </row>
    <row r="688" spans="16:24" ht="15" x14ac:dyDescent="0.25">
      <c r="P688" s="719">
        <v>2141</v>
      </c>
      <c r="Q688" s="719" t="str">
        <f t="shared" si="32"/>
        <v>2141</v>
      </c>
      <c r="R688" s="719">
        <v>102</v>
      </c>
      <c r="S688" s="720">
        <v>59.07</v>
      </c>
      <c r="T688" s="720"/>
      <c r="U688" s="724">
        <v>2131</v>
      </c>
      <c r="V688" s="724" t="str">
        <f t="shared" si="33"/>
        <v>2131</v>
      </c>
      <c r="W688" s="724">
        <v>254</v>
      </c>
      <c r="X688" s="720">
        <v>0.5</v>
      </c>
    </row>
    <row r="689" spans="16:24" ht="15" x14ac:dyDescent="0.25">
      <c r="P689" s="719">
        <v>2141</v>
      </c>
      <c r="Q689" s="719" t="str">
        <f t="shared" si="32"/>
        <v>2141</v>
      </c>
      <c r="R689" s="719">
        <v>111</v>
      </c>
      <c r="S689" s="720">
        <v>56.01</v>
      </c>
      <c r="T689" s="720"/>
      <c r="U689" s="724">
        <v>2141</v>
      </c>
      <c r="V689" s="724" t="str">
        <f t="shared" si="33"/>
        <v>2141</v>
      </c>
      <c r="W689" s="724">
        <v>101</v>
      </c>
      <c r="X689" s="720">
        <v>108.95</v>
      </c>
    </row>
    <row r="690" spans="16:24" ht="15" x14ac:dyDescent="0.25">
      <c r="P690" s="719">
        <v>2141</v>
      </c>
      <c r="Q690" s="719" t="str">
        <f t="shared" si="32"/>
        <v>2141</v>
      </c>
      <c r="R690" s="719">
        <v>112</v>
      </c>
      <c r="S690" s="720">
        <v>25.06</v>
      </c>
      <c r="T690" s="720"/>
      <c r="U690" s="724">
        <v>2141</v>
      </c>
      <c r="V690" s="724" t="str">
        <f t="shared" si="33"/>
        <v>2141</v>
      </c>
      <c r="W690" s="724">
        <v>102</v>
      </c>
      <c r="X690" s="720">
        <v>58.65</v>
      </c>
    </row>
    <row r="691" spans="16:24" ht="15" x14ac:dyDescent="0.25">
      <c r="P691" s="719">
        <v>2141</v>
      </c>
      <c r="Q691" s="719" t="str">
        <f t="shared" si="32"/>
        <v>2141</v>
      </c>
      <c r="R691" s="719">
        <v>130</v>
      </c>
      <c r="S691" s="720">
        <v>11.46</v>
      </c>
      <c r="T691" s="720"/>
      <c r="U691" s="724">
        <v>2141</v>
      </c>
      <c r="V691" s="724" t="str">
        <f t="shared" si="33"/>
        <v>2141</v>
      </c>
      <c r="W691" s="724">
        <v>111</v>
      </c>
      <c r="X691" s="720">
        <v>56.21</v>
      </c>
    </row>
    <row r="692" spans="16:24" ht="15" x14ac:dyDescent="0.25">
      <c r="P692" s="719">
        <v>2141</v>
      </c>
      <c r="Q692" s="719" t="str">
        <f t="shared" si="32"/>
        <v>2141</v>
      </c>
      <c r="R692" s="719">
        <v>254</v>
      </c>
      <c r="S692" s="720">
        <v>1.5</v>
      </c>
      <c r="T692" s="720"/>
      <c r="U692" s="724">
        <v>2141</v>
      </c>
      <c r="V692" s="724" t="str">
        <f t="shared" si="33"/>
        <v>2141</v>
      </c>
      <c r="W692" s="724">
        <v>112</v>
      </c>
      <c r="X692" s="720">
        <v>23.5</v>
      </c>
    </row>
    <row r="693" spans="16:24" ht="15" x14ac:dyDescent="0.25">
      <c r="P693" s="719">
        <v>2151</v>
      </c>
      <c r="Q693" s="719" t="str">
        <f t="shared" si="32"/>
        <v>2151</v>
      </c>
      <c r="R693" s="719">
        <v>102</v>
      </c>
      <c r="S693" s="720">
        <v>462.5</v>
      </c>
      <c r="T693" s="720"/>
      <c r="U693" s="724">
        <v>2141</v>
      </c>
      <c r="V693" s="724" t="str">
        <f t="shared" si="33"/>
        <v>2141</v>
      </c>
      <c r="W693" s="724">
        <v>130</v>
      </c>
      <c r="X693" s="720">
        <v>12.69</v>
      </c>
    </row>
    <row r="694" spans="16:24" ht="15" x14ac:dyDescent="0.25">
      <c r="P694" s="719">
        <v>2151</v>
      </c>
      <c r="Q694" s="719" t="str">
        <f t="shared" si="32"/>
        <v>2151</v>
      </c>
      <c r="R694" s="719">
        <v>112</v>
      </c>
      <c r="S694" s="720">
        <v>87.98</v>
      </c>
      <c r="T694" s="720"/>
      <c r="U694" s="724">
        <v>2141</v>
      </c>
      <c r="V694" s="724" t="str">
        <f t="shared" si="33"/>
        <v>2141</v>
      </c>
      <c r="W694" s="724">
        <v>254</v>
      </c>
      <c r="X694" s="720">
        <v>1.5</v>
      </c>
    </row>
    <row r="695" spans="16:24" ht="15" x14ac:dyDescent="0.25">
      <c r="P695" s="719">
        <v>2151</v>
      </c>
      <c r="Q695" s="719" t="str">
        <f t="shared" si="32"/>
        <v>2151</v>
      </c>
      <c r="R695" s="719">
        <v>130</v>
      </c>
      <c r="S695" s="720">
        <v>81.569999999999993</v>
      </c>
      <c r="T695" s="720"/>
      <c r="U695" s="724">
        <v>2151</v>
      </c>
      <c r="V695" s="724" t="str">
        <f t="shared" si="33"/>
        <v>2151</v>
      </c>
      <c r="W695" s="724">
        <v>102</v>
      </c>
      <c r="X695" s="720">
        <v>464.52</v>
      </c>
    </row>
    <row r="696" spans="16:24" ht="15" x14ac:dyDescent="0.25">
      <c r="P696" s="719">
        <v>2151</v>
      </c>
      <c r="Q696" s="719" t="str">
        <f t="shared" si="32"/>
        <v>2151</v>
      </c>
      <c r="R696" s="719">
        <v>254</v>
      </c>
      <c r="S696" s="720">
        <v>0.5</v>
      </c>
      <c r="T696" s="720"/>
      <c r="U696" s="724">
        <v>2151</v>
      </c>
      <c r="V696" s="724" t="str">
        <f t="shared" si="33"/>
        <v>2151</v>
      </c>
      <c r="W696" s="724">
        <v>112</v>
      </c>
      <c r="X696" s="720">
        <v>89.5</v>
      </c>
    </row>
    <row r="697" spans="16:24" ht="15" x14ac:dyDescent="0.25">
      <c r="P697" s="719">
        <v>2161</v>
      </c>
      <c r="Q697" s="719" t="str">
        <f t="shared" si="32"/>
        <v>2161</v>
      </c>
      <c r="R697" s="719">
        <v>101</v>
      </c>
      <c r="S697" s="720">
        <v>144.72999999999999</v>
      </c>
      <c r="T697" s="720"/>
      <c r="U697" s="724">
        <v>2151</v>
      </c>
      <c r="V697" s="724" t="str">
        <f t="shared" si="33"/>
        <v>2151</v>
      </c>
      <c r="W697" s="724">
        <v>130</v>
      </c>
      <c r="X697" s="720">
        <v>77.44</v>
      </c>
    </row>
    <row r="698" spans="16:24" ht="15" x14ac:dyDescent="0.25">
      <c r="P698" s="719">
        <v>2161</v>
      </c>
      <c r="Q698" s="719" t="str">
        <f t="shared" si="32"/>
        <v>2161</v>
      </c>
      <c r="R698" s="719">
        <v>102</v>
      </c>
      <c r="S698" s="720">
        <v>86.48</v>
      </c>
      <c r="T698" s="720"/>
      <c r="U698" s="724">
        <v>2151</v>
      </c>
      <c r="V698" s="724" t="str">
        <f t="shared" si="33"/>
        <v>2151</v>
      </c>
      <c r="W698" s="724">
        <v>254</v>
      </c>
      <c r="X698" s="720">
        <v>0.5</v>
      </c>
    </row>
    <row r="699" spans="16:24" ht="15" x14ac:dyDescent="0.25">
      <c r="P699" s="719">
        <v>2161</v>
      </c>
      <c r="Q699" s="719" t="str">
        <f t="shared" si="32"/>
        <v>2161</v>
      </c>
      <c r="R699" s="719">
        <v>111</v>
      </c>
      <c r="S699" s="720">
        <v>81.91</v>
      </c>
      <c r="T699" s="720"/>
      <c r="U699" s="724">
        <v>2161</v>
      </c>
      <c r="V699" s="724" t="str">
        <f t="shared" si="33"/>
        <v>2161</v>
      </c>
      <c r="W699" s="724">
        <v>101</v>
      </c>
      <c r="X699" s="720">
        <v>143.87</v>
      </c>
    </row>
    <row r="700" spans="16:24" ht="15" x14ac:dyDescent="0.25">
      <c r="P700" s="719">
        <v>2161</v>
      </c>
      <c r="Q700" s="719" t="str">
        <f t="shared" si="32"/>
        <v>2161</v>
      </c>
      <c r="R700" s="719">
        <v>112</v>
      </c>
      <c r="S700" s="720">
        <v>33.5</v>
      </c>
      <c r="T700" s="720"/>
      <c r="U700" s="724">
        <v>2161</v>
      </c>
      <c r="V700" s="724" t="str">
        <f t="shared" si="33"/>
        <v>2161</v>
      </c>
      <c r="W700" s="724">
        <v>102</v>
      </c>
      <c r="X700" s="720">
        <v>87.73</v>
      </c>
    </row>
    <row r="701" spans="16:24" ht="15" x14ac:dyDescent="0.25">
      <c r="P701" s="719">
        <v>2161</v>
      </c>
      <c r="Q701" s="719" t="str">
        <f t="shared" si="32"/>
        <v>2161</v>
      </c>
      <c r="R701" s="719">
        <v>130</v>
      </c>
      <c r="S701" s="720">
        <v>8.17</v>
      </c>
      <c r="T701" s="720"/>
      <c r="U701" s="724">
        <v>2161</v>
      </c>
      <c r="V701" s="724" t="str">
        <f t="shared" si="33"/>
        <v>2161</v>
      </c>
      <c r="W701" s="724">
        <v>111</v>
      </c>
      <c r="X701" s="720">
        <v>88.88</v>
      </c>
    </row>
    <row r="702" spans="16:24" ht="15" x14ac:dyDescent="0.25">
      <c r="P702" s="719">
        <v>2171</v>
      </c>
      <c r="Q702" s="719" t="str">
        <f t="shared" si="32"/>
        <v>2171</v>
      </c>
      <c r="R702" s="719">
        <v>101</v>
      </c>
      <c r="S702" s="720">
        <v>166.2</v>
      </c>
      <c r="T702" s="720"/>
      <c r="U702" s="724">
        <v>2161</v>
      </c>
      <c r="V702" s="724" t="str">
        <f t="shared" si="33"/>
        <v>2161</v>
      </c>
      <c r="W702" s="724">
        <v>112</v>
      </c>
      <c r="X702" s="720">
        <v>33.5</v>
      </c>
    </row>
    <row r="703" spans="16:24" ht="15" x14ac:dyDescent="0.25">
      <c r="P703" s="719">
        <v>2171</v>
      </c>
      <c r="Q703" s="719" t="str">
        <f t="shared" si="32"/>
        <v>2171</v>
      </c>
      <c r="R703" s="719">
        <v>102</v>
      </c>
      <c r="S703" s="720">
        <v>82</v>
      </c>
      <c r="T703" s="720"/>
      <c r="U703" s="724">
        <v>2161</v>
      </c>
      <c r="V703" s="724" t="str">
        <f t="shared" si="33"/>
        <v>2161</v>
      </c>
      <c r="W703" s="724">
        <v>130</v>
      </c>
      <c r="X703" s="720">
        <v>13.9</v>
      </c>
    </row>
    <row r="704" spans="16:24" ht="15" x14ac:dyDescent="0.25">
      <c r="P704" s="719">
        <v>2171</v>
      </c>
      <c r="Q704" s="719" t="str">
        <f t="shared" si="32"/>
        <v>2171</v>
      </c>
      <c r="R704" s="719">
        <v>111</v>
      </c>
      <c r="S704" s="720">
        <v>89.5</v>
      </c>
      <c r="T704" s="720"/>
      <c r="U704" s="724">
        <v>2171</v>
      </c>
      <c r="V704" s="724" t="str">
        <f t="shared" si="33"/>
        <v>2171</v>
      </c>
      <c r="W704" s="724">
        <v>101</v>
      </c>
      <c r="X704" s="720">
        <v>155.85</v>
      </c>
    </row>
    <row r="705" spans="16:24" ht="15" x14ac:dyDescent="0.25">
      <c r="P705" s="719">
        <v>2171</v>
      </c>
      <c r="Q705" s="719" t="str">
        <f t="shared" si="32"/>
        <v>2171</v>
      </c>
      <c r="R705" s="719">
        <v>112</v>
      </c>
      <c r="S705" s="720">
        <v>69.13</v>
      </c>
      <c r="T705" s="720"/>
      <c r="U705" s="724">
        <v>2171</v>
      </c>
      <c r="V705" s="724" t="str">
        <f t="shared" si="33"/>
        <v>2171</v>
      </c>
      <c r="W705" s="724">
        <v>102</v>
      </c>
      <c r="X705" s="720">
        <v>82.43</v>
      </c>
    </row>
    <row r="706" spans="16:24" ht="15" x14ac:dyDescent="0.25">
      <c r="P706" s="719">
        <v>2171</v>
      </c>
      <c r="Q706" s="719" t="str">
        <f t="shared" si="32"/>
        <v>2171</v>
      </c>
      <c r="R706" s="719">
        <v>130</v>
      </c>
      <c r="S706" s="720">
        <v>67.3</v>
      </c>
      <c r="T706" s="720"/>
      <c r="U706" s="724">
        <v>2171</v>
      </c>
      <c r="V706" s="724" t="str">
        <f t="shared" si="33"/>
        <v>2171</v>
      </c>
      <c r="W706" s="724">
        <v>111</v>
      </c>
      <c r="X706" s="720">
        <v>101</v>
      </c>
    </row>
    <row r="707" spans="16:24" ht="15" x14ac:dyDescent="0.25">
      <c r="P707" s="719">
        <v>2171</v>
      </c>
      <c r="Q707" s="719" t="str">
        <f t="shared" ref="Q707:Q770" si="34">TEXT(P707,"0000")</f>
        <v>2171</v>
      </c>
      <c r="R707" s="719">
        <v>254</v>
      </c>
      <c r="S707" s="720">
        <v>1.5</v>
      </c>
      <c r="T707" s="720"/>
      <c r="U707" s="724">
        <v>2171</v>
      </c>
      <c r="V707" s="724" t="str">
        <f t="shared" si="33"/>
        <v>2171</v>
      </c>
      <c r="W707" s="724">
        <v>112</v>
      </c>
      <c r="X707" s="720">
        <v>68.510000000000005</v>
      </c>
    </row>
    <row r="708" spans="16:24" ht="15" x14ac:dyDescent="0.25">
      <c r="P708" s="719">
        <v>2181</v>
      </c>
      <c r="Q708" s="719" t="str">
        <f t="shared" si="34"/>
        <v>2181</v>
      </c>
      <c r="R708" s="719">
        <v>103</v>
      </c>
      <c r="S708" s="720">
        <v>679.9</v>
      </c>
      <c r="T708" s="720"/>
      <c r="U708" s="724">
        <v>2171</v>
      </c>
      <c r="V708" s="724" t="str">
        <f t="shared" ref="V708:V771" si="35">TEXT(U708,"0000")</f>
        <v>2171</v>
      </c>
      <c r="W708" s="724">
        <v>130</v>
      </c>
      <c r="X708" s="720">
        <v>72.23</v>
      </c>
    </row>
    <row r="709" spans="16:24" ht="15" x14ac:dyDescent="0.25">
      <c r="P709" s="719">
        <v>2181</v>
      </c>
      <c r="Q709" s="719" t="str">
        <f t="shared" si="34"/>
        <v>2181</v>
      </c>
      <c r="R709" s="719">
        <v>113</v>
      </c>
      <c r="S709" s="720">
        <v>131.01</v>
      </c>
      <c r="T709" s="720"/>
      <c r="U709" s="724">
        <v>2171</v>
      </c>
      <c r="V709" s="724" t="str">
        <f t="shared" si="35"/>
        <v>2171</v>
      </c>
      <c r="W709" s="724">
        <v>254</v>
      </c>
      <c r="X709" s="720">
        <v>1.5</v>
      </c>
    </row>
    <row r="710" spans="16:24" ht="15" x14ac:dyDescent="0.25">
      <c r="P710" s="719">
        <v>2181</v>
      </c>
      <c r="Q710" s="719" t="str">
        <f t="shared" si="34"/>
        <v>2181</v>
      </c>
      <c r="R710" s="719">
        <v>130</v>
      </c>
      <c r="S710" s="720">
        <v>64.5</v>
      </c>
      <c r="T710" s="720"/>
      <c r="U710" s="724">
        <v>2181</v>
      </c>
      <c r="V710" s="724" t="str">
        <f t="shared" si="35"/>
        <v>2181</v>
      </c>
      <c r="W710" s="724">
        <v>103</v>
      </c>
      <c r="X710" s="720">
        <v>678.06</v>
      </c>
    </row>
    <row r="711" spans="16:24" ht="15" x14ac:dyDescent="0.25">
      <c r="P711" s="719">
        <v>2181</v>
      </c>
      <c r="Q711" s="719" t="str">
        <f t="shared" si="34"/>
        <v>2181</v>
      </c>
      <c r="R711" s="719">
        <v>254</v>
      </c>
      <c r="S711" s="720">
        <v>3</v>
      </c>
      <c r="T711" s="720"/>
      <c r="U711" s="724">
        <v>2181</v>
      </c>
      <c r="V711" s="724" t="str">
        <f t="shared" si="35"/>
        <v>2181</v>
      </c>
      <c r="W711" s="724">
        <v>113</v>
      </c>
      <c r="X711" s="720">
        <v>122.69</v>
      </c>
    </row>
    <row r="712" spans="16:24" ht="15" x14ac:dyDescent="0.25">
      <c r="P712" s="719">
        <v>2181</v>
      </c>
      <c r="Q712" s="719" t="str">
        <f t="shared" si="34"/>
        <v>2181</v>
      </c>
      <c r="R712" s="719">
        <v>255</v>
      </c>
      <c r="S712" s="720">
        <v>0.5</v>
      </c>
      <c r="T712" s="720"/>
      <c r="U712" s="724">
        <v>2181</v>
      </c>
      <c r="V712" s="724" t="str">
        <f t="shared" si="35"/>
        <v>2181</v>
      </c>
      <c r="W712" s="724">
        <v>130</v>
      </c>
      <c r="X712" s="720">
        <v>57.42</v>
      </c>
    </row>
    <row r="713" spans="16:24" ht="15" x14ac:dyDescent="0.25">
      <c r="P713" s="719">
        <v>2181</v>
      </c>
      <c r="Q713" s="719" t="str">
        <f t="shared" si="34"/>
        <v>2181</v>
      </c>
      <c r="R713" s="719">
        <v>300</v>
      </c>
      <c r="S713" s="720">
        <v>60.87</v>
      </c>
      <c r="T713" s="720"/>
      <c r="U713" s="724">
        <v>2181</v>
      </c>
      <c r="V713" s="724" t="str">
        <f t="shared" si="35"/>
        <v>2181</v>
      </c>
      <c r="W713" s="724">
        <v>254</v>
      </c>
      <c r="X713" s="720">
        <v>3</v>
      </c>
    </row>
    <row r="714" spans="16:24" ht="15" x14ac:dyDescent="0.25">
      <c r="P714" s="719">
        <v>2191</v>
      </c>
      <c r="Q714" s="719" t="str">
        <f t="shared" si="34"/>
        <v>2191</v>
      </c>
      <c r="R714" s="719">
        <v>103</v>
      </c>
      <c r="S714" s="720">
        <v>985.04</v>
      </c>
      <c r="T714" s="720"/>
      <c r="U714" s="724">
        <v>2181</v>
      </c>
      <c r="V714" s="724" t="str">
        <f t="shared" si="35"/>
        <v>2181</v>
      </c>
      <c r="W714" s="724">
        <v>255</v>
      </c>
      <c r="X714" s="720">
        <v>0.5</v>
      </c>
    </row>
    <row r="715" spans="16:24" ht="15" x14ac:dyDescent="0.25">
      <c r="P715" s="719">
        <v>2191</v>
      </c>
      <c r="Q715" s="719" t="str">
        <f t="shared" si="34"/>
        <v>2191</v>
      </c>
      <c r="R715" s="719">
        <v>113</v>
      </c>
      <c r="S715" s="720">
        <v>159.08000000000001</v>
      </c>
      <c r="T715" s="720"/>
      <c r="U715" s="724">
        <v>2181</v>
      </c>
      <c r="V715" s="724" t="str">
        <f t="shared" si="35"/>
        <v>2181</v>
      </c>
      <c r="W715" s="724">
        <v>300</v>
      </c>
      <c r="X715" s="720">
        <v>59.55</v>
      </c>
    </row>
    <row r="716" spans="16:24" ht="15" x14ac:dyDescent="0.25">
      <c r="P716" s="719">
        <v>2191</v>
      </c>
      <c r="Q716" s="719" t="str">
        <f t="shared" si="34"/>
        <v>2191</v>
      </c>
      <c r="R716" s="719">
        <v>130</v>
      </c>
      <c r="S716" s="720">
        <v>39.31</v>
      </c>
      <c r="T716" s="720"/>
      <c r="U716" s="724">
        <v>2191</v>
      </c>
      <c r="V716" s="724" t="str">
        <f t="shared" si="35"/>
        <v>2191</v>
      </c>
      <c r="W716" s="724">
        <v>103</v>
      </c>
      <c r="X716" s="720">
        <v>949.55</v>
      </c>
    </row>
    <row r="717" spans="16:24" ht="15" x14ac:dyDescent="0.25">
      <c r="P717" s="719">
        <v>2191</v>
      </c>
      <c r="Q717" s="719" t="str">
        <f t="shared" si="34"/>
        <v>2191</v>
      </c>
      <c r="R717" s="719">
        <v>254</v>
      </c>
      <c r="S717" s="720">
        <v>1</v>
      </c>
      <c r="T717" s="720"/>
      <c r="U717" s="724">
        <v>2191</v>
      </c>
      <c r="V717" s="724" t="str">
        <f t="shared" si="35"/>
        <v>2191</v>
      </c>
      <c r="W717" s="724">
        <v>113</v>
      </c>
      <c r="X717" s="720">
        <v>155.05000000000001</v>
      </c>
    </row>
    <row r="718" spans="16:24" ht="15" x14ac:dyDescent="0.25">
      <c r="P718" s="719">
        <v>2191</v>
      </c>
      <c r="Q718" s="719" t="str">
        <f t="shared" si="34"/>
        <v>2191</v>
      </c>
      <c r="R718" s="719">
        <v>255</v>
      </c>
      <c r="S718" s="720">
        <v>0.5</v>
      </c>
      <c r="T718" s="720"/>
      <c r="U718" s="724">
        <v>2191</v>
      </c>
      <c r="V718" s="724" t="str">
        <f t="shared" si="35"/>
        <v>2191</v>
      </c>
      <c r="W718" s="724">
        <v>130</v>
      </c>
      <c r="X718" s="720">
        <v>35.729999999999997</v>
      </c>
    </row>
    <row r="719" spans="16:24" ht="15" x14ac:dyDescent="0.25">
      <c r="P719" s="719">
        <v>2191</v>
      </c>
      <c r="Q719" s="719" t="str">
        <f t="shared" si="34"/>
        <v>2191</v>
      </c>
      <c r="R719" s="719">
        <v>300</v>
      </c>
      <c r="S719" s="720">
        <v>83.85</v>
      </c>
      <c r="T719" s="720"/>
      <c r="U719" s="724">
        <v>2191</v>
      </c>
      <c r="V719" s="724" t="str">
        <f t="shared" si="35"/>
        <v>2191</v>
      </c>
      <c r="W719" s="724">
        <v>254</v>
      </c>
      <c r="X719" s="720">
        <v>1.5</v>
      </c>
    </row>
    <row r="720" spans="16:24" ht="15" x14ac:dyDescent="0.25">
      <c r="P720" s="719">
        <v>2201</v>
      </c>
      <c r="Q720" s="719" t="str">
        <f t="shared" si="34"/>
        <v>2201</v>
      </c>
      <c r="R720" s="719">
        <v>103</v>
      </c>
      <c r="S720" s="720">
        <v>797.92</v>
      </c>
      <c r="T720" s="720"/>
      <c r="U720" s="724">
        <v>2191</v>
      </c>
      <c r="V720" s="724" t="str">
        <f t="shared" si="35"/>
        <v>2191</v>
      </c>
      <c r="W720" s="724">
        <v>255</v>
      </c>
      <c r="X720" s="720">
        <v>0.5</v>
      </c>
    </row>
    <row r="721" spans="16:24" ht="15" x14ac:dyDescent="0.25">
      <c r="P721" s="719">
        <v>2201</v>
      </c>
      <c r="Q721" s="719" t="str">
        <f t="shared" si="34"/>
        <v>2201</v>
      </c>
      <c r="R721" s="719">
        <v>111</v>
      </c>
      <c r="S721" s="720">
        <v>0.01</v>
      </c>
      <c r="T721" s="720"/>
      <c r="U721" s="724">
        <v>2191</v>
      </c>
      <c r="V721" s="724" t="str">
        <f t="shared" si="35"/>
        <v>2191</v>
      </c>
      <c r="W721" s="724">
        <v>300</v>
      </c>
      <c r="X721" s="720">
        <v>79.2</v>
      </c>
    </row>
    <row r="722" spans="16:24" ht="15" x14ac:dyDescent="0.25">
      <c r="P722" s="719">
        <v>2201</v>
      </c>
      <c r="Q722" s="719" t="str">
        <f t="shared" si="34"/>
        <v>2201</v>
      </c>
      <c r="R722" s="719">
        <v>113</v>
      </c>
      <c r="S722" s="720">
        <v>155.80000000000001</v>
      </c>
      <c r="T722" s="720"/>
      <c r="U722" s="724">
        <v>2201</v>
      </c>
      <c r="V722" s="724" t="str">
        <f t="shared" si="35"/>
        <v>2201</v>
      </c>
      <c r="W722" s="724">
        <v>103</v>
      </c>
      <c r="X722" s="720">
        <v>772.6</v>
      </c>
    </row>
    <row r="723" spans="16:24" ht="15" x14ac:dyDescent="0.25">
      <c r="P723" s="719">
        <v>2201</v>
      </c>
      <c r="Q723" s="719" t="str">
        <f t="shared" si="34"/>
        <v>2201</v>
      </c>
      <c r="R723" s="719">
        <v>130</v>
      </c>
      <c r="S723" s="720">
        <v>21.3</v>
      </c>
      <c r="T723" s="720"/>
      <c r="U723" s="724">
        <v>2201</v>
      </c>
      <c r="V723" s="724" t="str">
        <f t="shared" si="35"/>
        <v>2201</v>
      </c>
      <c r="W723" s="724">
        <v>111</v>
      </c>
      <c r="X723" s="720">
        <v>0.03</v>
      </c>
    </row>
    <row r="724" spans="16:24" ht="15" x14ac:dyDescent="0.25">
      <c r="P724" s="719">
        <v>2201</v>
      </c>
      <c r="Q724" s="719" t="str">
        <f t="shared" si="34"/>
        <v>2201</v>
      </c>
      <c r="R724" s="719">
        <v>254</v>
      </c>
      <c r="S724" s="720">
        <v>5.49</v>
      </c>
      <c r="T724" s="720"/>
      <c r="U724" s="724">
        <v>2201</v>
      </c>
      <c r="V724" s="724" t="str">
        <f t="shared" si="35"/>
        <v>2201</v>
      </c>
      <c r="W724" s="724">
        <v>113</v>
      </c>
      <c r="X724" s="720">
        <v>152.38</v>
      </c>
    </row>
    <row r="725" spans="16:24" ht="15" x14ac:dyDescent="0.25">
      <c r="P725" s="719">
        <v>2201</v>
      </c>
      <c r="Q725" s="719" t="str">
        <f t="shared" si="34"/>
        <v>2201</v>
      </c>
      <c r="R725" s="719">
        <v>255</v>
      </c>
      <c r="S725" s="720">
        <v>0.5</v>
      </c>
      <c r="T725" s="720"/>
      <c r="U725" s="724">
        <v>2201</v>
      </c>
      <c r="V725" s="724" t="str">
        <f t="shared" si="35"/>
        <v>2201</v>
      </c>
      <c r="W725" s="724">
        <v>130</v>
      </c>
      <c r="X725" s="720">
        <v>19.25</v>
      </c>
    </row>
    <row r="726" spans="16:24" ht="15" x14ac:dyDescent="0.25">
      <c r="P726" s="719">
        <v>2201</v>
      </c>
      <c r="Q726" s="719" t="str">
        <f t="shared" si="34"/>
        <v>2201</v>
      </c>
      <c r="R726" s="719">
        <v>300</v>
      </c>
      <c r="S726" s="720">
        <v>72.97</v>
      </c>
      <c r="T726" s="720"/>
      <c r="U726" s="724">
        <v>2201</v>
      </c>
      <c r="V726" s="724" t="str">
        <f t="shared" si="35"/>
        <v>2201</v>
      </c>
      <c r="W726" s="724">
        <v>254</v>
      </c>
      <c r="X726" s="720">
        <v>5.0199999999999996</v>
      </c>
    </row>
    <row r="727" spans="16:24" ht="15" x14ac:dyDescent="0.25">
      <c r="P727" s="719">
        <v>2241</v>
      </c>
      <c r="Q727" s="719" t="str">
        <f t="shared" si="34"/>
        <v>2241</v>
      </c>
      <c r="R727" s="719">
        <v>101</v>
      </c>
      <c r="S727" s="720">
        <v>225.83</v>
      </c>
      <c r="T727" s="720"/>
      <c r="U727" s="724">
        <v>2201</v>
      </c>
      <c r="V727" s="724" t="str">
        <f t="shared" si="35"/>
        <v>2201</v>
      </c>
      <c r="W727" s="724">
        <v>255</v>
      </c>
      <c r="X727" s="720">
        <v>0.5</v>
      </c>
    </row>
    <row r="728" spans="16:24" ht="15" x14ac:dyDescent="0.25">
      <c r="P728" s="719">
        <v>2241</v>
      </c>
      <c r="Q728" s="719" t="str">
        <f t="shared" si="34"/>
        <v>2241</v>
      </c>
      <c r="R728" s="719">
        <v>102</v>
      </c>
      <c r="S728" s="720">
        <v>121.34</v>
      </c>
      <c r="T728" s="720"/>
      <c r="U728" s="724">
        <v>2201</v>
      </c>
      <c r="V728" s="724" t="str">
        <f t="shared" si="35"/>
        <v>2201</v>
      </c>
      <c r="W728" s="724">
        <v>300</v>
      </c>
      <c r="X728" s="720">
        <v>71.930000000000007</v>
      </c>
    </row>
    <row r="729" spans="16:24" ht="15" x14ac:dyDescent="0.25">
      <c r="P729" s="719">
        <v>2241</v>
      </c>
      <c r="Q729" s="719" t="str">
        <f t="shared" si="34"/>
        <v>2241</v>
      </c>
      <c r="R729" s="719">
        <v>111</v>
      </c>
      <c r="S729" s="720">
        <v>86.92</v>
      </c>
      <c r="T729" s="720"/>
      <c r="U729" s="724">
        <v>2241</v>
      </c>
      <c r="V729" s="724" t="str">
        <f t="shared" si="35"/>
        <v>2241</v>
      </c>
      <c r="W729" s="724">
        <v>101</v>
      </c>
      <c r="X729" s="720">
        <v>225.21</v>
      </c>
    </row>
    <row r="730" spans="16:24" ht="15" x14ac:dyDescent="0.25">
      <c r="P730" s="719">
        <v>2241</v>
      </c>
      <c r="Q730" s="719" t="str">
        <f t="shared" si="34"/>
        <v>2241</v>
      </c>
      <c r="R730" s="719">
        <v>112</v>
      </c>
      <c r="S730" s="720">
        <v>64.98</v>
      </c>
      <c r="T730" s="720"/>
      <c r="U730" s="724">
        <v>2241</v>
      </c>
      <c r="V730" s="724" t="str">
        <f t="shared" si="35"/>
        <v>2241</v>
      </c>
      <c r="W730" s="724">
        <v>102</v>
      </c>
      <c r="X730" s="720">
        <v>120.94</v>
      </c>
    </row>
    <row r="731" spans="16:24" ht="15" x14ac:dyDescent="0.25">
      <c r="P731" s="719">
        <v>2241</v>
      </c>
      <c r="Q731" s="719" t="str">
        <f t="shared" si="34"/>
        <v>2241</v>
      </c>
      <c r="R731" s="719">
        <v>130</v>
      </c>
      <c r="S731" s="720">
        <v>30.92</v>
      </c>
      <c r="T731" s="720"/>
      <c r="U731" s="724">
        <v>2241</v>
      </c>
      <c r="V731" s="724" t="str">
        <f t="shared" si="35"/>
        <v>2241</v>
      </c>
      <c r="W731" s="724">
        <v>111</v>
      </c>
      <c r="X731" s="720">
        <v>95.63</v>
      </c>
    </row>
    <row r="732" spans="16:24" ht="15" x14ac:dyDescent="0.25">
      <c r="P732" s="719">
        <v>2241</v>
      </c>
      <c r="Q732" s="719" t="str">
        <f t="shared" si="34"/>
        <v>2241</v>
      </c>
      <c r="R732" s="719">
        <v>254</v>
      </c>
      <c r="S732" s="720">
        <v>1.5</v>
      </c>
      <c r="T732" s="720"/>
      <c r="U732" s="724">
        <v>2241</v>
      </c>
      <c r="V732" s="724" t="str">
        <f t="shared" si="35"/>
        <v>2241</v>
      </c>
      <c r="W732" s="724">
        <v>112</v>
      </c>
      <c r="X732" s="720">
        <v>65.98</v>
      </c>
    </row>
    <row r="733" spans="16:24" ht="15" x14ac:dyDescent="0.25">
      <c r="P733" s="719">
        <v>2301</v>
      </c>
      <c r="Q733" s="719" t="str">
        <f t="shared" si="34"/>
        <v>2301</v>
      </c>
      <c r="R733" s="719">
        <v>103</v>
      </c>
      <c r="S733" s="720">
        <v>277.62</v>
      </c>
      <c r="T733" s="720"/>
      <c r="U733" s="724">
        <v>2241</v>
      </c>
      <c r="V733" s="724" t="str">
        <f t="shared" si="35"/>
        <v>2241</v>
      </c>
      <c r="W733" s="724">
        <v>130</v>
      </c>
      <c r="X733" s="720">
        <v>30.79</v>
      </c>
    </row>
    <row r="734" spans="16:24" ht="15" x14ac:dyDescent="0.25">
      <c r="P734" s="719">
        <v>2301</v>
      </c>
      <c r="Q734" s="719" t="str">
        <f t="shared" si="34"/>
        <v>2301</v>
      </c>
      <c r="R734" s="719">
        <v>113</v>
      </c>
      <c r="S734" s="720">
        <v>73.040000000000006</v>
      </c>
      <c r="T734" s="720"/>
      <c r="U734" s="724">
        <v>2241</v>
      </c>
      <c r="V734" s="724" t="str">
        <f t="shared" si="35"/>
        <v>2241</v>
      </c>
      <c r="W734" s="724">
        <v>254</v>
      </c>
      <c r="X734" s="720">
        <v>1</v>
      </c>
    </row>
    <row r="735" spans="16:24" ht="15" x14ac:dyDescent="0.25">
      <c r="P735" s="719">
        <v>2301</v>
      </c>
      <c r="Q735" s="719" t="str">
        <f t="shared" si="34"/>
        <v>2301</v>
      </c>
      <c r="R735" s="719">
        <v>130</v>
      </c>
      <c r="S735" s="720">
        <v>42.99</v>
      </c>
      <c r="T735" s="720"/>
      <c r="U735" s="724">
        <v>2301</v>
      </c>
      <c r="V735" s="724" t="str">
        <f t="shared" si="35"/>
        <v>2301</v>
      </c>
      <c r="W735" s="724">
        <v>103</v>
      </c>
      <c r="X735" s="720">
        <v>281.35000000000002</v>
      </c>
    </row>
    <row r="736" spans="16:24" ht="15" x14ac:dyDescent="0.25">
      <c r="P736" s="719">
        <v>2301</v>
      </c>
      <c r="Q736" s="719" t="str">
        <f t="shared" si="34"/>
        <v>2301</v>
      </c>
      <c r="R736" s="719">
        <v>254</v>
      </c>
      <c r="S736" s="720">
        <v>0.5</v>
      </c>
      <c r="T736" s="720"/>
      <c r="U736" s="724">
        <v>2301</v>
      </c>
      <c r="V736" s="724" t="str">
        <f t="shared" si="35"/>
        <v>2301</v>
      </c>
      <c r="W736" s="724">
        <v>113</v>
      </c>
      <c r="X736" s="720">
        <v>70.06</v>
      </c>
    </row>
    <row r="737" spans="16:24" ht="15" x14ac:dyDescent="0.25">
      <c r="P737" s="719">
        <v>2301</v>
      </c>
      <c r="Q737" s="719" t="str">
        <f t="shared" si="34"/>
        <v>2301</v>
      </c>
      <c r="R737" s="719">
        <v>300</v>
      </c>
      <c r="S737" s="720">
        <v>61.29</v>
      </c>
      <c r="T737" s="720"/>
      <c r="U737" s="724">
        <v>2301</v>
      </c>
      <c r="V737" s="724" t="str">
        <f t="shared" si="35"/>
        <v>2301</v>
      </c>
      <c r="W737" s="724">
        <v>130</v>
      </c>
      <c r="X737" s="720">
        <v>41.67</v>
      </c>
    </row>
    <row r="738" spans="16:24" ht="15" x14ac:dyDescent="0.25">
      <c r="P738" s="719">
        <v>2331</v>
      </c>
      <c r="Q738" s="719" t="str">
        <f t="shared" si="34"/>
        <v>2331</v>
      </c>
      <c r="R738" s="719">
        <v>103</v>
      </c>
      <c r="S738" s="720">
        <v>770.95</v>
      </c>
      <c r="T738" s="720"/>
      <c r="U738" s="724">
        <v>2301</v>
      </c>
      <c r="V738" s="724" t="str">
        <f t="shared" si="35"/>
        <v>2301</v>
      </c>
      <c r="W738" s="724">
        <v>254</v>
      </c>
      <c r="X738" s="720">
        <v>0.5</v>
      </c>
    </row>
    <row r="739" spans="16:24" ht="15" x14ac:dyDescent="0.25">
      <c r="P739" s="719">
        <v>2331</v>
      </c>
      <c r="Q739" s="719" t="str">
        <f t="shared" si="34"/>
        <v>2331</v>
      </c>
      <c r="R739" s="719">
        <v>113</v>
      </c>
      <c r="S739" s="720">
        <v>185.12</v>
      </c>
      <c r="T739" s="720"/>
      <c r="U739" s="724">
        <v>2301</v>
      </c>
      <c r="V739" s="724" t="str">
        <f t="shared" si="35"/>
        <v>2301</v>
      </c>
      <c r="W739" s="724">
        <v>300</v>
      </c>
      <c r="X739" s="720">
        <v>61.45</v>
      </c>
    </row>
    <row r="740" spans="16:24" ht="15" x14ac:dyDescent="0.25">
      <c r="P740" s="719">
        <v>2331</v>
      </c>
      <c r="Q740" s="719" t="str">
        <f t="shared" si="34"/>
        <v>2331</v>
      </c>
      <c r="R740" s="719">
        <v>130</v>
      </c>
      <c r="S740" s="720">
        <v>81.88</v>
      </c>
      <c r="T740" s="720"/>
      <c r="U740" s="724">
        <v>2331</v>
      </c>
      <c r="V740" s="724" t="str">
        <f t="shared" si="35"/>
        <v>2331</v>
      </c>
      <c r="W740" s="724">
        <v>103</v>
      </c>
      <c r="X740" s="720">
        <v>741.69</v>
      </c>
    </row>
    <row r="741" spans="16:24" ht="15" x14ac:dyDescent="0.25">
      <c r="P741" s="719">
        <v>2331</v>
      </c>
      <c r="Q741" s="719" t="str">
        <f t="shared" si="34"/>
        <v>2331</v>
      </c>
      <c r="R741" s="719">
        <v>254</v>
      </c>
      <c r="S741" s="720">
        <v>2.15</v>
      </c>
      <c r="T741" s="720"/>
      <c r="U741" s="724">
        <v>2331</v>
      </c>
      <c r="V741" s="724" t="str">
        <f t="shared" si="35"/>
        <v>2331</v>
      </c>
      <c r="W741" s="724">
        <v>113</v>
      </c>
      <c r="X741" s="720">
        <v>175.41</v>
      </c>
    </row>
    <row r="742" spans="16:24" ht="15" x14ac:dyDescent="0.25">
      <c r="P742" s="719">
        <v>2331</v>
      </c>
      <c r="Q742" s="719" t="str">
        <f t="shared" si="34"/>
        <v>2331</v>
      </c>
      <c r="R742" s="719">
        <v>255</v>
      </c>
      <c r="S742" s="720">
        <v>1.99</v>
      </c>
      <c r="T742" s="720"/>
      <c r="U742" s="724">
        <v>2331</v>
      </c>
      <c r="V742" s="724" t="str">
        <f t="shared" si="35"/>
        <v>2331</v>
      </c>
      <c r="W742" s="724">
        <v>130</v>
      </c>
      <c r="X742" s="720">
        <v>70</v>
      </c>
    </row>
    <row r="743" spans="16:24" ht="15" x14ac:dyDescent="0.25">
      <c r="P743" s="719">
        <v>2331</v>
      </c>
      <c r="Q743" s="719" t="str">
        <f t="shared" si="34"/>
        <v>2331</v>
      </c>
      <c r="R743" s="719">
        <v>300</v>
      </c>
      <c r="S743" s="720">
        <v>61.24</v>
      </c>
      <c r="T743" s="720"/>
      <c r="U743" s="724">
        <v>2331</v>
      </c>
      <c r="V743" s="724" t="str">
        <f t="shared" si="35"/>
        <v>2331</v>
      </c>
      <c r="W743" s="724">
        <v>254</v>
      </c>
      <c r="X743" s="720">
        <v>2.17</v>
      </c>
    </row>
    <row r="744" spans="16:24" ht="15" x14ac:dyDescent="0.25">
      <c r="P744" s="719">
        <v>2351</v>
      </c>
      <c r="Q744" s="719" t="str">
        <f t="shared" si="34"/>
        <v>2351</v>
      </c>
      <c r="R744" s="719">
        <v>101</v>
      </c>
      <c r="S744" s="720">
        <v>87.23</v>
      </c>
      <c r="T744" s="720"/>
      <c r="U744" s="724">
        <v>2331</v>
      </c>
      <c r="V744" s="724" t="str">
        <f t="shared" si="35"/>
        <v>2331</v>
      </c>
      <c r="W744" s="724">
        <v>255</v>
      </c>
      <c r="X744" s="720">
        <v>2.0099999999999998</v>
      </c>
    </row>
    <row r="745" spans="16:24" ht="15" x14ac:dyDescent="0.25">
      <c r="P745" s="719">
        <v>2351</v>
      </c>
      <c r="Q745" s="719" t="str">
        <f t="shared" si="34"/>
        <v>2351</v>
      </c>
      <c r="R745" s="719">
        <v>102</v>
      </c>
      <c r="S745" s="720">
        <v>38.909999999999997</v>
      </c>
      <c r="T745" s="720"/>
      <c r="U745" s="724">
        <v>2331</v>
      </c>
      <c r="V745" s="724" t="str">
        <f t="shared" si="35"/>
        <v>2331</v>
      </c>
      <c r="W745" s="724">
        <v>300</v>
      </c>
      <c r="X745" s="720">
        <v>59.38</v>
      </c>
    </row>
    <row r="746" spans="16:24" ht="15" x14ac:dyDescent="0.25">
      <c r="P746" s="719">
        <v>2351</v>
      </c>
      <c r="Q746" s="719" t="str">
        <f t="shared" si="34"/>
        <v>2351</v>
      </c>
      <c r="R746" s="719">
        <v>111</v>
      </c>
      <c r="S746" s="720">
        <v>62.78</v>
      </c>
      <c r="T746" s="720"/>
      <c r="U746" s="724">
        <v>2351</v>
      </c>
      <c r="V746" s="724" t="str">
        <f t="shared" si="35"/>
        <v>2351</v>
      </c>
      <c r="W746" s="724">
        <v>101</v>
      </c>
      <c r="X746" s="720">
        <v>88.17</v>
      </c>
    </row>
    <row r="747" spans="16:24" ht="15" x14ac:dyDescent="0.25">
      <c r="P747" s="719">
        <v>2351</v>
      </c>
      <c r="Q747" s="719" t="str">
        <f t="shared" si="34"/>
        <v>2351</v>
      </c>
      <c r="R747" s="719">
        <v>112</v>
      </c>
      <c r="S747" s="720">
        <v>25.25</v>
      </c>
      <c r="T747" s="720"/>
      <c r="U747" s="724">
        <v>2351</v>
      </c>
      <c r="V747" s="724" t="str">
        <f t="shared" si="35"/>
        <v>2351</v>
      </c>
      <c r="W747" s="724">
        <v>102</v>
      </c>
      <c r="X747" s="720">
        <v>37.99</v>
      </c>
    </row>
    <row r="748" spans="16:24" ht="15" x14ac:dyDescent="0.25">
      <c r="P748" s="719">
        <v>2351</v>
      </c>
      <c r="Q748" s="719" t="str">
        <f t="shared" si="34"/>
        <v>2351</v>
      </c>
      <c r="R748" s="719">
        <v>130</v>
      </c>
      <c r="S748" s="720">
        <v>79.569999999999993</v>
      </c>
      <c r="T748" s="720"/>
      <c r="U748" s="724">
        <v>2351</v>
      </c>
      <c r="V748" s="724" t="str">
        <f t="shared" si="35"/>
        <v>2351</v>
      </c>
      <c r="W748" s="724">
        <v>111</v>
      </c>
      <c r="X748" s="720">
        <v>70.23</v>
      </c>
    </row>
    <row r="749" spans="16:24" ht="15" x14ac:dyDescent="0.25">
      <c r="P749" s="719">
        <v>2351</v>
      </c>
      <c r="Q749" s="719" t="str">
        <f t="shared" si="34"/>
        <v>2351</v>
      </c>
      <c r="R749" s="719">
        <v>254</v>
      </c>
      <c r="S749" s="720">
        <v>1.75</v>
      </c>
      <c r="T749" s="720"/>
      <c r="U749" s="724">
        <v>2351</v>
      </c>
      <c r="V749" s="724" t="str">
        <f t="shared" si="35"/>
        <v>2351</v>
      </c>
      <c r="W749" s="724">
        <v>112</v>
      </c>
      <c r="X749" s="720">
        <v>28.44</v>
      </c>
    </row>
    <row r="750" spans="16:24" ht="15" x14ac:dyDescent="0.25">
      <c r="P750" s="719">
        <v>2361</v>
      </c>
      <c r="Q750" s="719" t="str">
        <f t="shared" si="34"/>
        <v>2361</v>
      </c>
      <c r="R750" s="719">
        <v>103</v>
      </c>
      <c r="S750" s="720">
        <v>396.24</v>
      </c>
      <c r="T750" s="720"/>
      <c r="U750" s="724">
        <v>2351</v>
      </c>
      <c r="V750" s="724" t="str">
        <f t="shared" si="35"/>
        <v>2351</v>
      </c>
      <c r="W750" s="724">
        <v>130</v>
      </c>
      <c r="X750" s="720">
        <v>78.81</v>
      </c>
    </row>
    <row r="751" spans="16:24" ht="15" x14ac:dyDescent="0.25">
      <c r="P751" s="719">
        <v>2361</v>
      </c>
      <c r="Q751" s="719" t="str">
        <f t="shared" si="34"/>
        <v>2361</v>
      </c>
      <c r="R751" s="719">
        <v>113</v>
      </c>
      <c r="S751" s="720">
        <v>128.43</v>
      </c>
      <c r="T751" s="720"/>
      <c r="U751" s="724">
        <v>2351</v>
      </c>
      <c r="V751" s="724" t="str">
        <f t="shared" si="35"/>
        <v>2351</v>
      </c>
      <c r="W751" s="724">
        <v>254</v>
      </c>
      <c r="X751" s="720">
        <v>1.29</v>
      </c>
    </row>
    <row r="752" spans="16:24" ht="15" x14ac:dyDescent="0.25">
      <c r="P752" s="719">
        <v>2361</v>
      </c>
      <c r="Q752" s="719" t="str">
        <f t="shared" si="34"/>
        <v>2361</v>
      </c>
      <c r="R752" s="719">
        <v>130</v>
      </c>
      <c r="S752" s="720">
        <v>94.04</v>
      </c>
      <c r="T752" s="720"/>
      <c r="U752" s="724">
        <v>2361</v>
      </c>
      <c r="V752" s="724" t="str">
        <f t="shared" si="35"/>
        <v>2361</v>
      </c>
      <c r="W752" s="724">
        <v>103</v>
      </c>
      <c r="X752" s="720">
        <v>390.43</v>
      </c>
    </row>
    <row r="753" spans="16:24" ht="15" x14ac:dyDescent="0.25">
      <c r="P753" s="719">
        <v>2361</v>
      </c>
      <c r="Q753" s="719" t="str">
        <f t="shared" si="34"/>
        <v>2361</v>
      </c>
      <c r="R753" s="719">
        <v>254</v>
      </c>
      <c r="S753" s="720">
        <v>0.5</v>
      </c>
      <c r="T753" s="720"/>
      <c r="U753" s="724">
        <v>2361</v>
      </c>
      <c r="V753" s="724" t="str">
        <f t="shared" si="35"/>
        <v>2361</v>
      </c>
      <c r="W753" s="724">
        <v>113</v>
      </c>
      <c r="X753" s="720">
        <v>126.31</v>
      </c>
    </row>
    <row r="754" spans="16:24" ht="15" x14ac:dyDescent="0.25">
      <c r="P754" s="719">
        <v>2361</v>
      </c>
      <c r="Q754" s="719" t="str">
        <f t="shared" si="34"/>
        <v>2361</v>
      </c>
      <c r="R754" s="719">
        <v>300</v>
      </c>
      <c r="S754" s="720">
        <v>70.23</v>
      </c>
      <c r="T754" s="720"/>
      <c r="U754" s="724">
        <v>2361</v>
      </c>
      <c r="V754" s="724" t="str">
        <f t="shared" si="35"/>
        <v>2361</v>
      </c>
      <c r="W754" s="724">
        <v>130</v>
      </c>
      <c r="X754" s="720">
        <v>86.58</v>
      </c>
    </row>
    <row r="755" spans="16:24" ht="15" x14ac:dyDescent="0.25">
      <c r="P755" s="719">
        <v>2371</v>
      </c>
      <c r="Q755" s="719" t="str">
        <f t="shared" si="34"/>
        <v>2371</v>
      </c>
      <c r="R755" s="719">
        <v>101</v>
      </c>
      <c r="S755" s="720">
        <v>74.27</v>
      </c>
      <c r="T755" s="720"/>
      <c r="U755" s="724">
        <v>2361</v>
      </c>
      <c r="V755" s="724" t="str">
        <f t="shared" si="35"/>
        <v>2361</v>
      </c>
      <c r="W755" s="724">
        <v>254</v>
      </c>
      <c r="X755" s="720">
        <v>0</v>
      </c>
    </row>
    <row r="756" spans="16:24" ht="15" x14ac:dyDescent="0.25">
      <c r="P756" s="719">
        <v>2371</v>
      </c>
      <c r="Q756" s="719" t="str">
        <f t="shared" si="34"/>
        <v>2371</v>
      </c>
      <c r="R756" s="719">
        <v>102</v>
      </c>
      <c r="S756" s="720">
        <v>36.61</v>
      </c>
      <c r="T756" s="720"/>
      <c r="U756" s="724">
        <v>2361</v>
      </c>
      <c r="V756" s="724" t="str">
        <f t="shared" si="35"/>
        <v>2361</v>
      </c>
      <c r="W756" s="724">
        <v>300</v>
      </c>
      <c r="X756" s="720">
        <v>63.75</v>
      </c>
    </row>
    <row r="757" spans="16:24" ht="15" x14ac:dyDescent="0.25">
      <c r="P757" s="719">
        <v>2371</v>
      </c>
      <c r="Q757" s="719" t="str">
        <f t="shared" si="34"/>
        <v>2371</v>
      </c>
      <c r="R757" s="719">
        <v>111</v>
      </c>
      <c r="S757" s="720">
        <v>22.63</v>
      </c>
      <c r="T757" s="720"/>
      <c r="U757" s="724">
        <v>2371</v>
      </c>
      <c r="V757" s="724" t="str">
        <f t="shared" si="35"/>
        <v>2371</v>
      </c>
      <c r="W757" s="724">
        <v>101</v>
      </c>
      <c r="X757" s="720">
        <v>70.5</v>
      </c>
    </row>
    <row r="758" spans="16:24" ht="15" x14ac:dyDescent="0.25">
      <c r="P758" s="719">
        <v>2371</v>
      </c>
      <c r="Q758" s="719" t="str">
        <f t="shared" si="34"/>
        <v>2371</v>
      </c>
      <c r="R758" s="719">
        <v>112</v>
      </c>
      <c r="S758" s="720">
        <v>14.5</v>
      </c>
      <c r="T758" s="720"/>
      <c r="U758" s="724">
        <v>2371</v>
      </c>
      <c r="V758" s="724" t="str">
        <f t="shared" si="35"/>
        <v>2371</v>
      </c>
      <c r="W758" s="724">
        <v>102</v>
      </c>
      <c r="X758" s="720">
        <v>36.96</v>
      </c>
    </row>
    <row r="759" spans="16:24" ht="15" x14ac:dyDescent="0.25">
      <c r="P759" s="719">
        <v>2371</v>
      </c>
      <c r="Q759" s="719" t="str">
        <f t="shared" si="34"/>
        <v>2371</v>
      </c>
      <c r="R759" s="719">
        <v>130</v>
      </c>
      <c r="S759" s="720">
        <v>32.32</v>
      </c>
      <c r="T759" s="720"/>
      <c r="U759" s="724">
        <v>2371</v>
      </c>
      <c r="V759" s="724" t="str">
        <f t="shared" si="35"/>
        <v>2371</v>
      </c>
      <c r="W759" s="724">
        <v>111</v>
      </c>
      <c r="X759" s="720">
        <v>23.63</v>
      </c>
    </row>
    <row r="760" spans="16:24" ht="15" x14ac:dyDescent="0.25">
      <c r="P760" s="719">
        <v>2401</v>
      </c>
      <c r="Q760" s="719" t="str">
        <f t="shared" si="34"/>
        <v>2401</v>
      </c>
      <c r="R760" s="719">
        <v>101</v>
      </c>
      <c r="S760" s="720">
        <v>94.38</v>
      </c>
      <c r="T760" s="720"/>
      <c r="U760" s="724">
        <v>2371</v>
      </c>
      <c r="V760" s="724" t="str">
        <f t="shared" si="35"/>
        <v>2371</v>
      </c>
      <c r="W760" s="724">
        <v>112</v>
      </c>
      <c r="X760" s="720">
        <v>13</v>
      </c>
    </row>
    <row r="761" spans="16:24" ht="15" x14ac:dyDescent="0.25">
      <c r="P761" s="719">
        <v>2401</v>
      </c>
      <c r="Q761" s="719" t="str">
        <f t="shared" si="34"/>
        <v>2401</v>
      </c>
      <c r="R761" s="719">
        <v>102</v>
      </c>
      <c r="S761" s="720">
        <v>46.98</v>
      </c>
      <c r="T761" s="720"/>
      <c r="U761" s="724">
        <v>2371</v>
      </c>
      <c r="V761" s="724" t="str">
        <f t="shared" si="35"/>
        <v>2371</v>
      </c>
      <c r="W761" s="724">
        <v>130</v>
      </c>
      <c r="X761" s="720">
        <v>31.05</v>
      </c>
    </row>
    <row r="762" spans="16:24" ht="15" x14ac:dyDescent="0.25">
      <c r="P762" s="719">
        <v>2401</v>
      </c>
      <c r="Q762" s="719" t="str">
        <f t="shared" si="34"/>
        <v>2401</v>
      </c>
      <c r="R762" s="719">
        <v>111</v>
      </c>
      <c r="S762" s="720">
        <v>30.35</v>
      </c>
      <c r="T762" s="720"/>
      <c r="U762" s="724">
        <v>2401</v>
      </c>
      <c r="V762" s="724" t="str">
        <f t="shared" si="35"/>
        <v>2401</v>
      </c>
      <c r="W762" s="724">
        <v>101</v>
      </c>
      <c r="X762" s="720">
        <v>97.39</v>
      </c>
    </row>
    <row r="763" spans="16:24" ht="15" x14ac:dyDescent="0.25">
      <c r="P763" s="719">
        <v>2401</v>
      </c>
      <c r="Q763" s="719" t="str">
        <f t="shared" si="34"/>
        <v>2401</v>
      </c>
      <c r="R763" s="719">
        <v>112</v>
      </c>
      <c r="S763" s="720">
        <v>17.5</v>
      </c>
      <c r="T763" s="720"/>
      <c r="U763" s="724">
        <v>2401</v>
      </c>
      <c r="V763" s="724" t="str">
        <f t="shared" si="35"/>
        <v>2401</v>
      </c>
      <c r="W763" s="724">
        <v>102</v>
      </c>
      <c r="X763" s="720">
        <v>47.54</v>
      </c>
    </row>
    <row r="764" spans="16:24" ht="15" x14ac:dyDescent="0.25">
      <c r="P764" s="719">
        <v>2401</v>
      </c>
      <c r="Q764" s="719" t="str">
        <f t="shared" si="34"/>
        <v>2401</v>
      </c>
      <c r="R764" s="719">
        <v>130</v>
      </c>
      <c r="S764" s="720">
        <v>82.43</v>
      </c>
      <c r="T764" s="720"/>
      <c r="U764" s="724">
        <v>2401</v>
      </c>
      <c r="V764" s="724" t="str">
        <f t="shared" si="35"/>
        <v>2401</v>
      </c>
      <c r="W764" s="724">
        <v>111</v>
      </c>
      <c r="X764" s="720">
        <v>34.31</v>
      </c>
    </row>
    <row r="765" spans="16:24" ht="15" x14ac:dyDescent="0.25">
      <c r="P765" s="719">
        <v>2411</v>
      </c>
      <c r="Q765" s="719" t="str">
        <f t="shared" si="34"/>
        <v>2411</v>
      </c>
      <c r="R765" s="719">
        <v>111</v>
      </c>
      <c r="S765" s="720">
        <v>1</v>
      </c>
      <c r="T765" s="720"/>
      <c r="U765" s="724">
        <v>2401</v>
      </c>
      <c r="V765" s="724" t="str">
        <f t="shared" si="35"/>
        <v>2401</v>
      </c>
      <c r="W765" s="724">
        <v>112</v>
      </c>
      <c r="X765" s="720">
        <v>18.52</v>
      </c>
    </row>
    <row r="766" spans="16:24" ht="15" x14ac:dyDescent="0.25">
      <c r="P766" s="719">
        <v>2411</v>
      </c>
      <c r="Q766" s="719" t="str">
        <f t="shared" si="34"/>
        <v>2411</v>
      </c>
      <c r="R766" s="719">
        <v>112</v>
      </c>
      <c r="S766" s="720">
        <v>8.51</v>
      </c>
      <c r="T766" s="720"/>
      <c r="U766" s="724">
        <v>2401</v>
      </c>
      <c r="V766" s="724" t="str">
        <f t="shared" si="35"/>
        <v>2401</v>
      </c>
      <c r="W766" s="724">
        <v>130</v>
      </c>
      <c r="X766" s="720">
        <v>78.959999999999994</v>
      </c>
    </row>
    <row r="767" spans="16:24" ht="15" x14ac:dyDescent="0.25">
      <c r="P767" s="719">
        <v>2411</v>
      </c>
      <c r="Q767" s="719" t="str">
        <f t="shared" si="34"/>
        <v>2411</v>
      </c>
      <c r="R767" s="719">
        <v>113</v>
      </c>
      <c r="S767" s="720">
        <v>12.6</v>
      </c>
      <c r="T767" s="720"/>
      <c r="U767" s="724">
        <v>2411</v>
      </c>
      <c r="V767" s="724" t="str">
        <f t="shared" si="35"/>
        <v>2411</v>
      </c>
      <c r="W767" s="724">
        <v>111</v>
      </c>
      <c r="X767" s="720">
        <v>1.5</v>
      </c>
    </row>
    <row r="768" spans="16:24" ht="15" x14ac:dyDescent="0.25">
      <c r="P768" s="719">
        <v>2411</v>
      </c>
      <c r="Q768" s="719" t="str">
        <f t="shared" si="34"/>
        <v>2411</v>
      </c>
      <c r="R768" s="719">
        <v>254</v>
      </c>
      <c r="S768" s="720">
        <v>13.01</v>
      </c>
      <c r="T768" s="720"/>
      <c r="U768" s="724">
        <v>2411</v>
      </c>
      <c r="V768" s="724" t="str">
        <f t="shared" si="35"/>
        <v>2411</v>
      </c>
      <c r="W768" s="724">
        <v>112</v>
      </c>
      <c r="X768" s="720">
        <v>10.050000000000001</v>
      </c>
    </row>
    <row r="769" spans="16:24" ht="15" x14ac:dyDescent="0.25">
      <c r="P769" s="719">
        <v>2421</v>
      </c>
      <c r="Q769" s="719" t="str">
        <f t="shared" si="34"/>
        <v>2421</v>
      </c>
      <c r="R769" s="719">
        <v>101</v>
      </c>
      <c r="S769" s="720">
        <v>235.44</v>
      </c>
      <c r="T769" s="720"/>
      <c r="U769" s="724">
        <v>2411</v>
      </c>
      <c r="V769" s="724" t="str">
        <f t="shared" si="35"/>
        <v>2411</v>
      </c>
      <c r="W769" s="724">
        <v>113</v>
      </c>
      <c r="X769" s="720">
        <v>12.58</v>
      </c>
    </row>
    <row r="770" spans="16:24" ht="15" x14ac:dyDescent="0.25">
      <c r="P770" s="719">
        <v>2421</v>
      </c>
      <c r="Q770" s="719" t="str">
        <f t="shared" si="34"/>
        <v>2421</v>
      </c>
      <c r="R770" s="719">
        <v>102</v>
      </c>
      <c r="S770" s="720">
        <v>124.16</v>
      </c>
      <c r="T770" s="720"/>
      <c r="U770" s="724">
        <v>2411</v>
      </c>
      <c r="V770" s="724" t="str">
        <f t="shared" si="35"/>
        <v>2411</v>
      </c>
      <c r="W770" s="724">
        <v>254</v>
      </c>
      <c r="X770" s="720">
        <v>13.34</v>
      </c>
    </row>
    <row r="771" spans="16:24" ht="15" x14ac:dyDescent="0.25">
      <c r="P771" s="719">
        <v>2421</v>
      </c>
      <c r="Q771" s="719" t="str">
        <f t="shared" ref="Q771:Q834" si="36">TEXT(P771,"0000")</f>
        <v>2421</v>
      </c>
      <c r="R771" s="719">
        <v>111</v>
      </c>
      <c r="S771" s="720">
        <v>51.5</v>
      </c>
      <c r="T771" s="720"/>
      <c r="U771" s="724">
        <v>2421</v>
      </c>
      <c r="V771" s="724" t="str">
        <f t="shared" si="35"/>
        <v>2421</v>
      </c>
      <c r="W771" s="724">
        <v>101</v>
      </c>
      <c r="X771" s="720">
        <v>231.57</v>
      </c>
    </row>
    <row r="772" spans="16:24" ht="15" x14ac:dyDescent="0.25">
      <c r="P772" s="719">
        <v>2421</v>
      </c>
      <c r="Q772" s="719" t="str">
        <f t="shared" si="36"/>
        <v>2421</v>
      </c>
      <c r="R772" s="719">
        <v>112</v>
      </c>
      <c r="S772" s="720">
        <v>32.979999999999997</v>
      </c>
      <c r="T772" s="720"/>
      <c r="U772" s="724">
        <v>2421</v>
      </c>
      <c r="V772" s="724" t="str">
        <f t="shared" ref="V772:V835" si="37">TEXT(U772,"0000")</f>
        <v>2421</v>
      </c>
      <c r="W772" s="724">
        <v>102</v>
      </c>
      <c r="X772" s="720">
        <v>125.15</v>
      </c>
    </row>
    <row r="773" spans="16:24" ht="15" x14ac:dyDescent="0.25">
      <c r="P773" s="719">
        <v>2421</v>
      </c>
      <c r="Q773" s="719" t="str">
        <f t="shared" si="36"/>
        <v>2421</v>
      </c>
      <c r="R773" s="719">
        <v>130</v>
      </c>
      <c r="S773" s="720">
        <v>25.86</v>
      </c>
      <c r="T773" s="720"/>
      <c r="U773" s="724">
        <v>2421</v>
      </c>
      <c r="V773" s="724" t="str">
        <f t="shared" si="37"/>
        <v>2421</v>
      </c>
      <c r="W773" s="724">
        <v>111</v>
      </c>
      <c r="X773" s="720">
        <v>58</v>
      </c>
    </row>
    <row r="774" spans="16:24" ht="15" x14ac:dyDescent="0.25">
      <c r="P774" s="719">
        <v>2421</v>
      </c>
      <c r="Q774" s="719" t="str">
        <f t="shared" si="36"/>
        <v>2421</v>
      </c>
      <c r="R774" s="719">
        <v>255</v>
      </c>
      <c r="S774" s="720">
        <v>0.5</v>
      </c>
      <c r="T774" s="720"/>
      <c r="U774" s="724">
        <v>2421</v>
      </c>
      <c r="V774" s="724" t="str">
        <f t="shared" si="37"/>
        <v>2421</v>
      </c>
      <c r="W774" s="724">
        <v>112</v>
      </c>
      <c r="X774" s="720">
        <v>32.5</v>
      </c>
    </row>
    <row r="775" spans="16:24" ht="15" x14ac:dyDescent="0.25">
      <c r="P775" s="719">
        <v>2431</v>
      </c>
      <c r="Q775" s="719" t="str">
        <f t="shared" si="36"/>
        <v>2431</v>
      </c>
      <c r="R775" s="719">
        <v>101</v>
      </c>
      <c r="S775" s="720">
        <v>48.63</v>
      </c>
      <c r="T775" s="720"/>
      <c r="U775" s="724">
        <v>2421</v>
      </c>
      <c r="V775" s="724" t="str">
        <f t="shared" si="37"/>
        <v>2421</v>
      </c>
      <c r="W775" s="724">
        <v>130</v>
      </c>
      <c r="X775" s="720">
        <v>24.22</v>
      </c>
    </row>
    <row r="776" spans="16:24" ht="15" x14ac:dyDescent="0.25">
      <c r="P776" s="719">
        <v>2431</v>
      </c>
      <c r="Q776" s="719" t="str">
        <f t="shared" si="36"/>
        <v>2431</v>
      </c>
      <c r="R776" s="719">
        <v>102</v>
      </c>
      <c r="S776" s="720">
        <v>40</v>
      </c>
      <c r="T776" s="720"/>
      <c r="U776" s="724">
        <v>2421</v>
      </c>
      <c r="V776" s="724" t="str">
        <f t="shared" si="37"/>
        <v>2421</v>
      </c>
      <c r="W776" s="724">
        <v>255</v>
      </c>
      <c r="X776" s="720">
        <v>0.5</v>
      </c>
    </row>
    <row r="777" spans="16:24" ht="15" x14ac:dyDescent="0.25">
      <c r="P777" s="719">
        <v>2431</v>
      </c>
      <c r="Q777" s="719" t="str">
        <f t="shared" si="36"/>
        <v>2431</v>
      </c>
      <c r="R777" s="719">
        <v>111</v>
      </c>
      <c r="S777" s="720">
        <v>25.54</v>
      </c>
      <c r="T777" s="720"/>
      <c r="U777" s="724">
        <v>2431</v>
      </c>
      <c r="V777" s="724" t="str">
        <f t="shared" si="37"/>
        <v>2431</v>
      </c>
      <c r="W777" s="724">
        <v>101</v>
      </c>
      <c r="X777" s="720">
        <v>47.01</v>
      </c>
    </row>
    <row r="778" spans="16:24" ht="15" x14ac:dyDescent="0.25">
      <c r="P778" s="719">
        <v>2431</v>
      </c>
      <c r="Q778" s="719" t="str">
        <f t="shared" si="36"/>
        <v>2431</v>
      </c>
      <c r="R778" s="719">
        <v>112</v>
      </c>
      <c r="S778" s="720">
        <v>10.53</v>
      </c>
      <c r="T778" s="720"/>
      <c r="U778" s="724">
        <v>2431</v>
      </c>
      <c r="V778" s="724" t="str">
        <f t="shared" si="37"/>
        <v>2431</v>
      </c>
      <c r="W778" s="724">
        <v>102</v>
      </c>
      <c r="X778" s="720">
        <v>40.96</v>
      </c>
    </row>
    <row r="779" spans="16:24" ht="15" x14ac:dyDescent="0.25">
      <c r="P779" s="719">
        <v>2431</v>
      </c>
      <c r="Q779" s="719" t="str">
        <f t="shared" si="36"/>
        <v>2431</v>
      </c>
      <c r="R779" s="719">
        <v>130</v>
      </c>
      <c r="S779" s="720">
        <v>164.51</v>
      </c>
      <c r="T779" s="720"/>
      <c r="U779" s="724">
        <v>2431</v>
      </c>
      <c r="V779" s="724" t="str">
        <f t="shared" si="37"/>
        <v>2431</v>
      </c>
      <c r="W779" s="724">
        <v>111</v>
      </c>
      <c r="X779" s="720">
        <v>25.95</v>
      </c>
    </row>
    <row r="780" spans="16:24" ht="15" x14ac:dyDescent="0.25">
      <c r="P780" s="719">
        <v>2431</v>
      </c>
      <c r="Q780" s="719" t="str">
        <f t="shared" si="36"/>
        <v>2431</v>
      </c>
      <c r="R780" s="719">
        <v>254</v>
      </c>
      <c r="S780" s="720">
        <v>0.5</v>
      </c>
      <c r="T780" s="720"/>
      <c r="U780" s="724">
        <v>2431</v>
      </c>
      <c r="V780" s="724" t="str">
        <f t="shared" si="37"/>
        <v>2431</v>
      </c>
      <c r="W780" s="724">
        <v>112</v>
      </c>
      <c r="X780" s="720">
        <v>9.99</v>
      </c>
    </row>
    <row r="781" spans="16:24" ht="15" x14ac:dyDescent="0.25">
      <c r="P781" s="719">
        <v>2451</v>
      </c>
      <c r="Q781" s="719" t="str">
        <f t="shared" si="36"/>
        <v>2451</v>
      </c>
      <c r="R781" s="719">
        <v>102</v>
      </c>
      <c r="S781" s="720">
        <v>406.66</v>
      </c>
      <c r="T781" s="720"/>
      <c r="U781" s="724">
        <v>2431</v>
      </c>
      <c r="V781" s="724" t="str">
        <f t="shared" si="37"/>
        <v>2431</v>
      </c>
      <c r="W781" s="724">
        <v>130</v>
      </c>
      <c r="X781" s="720">
        <v>162.26</v>
      </c>
    </row>
    <row r="782" spans="16:24" ht="15" x14ac:dyDescent="0.25">
      <c r="P782" s="719">
        <v>2451</v>
      </c>
      <c r="Q782" s="719" t="str">
        <f t="shared" si="36"/>
        <v>2451</v>
      </c>
      <c r="R782" s="719">
        <v>112</v>
      </c>
      <c r="S782" s="720">
        <v>131.71</v>
      </c>
      <c r="T782" s="720"/>
      <c r="U782" s="724">
        <v>2431</v>
      </c>
      <c r="V782" s="724" t="str">
        <f t="shared" si="37"/>
        <v>2431</v>
      </c>
      <c r="W782" s="724">
        <v>254</v>
      </c>
      <c r="X782" s="720">
        <v>1.5</v>
      </c>
    </row>
    <row r="783" spans="16:24" ht="15" x14ac:dyDescent="0.25">
      <c r="P783" s="719">
        <v>2451</v>
      </c>
      <c r="Q783" s="719" t="str">
        <f t="shared" si="36"/>
        <v>2451</v>
      </c>
      <c r="R783" s="719">
        <v>130</v>
      </c>
      <c r="S783" s="720">
        <v>19.399999999999999</v>
      </c>
      <c r="T783" s="720"/>
      <c r="U783" s="724">
        <v>2451</v>
      </c>
      <c r="V783" s="724" t="str">
        <f t="shared" si="37"/>
        <v>2451</v>
      </c>
      <c r="W783" s="724">
        <v>102</v>
      </c>
      <c r="X783" s="720">
        <v>407.88</v>
      </c>
    </row>
    <row r="784" spans="16:24" ht="15" x14ac:dyDescent="0.25">
      <c r="P784" s="719">
        <v>2461</v>
      </c>
      <c r="Q784" s="719" t="str">
        <f t="shared" si="36"/>
        <v>2461</v>
      </c>
      <c r="R784" s="719">
        <v>102</v>
      </c>
      <c r="S784" s="720">
        <v>479.59</v>
      </c>
      <c r="T784" s="720"/>
      <c r="U784" s="724">
        <v>2451</v>
      </c>
      <c r="V784" s="724" t="str">
        <f t="shared" si="37"/>
        <v>2451</v>
      </c>
      <c r="W784" s="724">
        <v>112</v>
      </c>
      <c r="X784" s="720">
        <v>129.13999999999999</v>
      </c>
    </row>
    <row r="785" spans="16:24" ht="15" x14ac:dyDescent="0.25">
      <c r="P785" s="719">
        <v>2461</v>
      </c>
      <c r="Q785" s="719" t="str">
        <f t="shared" si="36"/>
        <v>2461</v>
      </c>
      <c r="R785" s="719">
        <v>112</v>
      </c>
      <c r="S785" s="720">
        <v>176.33</v>
      </c>
      <c r="T785" s="720"/>
      <c r="U785" s="724">
        <v>2451</v>
      </c>
      <c r="V785" s="724" t="str">
        <f t="shared" si="37"/>
        <v>2451</v>
      </c>
      <c r="W785" s="724">
        <v>130</v>
      </c>
      <c r="X785" s="720">
        <v>20.93</v>
      </c>
    </row>
    <row r="786" spans="16:24" ht="15" x14ac:dyDescent="0.25">
      <c r="P786" s="719">
        <v>2461</v>
      </c>
      <c r="Q786" s="719" t="str">
        <f t="shared" si="36"/>
        <v>2461</v>
      </c>
      <c r="R786" s="719">
        <v>130</v>
      </c>
      <c r="S786" s="720">
        <v>59.28</v>
      </c>
      <c r="T786" s="720"/>
      <c r="U786" s="724">
        <v>2461</v>
      </c>
      <c r="V786" s="724" t="str">
        <f t="shared" si="37"/>
        <v>2461</v>
      </c>
      <c r="W786" s="724">
        <v>102</v>
      </c>
      <c r="X786" s="720">
        <v>481.52</v>
      </c>
    </row>
    <row r="787" spans="16:24" ht="15" x14ac:dyDescent="0.25">
      <c r="P787" s="719">
        <v>2461</v>
      </c>
      <c r="Q787" s="719" t="str">
        <f t="shared" si="36"/>
        <v>2461</v>
      </c>
      <c r="R787" s="719">
        <v>254</v>
      </c>
      <c r="S787" s="720">
        <v>1</v>
      </c>
      <c r="T787" s="720"/>
      <c r="U787" s="724">
        <v>2461</v>
      </c>
      <c r="V787" s="724" t="str">
        <f t="shared" si="37"/>
        <v>2461</v>
      </c>
      <c r="W787" s="724">
        <v>112</v>
      </c>
      <c r="X787" s="720">
        <v>175.73</v>
      </c>
    </row>
    <row r="788" spans="16:24" ht="15" x14ac:dyDescent="0.25">
      <c r="P788" s="719">
        <v>2491</v>
      </c>
      <c r="Q788" s="719" t="str">
        <f t="shared" si="36"/>
        <v>2491</v>
      </c>
      <c r="R788" s="719">
        <v>101</v>
      </c>
      <c r="S788" s="720">
        <v>130.22999999999999</v>
      </c>
      <c r="T788" s="720"/>
      <c r="U788" s="724">
        <v>2461</v>
      </c>
      <c r="V788" s="724" t="str">
        <f t="shared" si="37"/>
        <v>2461</v>
      </c>
      <c r="W788" s="724">
        <v>130</v>
      </c>
      <c r="X788" s="720">
        <v>59.06</v>
      </c>
    </row>
    <row r="789" spans="16:24" ht="15" x14ac:dyDescent="0.25">
      <c r="P789" s="719">
        <v>2491</v>
      </c>
      <c r="Q789" s="719" t="str">
        <f t="shared" si="36"/>
        <v>2491</v>
      </c>
      <c r="R789" s="719">
        <v>102</v>
      </c>
      <c r="S789" s="720">
        <v>47.96</v>
      </c>
      <c r="T789" s="720"/>
      <c r="U789" s="724">
        <v>2461</v>
      </c>
      <c r="V789" s="724" t="str">
        <f t="shared" si="37"/>
        <v>2461</v>
      </c>
      <c r="W789" s="724">
        <v>254</v>
      </c>
      <c r="X789" s="720">
        <v>1</v>
      </c>
    </row>
    <row r="790" spans="16:24" ht="15" x14ac:dyDescent="0.25">
      <c r="P790" s="719">
        <v>2491</v>
      </c>
      <c r="Q790" s="719" t="str">
        <f t="shared" si="36"/>
        <v>2491</v>
      </c>
      <c r="R790" s="719">
        <v>111</v>
      </c>
      <c r="S790" s="720">
        <v>19.62</v>
      </c>
      <c r="T790" s="720"/>
      <c r="U790" s="724">
        <v>2491</v>
      </c>
      <c r="V790" s="724" t="str">
        <f t="shared" si="37"/>
        <v>2491</v>
      </c>
      <c r="W790" s="724">
        <v>101</v>
      </c>
      <c r="X790" s="720">
        <v>128.4</v>
      </c>
    </row>
    <row r="791" spans="16:24" ht="15" x14ac:dyDescent="0.25">
      <c r="P791" s="719">
        <v>2491</v>
      </c>
      <c r="Q791" s="719" t="str">
        <f t="shared" si="36"/>
        <v>2491</v>
      </c>
      <c r="R791" s="719">
        <v>112</v>
      </c>
      <c r="S791" s="720">
        <v>12.02</v>
      </c>
      <c r="T791" s="720"/>
      <c r="U791" s="724">
        <v>2491</v>
      </c>
      <c r="V791" s="724" t="str">
        <f t="shared" si="37"/>
        <v>2491</v>
      </c>
      <c r="W791" s="724">
        <v>102</v>
      </c>
      <c r="X791" s="720">
        <v>52.19</v>
      </c>
    </row>
    <row r="792" spans="16:24" ht="15" x14ac:dyDescent="0.25">
      <c r="P792" s="719">
        <v>2491</v>
      </c>
      <c r="Q792" s="719" t="str">
        <f t="shared" si="36"/>
        <v>2491</v>
      </c>
      <c r="R792" s="719">
        <v>130</v>
      </c>
      <c r="S792" s="720">
        <v>24.19</v>
      </c>
      <c r="T792" s="720"/>
      <c r="U792" s="724">
        <v>2491</v>
      </c>
      <c r="V792" s="724" t="str">
        <f t="shared" si="37"/>
        <v>2491</v>
      </c>
      <c r="W792" s="724">
        <v>111</v>
      </c>
      <c r="X792" s="720">
        <v>19.010000000000002</v>
      </c>
    </row>
    <row r="793" spans="16:24" ht="15" x14ac:dyDescent="0.25">
      <c r="P793" s="719">
        <v>2511</v>
      </c>
      <c r="Q793" s="719" t="str">
        <f t="shared" si="36"/>
        <v>2511</v>
      </c>
      <c r="R793" s="719">
        <v>102</v>
      </c>
      <c r="S793" s="720">
        <v>383.6</v>
      </c>
      <c r="T793" s="720"/>
      <c r="U793" s="724">
        <v>2491</v>
      </c>
      <c r="V793" s="724" t="str">
        <f t="shared" si="37"/>
        <v>2491</v>
      </c>
      <c r="W793" s="724">
        <v>112</v>
      </c>
      <c r="X793" s="720">
        <v>12.89</v>
      </c>
    </row>
    <row r="794" spans="16:24" ht="15" x14ac:dyDescent="0.25">
      <c r="P794" s="719">
        <v>2511</v>
      </c>
      <c r="Q794" s="719" t="str">
        <f t="shared" si="36"/>
        <v>2511</v>
      </c>
      <c r="R794" s="719">
        <v>112</v>
      </c>
      <c r="S794" s="720">
        <v>229.62</v>
      </c>
      <c r="T794" s="720"/>
      <c r="U794" s="724">
        <v>2491</v>
      </c>
      <c r="V794" s="724" t="str">
        <f t="shared" si="37"/>
        <v>2491</v>
      </c>
      <c r="W794" s="724">
        <v>130</v>
      </c>
      <c r="X794" s="720">
        <v>24.28</v>
      </c>
    </row>
    <row r="795" spans="16:24" ht="15" x14ac:dyDescent="0.25">
      <c r="P795" s="719">
        <v>2511</v>
      </c>
      <c r="Q795" s="719" t="str">
        <f t="shared" si="36"/>
        <v>2511</v>
      </c>
      <c r="R795" s="719">
        <v>130</v>
      </c>
      <c r="S795" s="720">
        <v>2.2799999999999998</v>
      </c>
      <c r="T795" s="720"/>
      <c r="U795" s="724">
        <v>2511</v>
      </c>
      <c r="V795" s="724" t="str">
        <f t="shared" si="37"/>
        <v>2511</v>
      </c>
      <c r="W795" s="724">
        <v>102</v>
      </c>
      <c r="X795" s="720">
        <v>374.11</v>
      </c>
    </row>
    <row r="796" spans="16:24" ht="15" x14ac:dyDescent="0.25">
      <c r="P796" s="719">
        <v>2521</v>
      </c>
      <c r="Q796" s="719" t="str">
        <f t="shared" si="36"/>
        <v>2521</v>
      </c>
      <c r="R796" s="719">
        <v>113</v>
      </c>
      <c r="S796" s="720">
        <v>27.75</v>
      </c>
      <c r="T796" s="720"/>
      <c r="U796" s="724">
        <v>2511</v>
      </c>
      <c r="V796" s="724" t="str">
        <f t="shared" si="37"/>
        <v>2511</v>
      </c>
      <c r="W796" s="724">
        <v>112</v>
      </c>
      <c r="X796" s="720">
        <v>229.59</v>
      </c>
    </row>
    <row r="797" spans="16:24" ht="15" x14ac:dyDescent="0.25">
      <c r="P797" s="719">
        <v>2521</v>
      </c>
      <c r="Q797" s="719" t="str">
        <f t="shared" si="36"/>
        <v>2521</v>
      </c>
      <c r="R797" s="719">
        <v>254</v>
      </c>
      <c r="S797" s="720">
        <v>9.3000000000000007</v>
      </c>
      <c r="T797" s="720"/>
      <c r="U797" s="724">
        <v>2511</v>
      </c>
      <c r="V797" s="724" t="str">
        <f t="shared" si="37"/>
        <v>2511</v>
      </c>
      <c r="W797" s="724">
        <v>130</v>
      </c>
      <c r="X797" s="720">
        <v>1.36</v>
      </c>
    </row>
    <row r="798" spans="16:24" ht="15" x14ac:dyDescent="0.25">
      <c r="P798" s="719">
        <v>2531</v>
      </c>
      <c r="Q798" s="719" t="str">
        <f t="shared" si="36"/>
        <v>2531</v>
      </c>
      <c r="R798" s="719">
        <v>113</v>
      </c>
      <c r="S798" s="720">
        <v>11.52</v>
      </c>
      <c r="T798" s="720"/>
      <c r="U798" s="724">
        <v>2521</v>
      </c>
      <c r="V798" s="724" t="str">
        <f t="shared" si="37"/>
        <v>2521</v>
      </c>
      <c r="W798" s="724">
        <v>113</v>
      </c>
      <c r="X798" s="720">
        <v>27.19</v>
      </c>
    </row>
    <row r="799" spans="16:24" ht="15" x14ac:dyDescent="0.25">
      <c r="P799" s="719">
        <v>2531</v>
      </c>
      <c r="Q799" s="719" t="str">
        <f t="shared" si="36"/>
        <v>2531</v>
      </c>
      <c r="R799" s="719">
        <v>254</v>
      </c>
      <c r="S799" s="720">
        <v>2</v>
      </c>
      <c r="T799" s="720"/>
      <c r="U799" s="724">
        <v>2521</v>
      </c>
      <c r="V799" s="724" t="str">
        <f t="shared" si="37"/>
        <v>2521</v>
      </c>
      <c r="W799" s="724">
        <v>254</v>
      </c>
      <c r="X799" s="720">
        <v>9.36</v>
      </c>
    </row>
    <row r="800" spans="16:24" ht="15" x14ac:dyDescent="0.25">
      <c r="P800" s="719">
        <v>2531</v>
      </c>
      <c r="Q800" s="719" t="str">
        <f t="shared" si="36"/>
        <v>2531</v>
      </c>
      <c r="R800" s="719">
        <v>255</v>
      </c>
      <c r="S800" s="720">
        <v>10.44</v>
      </c>
      <c r="T800" s="720"/>
      <c r="U800" s="724">
        <v>2531</v>
      </c>
      <c r="V800" s="724" t="str">
        <f t="shared" si="37"/>
        <v>2531</v>
      </c>
      <c r="W800" s="724">
        <v>112</v>
      </c>
      <c r="X800" s="720">
        <v>0.5</v>
      </c>
    </row>
    <row r="801" spans="16:24" ht="15" x14ac:dyDescent="0.25">
      <c r="P801" s="719">
        <v>2541</v>
      </c>
      <c r="Q801" s="719" t="str">
        <f t="shared" si="36"/>
        <v>2541</v>
      </c>
      <c r="R801" s="719">
        <v>101</v>
      </c>
      <c r="S801" s="720">
        <v>65</v>
      </c>
      <c r="T801" s="720"/>
      <c r="U801" s="724">
        <v>2531</v>
      </c>
      <c r="V801" s="724" t="str">
        <f t="shared" si="37"/>
        <v>2531</v>
      </c>
      <c r="W801" s="724">
        <v>113</v>
      </c>
      <c r="X801" s="720">
        <v>10.98</v>
      </c>
    </row>
    <row r="802" spans="16:24" ht="15" x14ac:dyDescent="0.25">
      <c r="P802" s="719">
        <v>2541</v>
      </c>
      <c r="Q802" s="719" t="str">
        <f t="shared" si="36"/>
        <v>2541</v>
      </c>
      <c r="R802" s="719">
        <v>102</v>
      </c>
      <c r="S802" s="720">
        <v>131.38</v>
      </c>
      <c r="T802" s="720"/>
      <c r="U802" s="724">
        <v>2531</v>
      </c>
      <c r="V802" s="724" t="str">
        <f t="shared" si="37"/>
        <v>2531</v>
      </c>
      <c r="W802" s="724">
        <v>254</v>
      </c>
      <c r="X802" s="720">
        <v>2.52</v>
      </c>
    </row>
    <row r="803" spans="16:24" ht="15" x14ac:dyDescent="0.25">
      <c r="P803" s="719">
        <v>2541</v>
      </c>
      <c r="Q803" s="719" t="str">
        <f t="shared" si="36"/>
        <v>2541</v>
      </c>
      <c r="R803" s="719">
        <v>111</v>
      </c>
      <c r="S803" s="720">
        <v>26.5</v>
      </c>
      <c r="T803" s="720"/>
      <c r="U803" s="724">
        <v>2531</v>
      </c>
      <c r="V803" s="724" t="str">
        <f t="shared" si="37"/>
        <v>2531</v>
      </c>
      <c r="W803" s="724">
        <v>255</v>
      </c>
      <c r="X803" s="720">
        <v>10.54</v>
      </c>
    </row>
    <row r="804" spans="16:24" ht="15" x14ac:dyDescent="0.25">
      <c r="P804" s="719">
        <v>2541</v>
      </c>
      <c r="Q804" s="719" t="str">
        <f t="shared" si="36"/>
        <v>2541</v>
      </c>
      <c r="R804" s="719">
        <v>112</v>
      </c>
      <c r="S804" s="720">
        <v>54.48</v>
      </c>
      <c r="T804" s="720"/>
      <c r="U804" s="724">
        <v>2541</v>
      </c>
      <c r="V804" s="724" t="str">
        <f t="shared" si="37"/>
        <v>2541</v>
      </c>
      <c r="W804" s="724">
        <v>101</v>
      </c>
      <c r="X804" s="720">
        <v>64.099999999999994</v>
      </c>
    </row>
    <row r="805" spans="16:24" ht="15" x14ac:dyDescent="0.25">
      <c r="P805" s="719">
        <v>2541</v>
      </c>
      <c r="Q805" s="719" t="str">
        <f t="shared" si="36"/>
        <v>2541</v>
      </c>
      <c r="R805" s="719">
        <v>130</v>
      </c>
      <c r="S805" s="720">
        <v>2.0299999999999998</v>
      </c>
      <c r="T805" s="720"/>
      <c r="U805" s="724">
        <v>2541</v>
      </c>
      <c r="V805" s="724" t="str">
        <f t="shared" si="37"/>
        <v>2541</v>
      </c>
      <c r="W805" s="724">
        <v>102</v>
      </c>
      <c r="X805" s="720">
        <v>131.88999999999999</v>
      </c>
    </row>
    <row r="806" spans="16:24" ht="15" x14ac:dyDescent="0.25">
      <c r="P806" s="719">
        <v>2551</v>
      </c>
      <c r="Q806" s="719" t="str">
        <f t="shared" si="36"/>
        <v>2551</v>
      </c>
      <c r="R806" s="719">
        <v>101</v>
      </c>
      <c r="S806" s="720">
        <v>159.6</v>
      </c>
      <c r="T806" s="720"/>
      <c r="U806" s="724">
        <v>2541</v>
      </c>
      <c r="V806" s="724" t="str">
        <f t="shared" si="37"/>
        <v>2541</v>
      </c>
      <c r="W806" s="724">
        <v>111</v>
      </c>
      <c r="X806" s="720">
        <v>26.5</v>
      </c>
    </row>
    <row r="807" spans="16:24" ht="15" x14ac:dyDescent="0.25">
      <c r="P807" s="719">
        <v>2551</v>
      </c>
      <c r="Q807" s="719" t="str">
        <f t="shared" si="36"/>
        <v>2551</v>
      </c>
      <c r="R807" s="719">
        <v>102</v>
      </c>
      <c r="S807" s="720">
        <v>90.86</v>
      </c>
      <c r="T807" s="720"/>
      <c r="U807" s="724">
        <v>2541</v>
      </c>
      <c r="V807" s="724" t="str">
        <f t="shared" si="37"/>
        <v>2541</v>
      </c>
      <c r="W807" s="724">
        <v>112</v>
      </c>
      <c r="X807" s="720">
        <v>54.98</v>
      </c>
    </row>
    <row r="808" spans="16:24" ht="15" x14ac:dyDescent="0.25">
      <c r="P808" s="719">
        <v>2551</v>
      </c>
      <c r="Q808" s="719" t="str">
        <f t="shared" si="36"/>
        <v>2551</v>
      </c>
      <c r="R808" s="719">
        <v>111</v>
      </c>
      <c r="S808" s="720">
        <v>39</v>
      </c>
      <c r="T808" s="720"/>
      <c r="U808" s="724">
        <v>2541</v>
      </c>
      <c r="V808" s="724" t="str">
        <f t="shared" si="37"/>
        <v>2541</v>
      </c>
      <c r="W808" s="724">
        <v>130</v>
      </c>
      <c r="X808" s="720">
        <v>2.4300000000000002</v>
      </c>
    </row>
    <row r="809" spans="16:24" ht="15" x14ac:dyDescent="0.25">
      <c r="P809" s="719">
        <v>2551</v>
      </c>
      <c r="Q809" s="719" t="str">
        <f t="shared" si="36"/>
        <v>2551</v>
      </c>
      <c r="R809" s="719">
        <v>112</v>
      </c>
      <c r="S809" s="720">
        <v>23</v>
      </c>
      <c r="T809" s="720"/>
      <c r="U809" s="724">
        <v>2551</v>
      </c>
      <c r="V809" s="724" t="str">
        <f t="shared" si="37"/>
        <v>2551</v>
      </c>
      <c r="W809" s="724">
        <v>101</v>
      </c>
      <c r="X809" s="720">
        <v>158</v>
      </c>
    </row>
    <row r="810" spans="16:24" ht="15" x14ac:dyDescent="0.25">
      <c r="P810" s="719">
        <v>2551</v>
      </c>
      <c r="Q810" s="719" t="str">
        <f t="shared" si="36"/>
        <v>2551</v>
      </c>
      <c r="R810" s="719">
        <v>130</v>
      </c>
      <c r="S810" s="720">
        <v>15.55</v>
      </c>
      <c r="T810" s="720"/>
      <c r="U810" s="724">
        <v>2551</v>
      </c>
      <c r="V810" s="724" t="str">
        <f t="shared" si="37"/>
        <v>2551</v>
      </c>
      <c r="W810" s="724">
        <v>102</v>
      </c>
      <c r="X810" s="720">
        <v>90.25</v>
      </c>
    </row>
    <row r="811" spans="16:24" ht="15" x14ac:dyDescent="0.25">
      <c r="P811" s="719">
        <v>2561</v>
      </c>
      <c r="Q811" s="719" t="str">
        <f t="shared" si="36"/>
        <v>2561</v>
      </c>
      <c r="R811" s="719">
        <v>101</v>
      </c>
      <c r="S811" s="720">
        <v>122.92</v>
      </c>
      <c r="T811" s="720"/>
      <c r="U811" s="724">
        <v>2551</v>
      </c>
      <c r="V811" s="724" t="str">
        <f t="shared" si="37"/>
        <v>2551</v>
      </c>
      <c r="W811" s="724">
        <v>111</v>
      </c>
      <c r="X811" s="720">
        <v>39</v>
      </c>
    </row>
    <row r="812" spans="16:24" ht="15" x14ac:dyDescent="0.25">
      <c r="P812" s="719">
        <v>2561</v>
      </c>
      <c r="Q812" s="719" t="str">
        <f t="shared" si="36"/>
        <v>2561</v>
      </c>
      <c r="R812" s="719">
        <v>102</v>
      </c>
      <c r="S812" s="720">
        <v>95.21</v>
      </c>
      <c r="T812" s="720"/>
      <c r="U812" s="724">
        <v>2551</v>
      </c>
      <c r="V812" s="724" t="str">
        <f t="shared" si="37"/>
        <v>2551</v>
      </c>
      <c r="W812" s="724">
        <v>112</v>
      </c>
      <c r="X812" s="720">
        <v>22.5</v>
      </c>
    </row>
    <row r="813" spans="16:24" ht="15" x14ac:dyDescent="0.25">
      <c r="P813" s="719">
        <v>2561</v>
      </c>
      <c r="Q813" s="719" t="str">
        <f t="shared" si="36"/>
        <v>2561</v>
      </c>
      <c r="R813" s="719">
        <v>111</v>
      </c>
      <c r="S813" s="720">
        <v>62</v>
      </c>
      <c r="T813" s="720"/>
      <c r="U813" s="724">
        <v>2551</v>
      </c>
      <c r="V813" s="724" t="str">
        <f t="shared" si="37"/>
        <v>2551</v>
      </c>
      <c r="W813" s="724">
        <v>130</v>
      </c>
      <c r="X813" s="720">
        <v>15.54</v>
      </c>
    </row>
    <row r="814" spans="16:24" ht="15" x14ac:dyDescent="0.25">
      <c r="P814" s="719">
        <v>2561</v>
      </c>
      <c r="Q814" s="719" t="str">
        <f t="shared" si="36"/>
        <v>2561</v>
      </c>
      <c r="R814" s="719">
        <v>112</v>
      </c>
      <c r="S814" s="720">
        <v>52</v>
      </c>
      <c r="T814" s="720"/>
      <c r="U814" s="724">
        <v>2561</v>
      </c>
      <c r="V814" s="724" t="str">
        <f t="shared" si="37"/>
        <v>2561</v>
      </c>
      <c r="W814" s="724">
        <v>101</v>
      </c>
      <c r="X814" s="720">
        <v>124.43</v>
      </c>
    </row>
    <row r="815" spans="16:24" ht="15" x14ac:dyDescent="0.25">
      <c r="P815" s="719">
        <v>2561</v>
      </c>
      <c r="Q815" s="719" t="str">
        <f t="shared" si="36"/>
        <v>2561</v>
      </c>
      <c r="R815" s="719">
        <v>130</v>
      </c>
      <c r="S815" s="720">
        <v>15.27</v>
      </c>
      <c r="T815" s="720"/>
      <c r="U815" s="724">
        <v>2561</v>
      </c>
      <c r="V815" s="724" t="str">
        <f t="shared" si="37"/>
        <v>2561</v>
      </c>
      <c r="W815" s="724">
        <v>102</v>
      </c>
      <c r="X815" s="720">
        <v>94.08</v>
      </c>
    </row>
    <row r="816" spans="16:24" ht="15" x14ac:dyDescent="0.25">
      <c r="P816" s="719">
        <v>2571</v>
      </c>
      <c r="Q816" s="719" t="str">
        <f t="shared" si="36"/>
        <v>2571</v>
      </c>
      <c r="R816" s="719">
        <v>101</v>
      </c>
      <c r="S816" s="720">
        <v>122.72</v>
      </c>
      <c r="T816" s="720"/>
      <c r="U816" s="724">
        <v>2561</v>
      </c>
      <c r="V816" s="724" t="str">
        <f t="shared" si="37"/>
        <v>2561</v>
      </c>
      <c r="W816" s="724">
        <v>111</v>
      </c>
      <c r="X816" s="720">
        <v>64.5</v>
      </c>
    </row>
    <row r="817" spans="16:24" ht="15" x14ac:dyDescent="0.25">
      <c r="P817" s="719">
        <v>2571</v>
      </c>
      <c r="Q817" s="719" t="str">
        <f t="shared" si="36"/>
        <v>2571</v>
      </c>
      <c r="R817" s="719">
        <v>102</v>
      </c>
      <c r="S817" s="720">
        <v>80.28</v>
      </c>
      <c r="T817" s="720"/>
      <c r="U817" s="724">
        <v>2561</v>
      </c>
      <c r="V817" s="724" t="str">
        <f t="shared" si="37"/>
        <v>2561</v>
      </c>
      <c r="W817" s="724">
        <v>112</v>
      </c>
      <c r="X817" s="720">
        <v>52</v>
      </c>
    </row>
    <row r="818" spans="16:24" ht="15" x14ac:dyDescent="0.25">
      <c r="P818" s="719">
        <v>2571</v>
      </c>
      <c r="Q818" s="719" t="str">
        <f t="shared" si="36"/>
        <v>2571</v>
      </c>
      <c r="R818" s="719">
        <v>111</v>
      </c>
      <c r="S818" s="720">
        <v>29.49</v>
      </c>
      <c r="T818" s="720"/>
      <c r="U818" s="724">
        <v>2561</v>
      </c>
      <c r="V818" s="724" t="str">
        <f t="shared" si="37"/>
        <v>2561</v>
      </c>
      <c r="W818" s="724">
        <v>130</v>
      </c>
      <c r="X818" s="720">
        <v>14.81</v>
      </c>
    </row>
    <row r="819" spans="16:24" ht="15" x14ac:dyDescent="0.25">
      <c r="P819" s="719">
        <v>2571</v>
      </c>
      <c r="Q819" s="719" t="str">
        <f t="shared" si="36"/>
        <v>2571</v>
      </c>
      <c r="R819" s="719">
        <v>112</v>
      </c>
      <c r="S819" s="720">
        <v>27.97</v>
      </c>
      <c r="T819" s="720"/>
      <c r="U819" s="724">
        <v>2571</v>
      </c>
      <c r="V819" s="724" t="str">
        <f t="shared" si="37"/>
        <v>2571</v>
      </c>
      <c r="W819" s="724">
        <v>101</v>
      </c>
      <c r="X819" s="720">
        <v>118.44</v>
      </c>
    </row>
    <row r="820" spans="16:24" ht="15" x14ac:dyDescent="0.25">
      <c r="P820" s="719">
        <v>2571</v>
      </c>
      <c r="Q820" s="719" t="str">
        <f t="shared" si="36"/>
        <v>2571</v>
      </c>
      <c r="R820" s="719">
        <v>130</v>
      </c>
      <c r="S820" s="720">
        <v>117.39</v>
      </c>
      <c r="T820" s="720"/>
      <c r="U820" s="724">
        <v>2571</v>
      </c>
      <c r="V820" s="724" t="str">
        <f t="shared" si="37"/>
        <v>2571</v>
      </c>
      <c r="W820" s="724">
        <v>102</v>
      </c>
      <c r="X820" s="720">
        <v>78.010000000000005</v>
      </c>
    </row>
    <row r="821" spans="16:24" ht="15" x14ac:dyDescent="0.25">
      <c r="P821" s="719">
        <v>2581</v>
      </c>
      <c r="Q821" s="719" t="str">
        <f t="shared" si="36"/>
        <v>2581</v>
      </c>
      <c r="R821" s="719">
        <v>101</v>
      </c>
      <c r="S821" s="720">
        <v>197.1</v>
      </c>
      <c r="T821" s="720"/>
      <c r="U821" s="724">
        <v>2571</v>
      </c>
      <c r="V821" s="724" t="str">
        <f t="shared" si="37"/>
        <v>2571</v>
      </c>
      <c r="W821" s="724">
        <v>111</v>
      </c>
      <c r="X821" s="720">
        <v>33.5</v>
      </c>
    </row>
    <row r="822" spans="16:24" ht="15" x14ac:dyDescent="0.25">
      <c r="P822" s="719">
        <v>2581</v>
      </c>
      <c r="Q822" s="719" t="str">
        <f t="shared" si="36"/>
        <v>2581</v>
      </c>
      <c r="R822" s="719">
        <v>102</v>
      </c>
      <c r="S822" s="720">
        <v>101.52</v>
      </c>
      <c r="T822" s="720"/>
      <c r="U822" s="724">
        <v>2571</v>
      </c>
      <c r="V822" s="724" t="str">
        <f t="shared" si="37"/>
        <v>2571</v>
      </c>
      <c r="W822" s="724">
        <v>112</v>
      </c>
      <c r="X822" s="720">
        <v>29.5</v>
      </c>
    </row>
    <row r="823" spans="16:24" ht="15" x14ac:dyDescent="0.25">
      <c r="P823" s="719">
        <v>2581</v>
      </c>
      <c r="Q823" s="719" t="str">
        <f t="shared" si="36"/>
        <v>2581</v>
      </c>
      <c r="R823" s="719">
        <v>111</v>
      </c>
      <c r="S823" s="720">
        <v>90.09</v>
      </c>
      <c r="T823" s="720"/>
      <c r="U823" s="724">
        <v>2571</v>
      </c>
      <c r="V823" s="724" t="str">
        <f t="shared" si="37"/>
        <v>2571</v>
      </c>
      <c r="W823" s="724">
        <v>130</v>
      </c>
      <c r="X823" s="720">
        <v>107.41</v>
      </c>
    </row>
    <row r="824" spans="16:24" ht="15" x14ac:dyDescent="0.25">
      <c r="P824" s="719">
        <v>2581</v>
      </c>
      <c r="Q824" s="719" t="str">
        <f t="shared" si="36"/>
        <v>2581</v>
      </c>
      <c r="R824" s="719">
        <v>112</v>
      </c>
      <c r="S824" s="720">
        <v>63.47</v>
      </c>
      <c r="T824" s="720"/>
      <c r="U824" s="724">
        <v>2581</v>
      </c>
      <c r="V824" s="724" t="str">
        <f t="shared" si="37"/>
        <v>2581</v>
      </c>
      <c r="W824" s="724">
        <v>101</v>
      </c>
      <c r="X824" s="720">
        <v>194.59</v>
      </c>
    </row>
    <row r="825" spans="16:24" ht="15" x14ac:dyDescent="0.25">
      <c r="P825" s="719">
        <v>2581</v>
      </c>
      <c r="Q825" s="719" t="str">
        <f t="shared" si="36"/>
        <v>2581</v>
      </c>
      <c r="R825" s="719">
        <v>130</v>
      </c>
      <c r="S825" s="720">
        <v>34.85</v>
      </c>
      <c r="T825" s="720"/>
      <c r="U825" s="724">
        <v>2581</v>
      </c>
      <c r="V825" s="724" t="str">
        <f t="shared" si="37"/>
        <v>2581</v>
      </c>
      <c r="W825" s="724">
        <v>102</v>
      </c>
      <c r="X825" s="720">
        <v>102.02</v>
      </c>
    </row>
    <row r="826" spans="16:24" ht="15" x14ac:dyDescent="0.25">
      <c r="P826" s="719">
        <v>2581</v>
      </c>
      <c r="Q826" s="719" t="str">
        <f t="shared" si="36"/>
        <v>2581</v>
      </c>
      <c r="R826" s="719">
        <v>254</v>
      </c>
      <c r="S826" s="720">
        <v>0.5</v>
      </c>
      <c r="T826" s="720"/>
      <c r="U826" s="724">
        <v>2581</v>
      </c>
      <c r="V826" s="724" t="str">
        <f t="shared" si="37"/>
        <v>2581</v>
      </c>
      <c r="W826" s="724">
        <v>111</v>
      </c>
      <c r="X826" s="720">
        <v>94.5</v>
      </c>
    </row>
    <row r="827" spans="16:24" ht="15" x14ac:dyDescent="0.25">
      <c r="P827" s="719">
        <v>2591</v>
      </c>
      <c r="Q827" s="719" t="str">
        <f t="shared" si="36"/>
        <v>2591</v>
      </c>
      <c r="R827" s="719">
        <v>101</v>
      </c>
      <c r="S827" s="720">
        <v>72.88</v>
      </c>
      <c r="T827" s="720"/>
      <c r="U827" s="724">
        <v>2581</v>
      </c>
      <c r="V827" s="724" t="str">
        <f t="shared" si="37"/>
        <v>2581</v>
      </c>
      <c r="W827" s="724">
        <v>112</v>
      </c>
      <c r="X827" s="720">
        <v>62.96</v>
      </c>
    </row>
    <row r="828" spans="16:24" ht="15" x14ac:dyDescent="0.25">
      <c r="P828" s="719">
        <v>2591</v>
      </c>
      <c r="Q828" s="719" t="str">
        <f t="shared" si="36"/>
        <v>2591</v>
      </c>
      <c r="R828" s="719">
        <v>102</v>
      </c>
      <c r="S828" s="720">
        <v>29.83</v>
      </c>
      <c r="T828" s="720"/>
      <c r="U828" s="724">
        <v>2581</v>
      </c>
      <c r="V828" s="724" t="str">
        <f t="shared" si="37"/>
        <v>2581</v>
      </c>
      <c r="W828" s="724">
        <v>130</v>
      </c>
      <c r="X828" s="720">
        <v>34.89</v>
      </c>
    </row>
    <row r="829" spans="16:24" ht="15" x14ac:dyDescent="0.25">
      <c r="P829" s="719">
        <v>2591</v>
      </c>
      <c r="Q829" s="719" t="str">
        <f t="shared" si="36"/>
        <v>2591</v>
      </c>
      <c r="R829" s="719">
        <v>111</v>
      </c>
      <c r="S829" s="720">
        <v>10.57</v>
      </c>
      <c r="T829" s="720"/>
      <c r="U829" s="724">
        <v>2581</v>
      </c>
      <c r="V829" s="724" t="str">
        <f t="shared" si="37"/>
        <v>2581</v>
      </c>
      <c r="W829" s="724">
        <v>254</v>
      </c>
      <c r="X829" s="720">
        <v>0.5</v>
      </c>
    </row>
    <row r="830" spans="16:24" ht="15" x14ac:dyDescent="0.25">
      <c r="P830" s="719">
        <v>2591</v>
      </c>
      <c r="Q830" s="719" t="str">
        <f t="shared" si="36"/>
        <v>2591</v>
      </c>
      <c r="R830" s="719">
        <v>112</v>
      </c>
      <c r="S830" s="720">
        <v>10.01</v>
      </c>
      <c r="T830" s="720"/>
      <c r="U830" s="724">
        <v>2591</v>
      </c>
      <c r="V830" s="724" t="str">
        <f t="shared" si="37"/>
        <v>2591</v>
      </c>
      <c r="W830" s="724">
        <v>101</v>
      </c>
      <c r="X830" s="720">
        <v>70.760000000000005</v>
      </c>
    </row>
    <row r="831" spans="16:24" ht="15" x14ac:dyDescent="0.25">
      <c r="P831" s="719">
        <v>2591</v>
      </c>
      <c r="Q831" s="719" t="str">
        <f t="shared" si="36"/>
        <v>2591</v>
      </c>
      <c r="R831" s="719">
        <v>130</v>
      </c>
      <c r="S831" s="720">
        <v>8.4499999999999993</v>
      </c>
      <c r="T831" s="720"/>
      <c r="U831" s="724">
        <v>2591</v>
      </c>
      <c r="V831" s="724" t="str">
        <f t="shared" si="37"/>
        <v>2591</v>
      </c>
      <c r="W831" s="724">
        <v>102</v>
      </c>
      <c r="X831" s="720">
        <v>29.49</v>
      </c>
    </row>
    <row r="832" spans="16:24" ht="15" x14ac:dyDescent="0.25">
      <c r="P832" s="719">
        <v>2611</v>
      </c>
      <c r="Q832" s="719" t="str">
        <f t="shared" si="36"/>
        <v>2611</v>
      </c>
      <c r="R832" s="719">
        <v>102</v>
      </c>
      <c r="S832" s="720">
        <v>377.81</v>
      </c>
      <c r="T832" s="720"/>
      <c r="U832" s="724">
        <v>2591</v>
      </c>
      <c r="V832" s="724" t="str">
        <f t="shared" si="37"/>
        <v>2591</v>
      </c>
      <c r="W832" s="724">
        <v>111</v>
      </c>
      <c r="X832" s="720">
        <v>9.0299999999999994</v>
      </c>
    </row>
    <row r="833" spans="16:24" ht="15" x14ac:dyDescent="0.25">
      <c r="P833" s="719">
        <v>2611</v>
      </c>
      <c r="Q833" s="719" t="str">
        <f t="shared" si="36"/>
        <v>2611</v>
      </c>
      <c r="R833" s="719">
        <v>112</v>
      </c>
      <c r="S833" s="720">
        <v>152.91999999999999</v>
      </c>
      <c r="T833" s="720"/>
      <c r="U833" s="724">
        <v>2591</v>
      </c>
      <c r="V833" s="724" t="str">
        <f t="shared" si="37"/>
        <v>2591</v>
      </c>
      <c r="W833" s="724">
        <v>112</v>
      </c>
      <c r="X833" s="720">
        <v>10.55</v>
      </c>
    </row>
    <row r="834" spans="16:24" ht="15" x14ac:dyDescent="0.25">
      <c r="P834" s="719">
        <v>2611</v>
      </c>
      <c r="Q834" s="719" t="str">
        <f t="shared" si="36"/>
        <v>2611</v>
      </c>
      <c r="R834" s="719">
        <v>130</v>
      </c>
      <c r="S834" s="720">
        <v>17.16</v>
      </c>
      <c r="T834" s="720"/>
      <c r="U834" s="724">
        <v>2591</v>
      </c>
      <c r="V834" s="724" t="str">
        <f t="shared" si="37"/>
        <v>2591</v>
      </c>
      <c r="W834" s="724">
        <v>130</v>
      </c>
      <c r="X834" s="720">
        <v>10.35</v>
      </c>
    </row>
    <row r="835" spans="16:24" ht="15" x14ac:dyDescent="0.25">
      <c r="P835" s="719">
        <v>2621</v>
      </c>
      <c r="Q835" s="719" t="str">
        <f t="shared" ref="Q835:Q898" si="38">TEXT(P835,"0000")</f>
        <v>2621</v>
      </c>
      <c r="R835" s="719">
        <v>102</v>
      </c>
      <c r="S835" s="720">
        <v>512.21</v>
      </c>
      <c r="T835" s="720"/>
      <c r="U835" s="724">
        <v>2611</v>
      </c>
      <c r="V835" s="724" t="str">
        <f t="shared" si="37"/>
        <v>2611</v>
      </c>
      <c r="W835" s="724">
        <v>102</v>
      </c>
      <c r="X835" s="720">
        <v>378.11</v>
      </c>
    </row>
    <row r="836" spans="16:24" ht="15" x14ac:dyDescent="0.25">
      <c r="P836" s="719">
        <v>2621</v>
      </c>
      <c r="Q836" s="719" t="str">
        <f t="shared" si="38"/>
        <v>2621</v>
      </c>
      <c r="R836" s="719">
        <v>112</v>
      </c>
      <c r="S836" s="720">
        <v>171.02</v>
      </c>
      <c r="T836" s="720"/>
      <c r="U836" s="724">
        <v>2611</v>
      </c>
      <c r="V836" s="724" t="str">
        <f t="shared" ref="V836:V899" si="39">TEXT(U836,"0000")</f>
        <v>2611</v>
      </c>
      <c r="W836" s="724">
        <v>112</v>
      </c>
      <c r="X836" s="720">
        <v>153.21</v>
      </c>
    </row>
    <row r="837" spans="16:24" ht="15" x14ac:dyDescent="0.25">
      <c r="P837" s="719">
        <v>2621</v>
      </c>
      <c r="Q837" s="719" t="str">
        <f t="shared" si="38"/>
        <v>2621</v>
      </c>
      <c r="R837" s="719">
        <v>130</v>
      </c>
      <c r="S837" s="720">
        <v>14.97</v>
      </c>
      <c r="T837" s="720"/>
      <c r="U837" s="724">
        <v>2611</v>
      </c>
      <c r="V837" s="724" t="str">
        <f t="shared" si="39"/>
        <v>2611</v>
      </c>
      <c r="W837" s="724">
        <v>130</v>
      </c>
      <c r="X837" s="720">
        <v>17.48</v>
      </c>
    </row>
    <row r="838" spans="16:24" ht="15" x14ac:dyDescent="0.25">
      <c r="P838" s="719">
        <v>2621</v>
      </c>
      <c r="Q838" s="719" t="str">
        <f t="shared" si="38"/>
        <v>2621</v>
      </c>
      <c r="R838" s="719">
        <v>254</v>
      </c>
      <c r="S838" s="720">
        <v>0.51</v>
      </c>
      <c r="T838" s="720"/>
      <c r="U838" s="724">
        <v>2621</v>
      </c>
      <c r="V838" s="724" t="str">
        <f t="shared" si="39"/>
        <v>2621</v>
      </c>
      <c r="W838" s="724">
        <v>102</v>
      </c>
      <c r="X838" s="720">
        <v>504.83</v>
      </c>
    </row>
    <row r="839" spans="16:24" ht="15" x14ac:dyDescent="0.25">
      <c r="P839" s="719">
        <v>2631</v>
      </c>
      <c r="Q839" s="719" t="str">
        <f t="shared" si="38"/>
        <v>2631</v>
      </c>
      <c r="R839" s="719">
        <v>103</v>
      </c>
      <c r="S839" s="720">
        <v>903.11</v>
      </c>
      <c r="T839" s="720"/>
      <c r="U839" s="724">
        <v>2621</v>
      </c>
      <c r="V839" s="724" t="str">
        <f t="shared" si="39"/>
        <v>2621</v>
      </c>
      <c r="W839" s="724">
        <v>112</v>
      </c>
      <c r="X839" s="720">
        <v>170.8</v>
      </c>
    </row>
    <row r="840" spans="16:24" ht="15" x14ac:dyDescent="0.25">
      <c r="P840" s="719">
        <v>2631</v>
      </c>
      <c r="Q840" s="719" t="str">
        <f t="shared" si="38"/>
        <v>2631</v>
      </c>
      <c r="R840" s="719">
        <v>113</v>
      </c>
      <c r="S840" s="720">
        <v>190.54</v>
      </c>
      <c r="T840" s="720"/>
      <c r="U840" s="724">
        <v>2621</v>
      </c>
      <c r="V840" s="724" t="str">
        <f t="shared" si="39"/>
        <v>2621</v>
      </c>
      <c r="W840" s="724">
        <v>130</v>
      </c>
      <c r="X840" s="720">
        <v>14.57</v>
      </c>
    </row>
    <row r="841" spans="16:24" ht="15" x14ac:dyDescent="0.25">
      <c r="P841" s="719">
        <v>2631</v>
      </c>
      <c r="Q841" s="719" t="str">
        <f t="shared" si="38"/>
        <v>2631</v>
      </c>
      <c r="R841" s="719">
        <v>130</v>
      </c>
      <c r="S841" s="720">
        <v>79.489999999999995</v>
      </c>
      <c r="T841" s="720"/>
      <c r="U841" s="724">
        <v>2621</v>
      </c>
      <c r="V841" s="724" t="str">
        <f t="shared" si="39"/>
        <v>2621</v>
      </c>
      <c r="W841" s="724">
        <v>254</v>
      </c>
      <c r="X841" s="720">
        <v>0.49</v>
      </c>
    </row>
    <row r="842" spans="16:24" ht="15" x14ac:dyDescent="0.25">
      <c r="P842" s="719">
        <v>2631</v>
      </c>
      <c r="Q842" s="719" t="str">
        <f t="shared" si="38"/>
        <v>2631</v>
      </c>
      <c r="R842" s="719">
        <v>254</v>
      </c>
      <c r="S842" s="720">
        <v>1.99</v>
      </c>
      <c r="T842" s="720"/>
      <c r="U842" s="724">
        <v>2631</v>
      </c>
      <c r="V842" s="724" t="str">
        <f t="shared" si="39"/>
        <v>2631</v>
      </c>
      <c r="W842" s="724">
        <v>103</v>
      </c>
      <c r="X842" s="720">
        <v>884.46</v>
      </c>
    </row>
    <row r="843" spans="16:24" ht="15" x14ac:dyDescent="0.25">
      <c r="P843" s="719">
        <v>2631</v>
      </c>
      <c r="Q843" s="719" t="str">
        <f t="shared" si="38"/>
        <v>2631</v>
      </c>
      <c r="R843" s="719">
        <v>300</v>
      </c>
      <c r="S843" s="720">
        <v>70.739999999999995</v>
      </c>
      <c r="T843" s="720"/>
      <c r="U843" s="724">
        <v>2631</v>
      </c>
      <c r="V843" s="724" t="str">
        <f t="shared" si="39"/>
        <v>2631</v>
      </c>
      <c r="W843" s="724">
        <v>113</v>
      </c>
      <c r="X843" s="720">
        <v>185.2</v>
      </c>
    </row>
    <row r="844" spans="16:24" ht="15" x14ac:dyDescent="0.25">
      <c r="P844" s="719">
        <v>2671</v>
      </c>
      <c r="Q844" s="719" t="str">
        <f t="shared" si="38"/>
        <v>2671</v>
      </c>
      <c r="R844" s="719">
        <v>101</v>
      </c>
      <c r="S844" s="720">
        <v>104.56</v>
      </c>
      <c r="T844" s="720"/>
      <c r="U844" s="724">
        <v>2631</v>
      </c>
      <c r="V844" s="724" t="str">
        <f t="shared" si="39"/>
        <v>2631</v>
      </c>
      <c r="W844" s="724">
        <v>130</v>
      </c>
      <c r="X844" s="720">
        <v>71.930000000000007</v>
      </c>
    </row>
    <row r="845" spans="16:24" ht="15" x14ac:dyDescent="0.25">
      <c r="P845" s="719">
        <v>2671</v>
      </c>
      <c r="Q845" s="719" t="str">
        <f t="shared" si="38"/>
        <v>2671</v>
      </c>
      <c r="R845" s="719">
        <v>102</v>
      </c>
      <c r="S845" s="720">
        <v>60.51</v>
      </c>
      <c r="T845" s="720"/>
      <c r="U845" s="724">
        <v>2631</v>
      </c>
      <c r="V845" s="724" t="str">
        <f t="shared" si="39"/>
        <v>2631</v>
      </c>
      <c r="W845" s="724">
        <v>254</v>
      </c>
      <c r="X845" s="720">
        <v>1.51</v>
      </c>
    </row>
    <row r="846" spans="16:24" ht="15" x14ac:dyDescent="0.25">
      <c r="P846" s="719">
        <v>2671</v>
      </c>
      <c r="Q846" s="719" t="str">
        <f t="shared" si="38"/>
        <v>2671</v>
      </c>
      <c r="R846" s="719">
        <v>111</v>
      </c>
      <c r="S846" s="720">
        <v>53.06</v>
      </c>
      <c r="T846" s="720"/>
      <c r="U846" s="724">
        <v>2631</v>
      </c>
      <c r="V846" s="724" t="str">
        <f t="shared" si="39"/>
        <v>2631</v>
      </c>
      <c r="W846" s="724">
        <v>300</v>
      </c>
      <c r="X846" s="720">
        <v>66.81</v>
      </c>
    </row>
    <row r="847" spans="16:24" ht="15" x14ac:dyDescent="0.25">
      <c r="P847" s="719">
        <v>2671</v>
      </c>
      <c r="Q847" s="719" t="str">
        <f t="shared" si="38"/>
        <v>2671</v>
      </c>
      <c r="R847" s="719">
        <v>112</v>
      </c>
      <c r="S847" s="720">
        <v>39.51</v>
      </c>
      <c r="T847" s="720"/>
      <c r="U847" s="724">
        <v>2671</v>
      </c>
      <c r="V847" s="724" t="str">
        <f t="shared" si="39"/>
        <v>2671</v>
      </c>
      <c r="W847" s="724">
        <v>101</v>
      </c>
      <c r="X847" s="720">
        <v>99.01</v>
      </c>
    </row>
    <row r="848" spans="16:24" ht="15" x14ac:dyDescent="0.25">
      <c r="P848" s="719">
        <v>2671</v>
      </c>
      <c r="Q848" s="719" t="str">
        <f t="shared" si="38"/>
        <v>2671</v>
      </c>
      <c r="R848" s="719">
        <v>130</v>
      </c>
      <c r="S848" s="720">
        <v>71.900000000000006</v>
      </c>
      <c r="T848" s="720"/>
      <c r="U848" s="724">
        <v>2671</v>
      </c>
      <c r="V848" s="724" t="str">
        <f t="shared" si="39"/>
        <v>2671</v>
      </c>
      <c r="W848" s="724">
        <v>102</v>
      </c>
      <c r="X848" s="720">
        <v>59.44</v>
      </c>
    </row>
    <row r="849" spans="16:24" ht="15" x14ac:dyDescent="0.25">
      <c r="P849" s="719">
        <v>2671</v>
      </c>
      <c r="Q849" s="719" t="str">
        <f t="shared" si="38"/>
        <v>2671</v>
      </c>
      <c r="R849" s="719">
        <v>254</v>
      </c>
      <c r="S849" s="720">
        <v>0.5</v>
      </c>
      <c r="T849" s="720"/>
      <c r="U849" s="724">
        <v>2671</v>
      </c>
      <c r="V849" s="724" t="str">
        <f t="shared" si="39"/>
        <v>2671</v>
      </c>
      <c r="W849" s="724">
        <v>111</v>
      </c>
      <c r="X849" s="720">
        <v>63.2</v>
      </c>
    </row>
    <row r="850" spans="16:24" ht="15" x14ac:dyDescent="0.25">
      <c r="P850" s="719">
        <v>2691</v>
      </c>
      <c r="Q850" s="719" t="str">
        <f t="shared" si="38"/>
        <v>2691</v>
      </c>
      <c r="R850" s="719">
        <v>101</v>
      </c>
      <c r="S850" s="720">
        <v>242.19</v>
      </c>
      <c r="T850" s="720"/>
      <c r="U850" s="724">
        <v>2671</v>
      </c>
      <c r="V850" s="724" t="str">
        <f t="shared" si="39"/>
        <v>2671</v>
      </c>
      <c r="W850" s="724">
        <v>112</v>
      </c>
      <c r="X850" s="720">
        <v>38</v>
      </c>
    </row>
    <row r="851" spans="16:24" ht="15" x14ac:dyDescent="0.25">
      <c r="P851" s="719">
        <v>2691</v>
      </c>
      <c r="Q851" s="719" t="str">
        <f t="shared" si="38"/>
        <v>2691</v>
      </c>
      <c r="R851" s="719">
        <v>102</v>
      </c>
      <c r="S851" s="720">
        <v>143.6</v>
      </c>
      <c r="T851" s="720"/>
      <c r="U851" s="724">
        <v>2671</v>
      </c>
      <c r="V851" s="724" t="str">
        <f t="shared" si="39"/>
        <v>2671</v>
      </c>
      <c r="W851" s="724">
        <v>130</v>
      </c>
      <c r="X851" s="720">
        <v>72.540000000000006</v>
      </c>
    </row>
    <row r="852" spans="16:24" ht="15" x14ac:dyDescent="0.25">
      <c r="P852" s="719">
        <v>2691</v>
      </c>
      <c r="Q852" s="719" t="str">
        <f t="shared" si="38"/>
        <v>2691</v>
      </c>
      <c r="R852" s="719">
        <v>111</v>
      </c>
      <c r="S852" s="720">
        <v>64.7</v>
      </c>
      <c r="T852" s="720"/>
      <c r="U852" s="724">
        <v>2671</v>
      </c>
      <c r="V852" s="724" t="str">
        <f t="shared" si="39"/>
        <v>2671</v>
      </c>
      <c r="W852" s="724">
        <v>254</v>
      </c>
      <c r="X852" s="720">
        <v>0.98</v>
      </c>
    </row>
    <row r="853" spans="16:24" ht="15" x14ac:dyDescent="0.25">
      <c r="P853" s="719">
        <v>2691</v>
      </c>
      <c r="Q853" s="719" t="str">
        <f t="shared" si="38"/>
        <v>2691</v>
      </c>
      <c r="R853" s="719">
        <v>112</v>
      </c>
      <c r="S853" s="720">
        <v>33</v>
      </c>
      <c r="T853" s="720"/>
      <c r="U853" s="724">
        <v>2691</v>
      </c>
      <c r="V853" s="724" t="str">
        <f t="shared" si="39"/>
        <v>2691</v>
      </c>
      <c r="W853" s="724">
        <v>101</v>
      </c>
      <c r="X853" s="720">
        <v>243.29</v>
      </c>
    </row>
    <row r="854" spans="16:24" ht="15" x14ac:dyDescent="0.25">
      <c r="P854" s="719">
        <v>2691</v>
      </c>
      <c r="Q854" s="719" t="str">
        <f t="shared" si="38"/>
        <v>2691</v>
      </c>
      <c r="R854" s="719">
        <v>130</v>
      </c>
      <c r="S854" s="720">
        <v>41.04</v>
      </c>
      <c r="T854" s="720"/>
      <c r="U854" s="724">
        <v>2691</v>
      </c>
      <c r="V854" s="724" t="str">
        <f t="shared" si="39"/>
        <v>2691</v>
      </c>
      <c r="W854" s="724">
        <v>102</v>
      </c>
      <c r="X854" s="720">
        <v>144.44999999999999</v>
      </c>
    </row>
    <row r="855" spans="16:24" ht="15" x14ac:dyDescent="0.25">
      <c r="P855" s="719">
        <v>2691</v>
      </c>
      <c r="Q855" s="719" t="str">
        <f t="shared" si="38"/>
        <v>2691</v>
      </c>
      <c r="R855" s="719">
        <v>254</v>
      </c>
      <c r="S855" s="720">
        <v>0.5</v>
      </c>
      <c r="T855" s="720"/>
      <c r="U855" s="724">
        <v>2691</v>
      </c>
      <c r="V855" s="724" t="str">
        <f t="shared" si="39"/>
        <v>2691</v>
      </c>
      <c r="W855" s="724">
        <v>111</v>
      </c>
      <c r="X855" s="720">
        <v>68.709999999999994</v>
      </c>
    </row>
    <row r="856" spans="16:24" ht="15" x14ac:dyDescent="0.25">
      <c r="P856" s="719">
        <v>2701</v>
      </c>
      <c r="Q856" s="719" t="str">
        <f t="shared" si="38"/>
        <v>2701</v>
      </c>
      <c r="R856" s="719">
        <v>102</v>
      </c>
      <c r="S856" s="720">
        <v>278.64</v>
      </c>
      <c r="T856" s="720"/>
      <c r="U856" s="724">
        <v>2691</v>
      </c>
      <c r="V856" s="724" t="str">
        <f t="shared" si="39"/>
        <v>2691</v>
      </c>
      <c r="W856" s="724">
        <v>112</v>
      </c>
      <c r="X856" s="720">
        <v>31.5</v>
      </c>
    </row>
    <row r="857" spans="16:24" ht="15" x14ac:dyDescent="0.25">
      <c r="P857" s="719">
        <v>2701</v>
      </c>
      <c r="Q857" s="719" t="str">
        <f t="shared" si="38"/>
        <v>2701</v>
      </c>
      <c r="R857" s="719">
        <v>112</v>
      </c>
      <c r="S857" s="720">
        <v>70.540000000000006</v>
      </c>
      <c r="T857" s="720"/>
      <c r="U857" s="724">
        <v>2691</v>
      </c>
      <c r="V857" s="724" t="str">
        <f t="shared" si="39"/>
        <v>2691</v>
      </c>
      <c r="W857" s="724">
        <v>130</v>
      </c>
      <c r="X857" s="720">
        <v>39.020000000000003</v>
      </c>
    </row>
    <row r="858" spans="16:24" ht="15" x14ac:dyDescent="0.25">
      <c r="P858" s="719">
        <v>2701</v>
      </c>
      <c r="Q858" s="719" t="str">
        <f t="shared" si="38"/>
        <v>2701</v>
      </c>
      <c r="R858" s="719">
        <v>130</v>
      </c>
      <c r="S858" s="720">
        <v>60.28</v>
      </c>
      <c r="T858" s="720"/>
      <c r="U858" s="724">
        <v>2691</v>
      </c>
      <c r="V858" s="724" t="str">
        <f t="shared" si="39"/>
        <v>2691</v>
      </c>
      <c r="W858" s="724">
        <v>254</v>
      </c>
      <c r="X858" s="720">
        <v>0</v>
      </c>
    </row>
    <row r="859" spans="16:24" ht="15" x14ac:dyDescent="0.25">
      <c r="P859" s="719">
        <v>2701</v>
      </c>
      <c r="Q859" s="719" t="str">
        <f t="shared" si="38"/>
        <v>2701</v>
      </c>
      <c r="R859" s="719">
        <v>254</v>
      </c>
      <c r="S859" s="720">
        <v>0.5</v>
      </c>
      <c r="T859" s="720"/>
      <c r="U859" s="724">
        <v>2701</v>
      </c>
      <c r="V859" s="724" t="str">
        <f t="shared" si="39"/>
        <v>2701</v>
      </c>
      <c r="W859" s="724">
        <v>102</v>
      </c>
      <c r="X859" s="720">
        <v>281.39999999999998</v>
      </c>
    </row>
    <row r="860" spans="16:24" ht="15" x14ac:dyDescent="0.25">
      <c r="P860" s="719">
        <v>2711</v>
      </c>
      <c r="Q860" s="719" t="str">
        <f t="shared" si="38"/>
        <v>2711</v>
      </c>
      <c r="R860" s="719">
        <v>102</v>
      </c>
      <c r="S860" s="720">
        <v>559.54</v>
      </c>
      <c r="T860" s="720"/>
      <c r="U860" s="724">
        <v>2701</v>
      </c>
      <c r="V860" s="724" t="str">
        <f t="shared" si="39"/>
        <v>2701</v>
      </c>
      <c r="W860" s="724">
        <v>112</v>
      </c>
      <c r="X860" s="720">
        <v>71.180000000000007</v>
      </c>
    </row>
    <row r="861" spans="16:24" ht="15" x14ac:dyDescent="0.25">
      <c r="P861" s="719">
        <v>2711</v>
      </c>
      <c r="Q861" s="719" t="str">
        <f t="shared" si="38"/>
        <v>2711</v>
      </c>
      <c r="R861" s="719">
        <v>112</v>
      </c>
      <c r="S861" s="720">
        <v>73.53</v>
      </c>
      <c r="T861" s="720"/>
      <c r="U861" s="724">
        <v>2701</v>
      </c>
      <c r="V861" s="724" t="str">
        <f t="shared" si="39"/>
        <v>2701</v>
      </c>
      <c r="W861" s="724">
        <v>130</v>
      </c>
      <c r="X861" s="720">
        <v>59.62</v>
      </c>
    </row>
    <row r="862" spans="16:24" ht="15" x14ac:dyDescent="0.25">
      <c r="P862" s="719">
        <v>2711</v>
      </c>
      <c r="Q862" s="719" t="str">
        <f t="shared" si="38"/>
        <v>2711</v>
      </c>
      <c r="R862" s="719">
        <v>130</v>
      </c>
      <c r="S862" s="720">
        <v>10.38</v>
      </c>
      <c r="T862" s="720"/>
      <c r="U862" s="724">
        <v>2701</v>
      </c>
      <c r="V862" s="724" t="str">
        <f t="shared" si="39"/>
        <v>2701</v>
      </c>
      <c r="W862" s="724">
        <v>254</v>
      </c>
      <c r="X862" s="720">
        <v>0.5</v>
      </c>
    </row>
    <row r="863" spans="16:24" ht="15" x14ac:dyDescent="0.25">
      <c r="P863" s="719">
        <v>2721</v>
      </c>
      <c r="Q863" s="719" t="str">
        <f t="shared" si="38"/>
        <v>2721</v>
      </c>
      <c r="R863" s="719">
        <v>101</v>
      </c>
      <c r="S863" s="720">
        <v>229.46</v>
      </c>
      <c r="T863" s="720"/>
      <c r="U863" s="724">
        <v>2711</v>
      </c>
      <c r="V863" s="724" t="str">
        <f t="shared" si="39"/>
        <v>2711</v>
      </c>
      <c r="W863" s="724">
        <v>102</v>
      </c>
      <c r="X863" s="720">
        <v>557.76</v>
      </c>
    </row>
    <row r="864" spans="16:24" ht="15" x14ac:dyDescent="0.25">
      <c r="P864" s="719">
        <v>2721</v>
      </c>
      <c r="Q864" s="719" t="str">
        <f t="shared" si="38"/>
        <v>2721</v>
      </c>
      <c r="R864" s="719">
        <v>102</v>
      </c>
      <c r="S864" s="720">
        <v>131.91</v>
      </c>
      <c r="T864" s="720"/>
      <c r="U864" s="724">
        <v>2711</v>
      </c>
      <c r="V864" s="724" t="str">
        <f t="shared" si="39"/>
        <v>2711</v>
      </c>
      <c r="W864" s="724">
        <v>112</v>
      </c>
      <c r="X864" s="720">
        <v>68.33</v>
      </c>
    </row>
    <row r="865" spans="16:24" ht="15" x14ac:dyDescent="0.25">
      <c r="P865" s="719">
        <v>2721</v>
      </c>
      <c r="Q865" s="719" t="str">
        <f t="shared" si="38"/>
        <v>2721</v>
      </c>
      <c r="R865" s="719">
        <v>111</v>
      </c>
      <c r="S865" s="720">
        <v>52</v>
      </c>
      <c r="T865" s="720"/>
      <c r="U865" s="724">
        <v>2711</v>
      </c>
      <c r="V865" s="724" t="str">
        <f t="shared" si="39"/>
        <v>2711</v>
      </c>
      <c r="W865" s="724">
        <v>130</v>
      </c>
      <c r="X865" s="720">
        <v>7.66</v>
      </c>
    </row>
    <row r="866" spans="16:24" ht="15" x14ac:dyDescent="0.25">
      <c r="P866" s="719">
        <v>2721</v>
      </c>
      <c r="Q866" s="719" t="str">
        <f t="shared" si="38"/>
        <v>2721</v>
      </c>
      <c r="R866" s="719">
        <v>112</v>
      </c>
      <c r="S866" s="720">
        <v>40.51</v>
      </c>
      <c r="T866" s="720"/>
      <c r="U866" s="724">
        <v>2721</v>
      </c>
      <c r="V866" s="724" t="str">
        <f t="shared" si="39"/>
        <v>2721</v>
      </c>
      <c r="W866" s="724">
        <v>101</v>
      </c>
      <c r="X866" s="720">
        <v>227.6</v>
      </c>
    </row>
    <row r="867" spans="16:24" ht="15" x14ac:dyDescent="0.25">
      <c r="P867" s="719">
        <v>2721</v>
      </c>
      <c r="Q867" s="719" t="str">
        <f t="shared" si="38"/>
        <v>2721</v>
      </c>
      <c r="R867" s="719">
        <v>130</v>
      </c>
      <c r="S867" s="720">
        <v>36.880000000000003</v>
      </c>
      <c r="T867" s="720"/>
      <c r="U867" s="724">
        <v>2721</v>
      </c>
      <c r="V867" s="724" t="str">
        <f t="shared" si="39"/>
        <v>2721</v>
      </c>
      <c r="W867" s="724">
        <v>102</v>
      </c>
      <c r="X867" s="720">
        <v>133.68</v>
      </c>
    </row>
    <row r="868" spans="16:24" ht="15" x14ac:dyDescent="0.25">
      <c r="P868" s="719">
        <v>2721</v>
      </c>
      <c r="Q868" s="719" t="str">
        <f t="shared" si="38"/>
        <v>2721</v>
      </c>
      <c r="R868" s="719">
        <v>254</v>
      </c>
      <c r="S868" s="720">
        <v>1.5</v>
      </c>
      <c r="T868" s="720"/>
      <c r="U868" s="724">
        <v>2721</v>
      </c>
      <c r="V868" s="724" t="str">
        <f t="shared" si="39"/>
        <v>2721</v>
      </c>
      <c r="W868" s="724">
        <v>111</v>
      </c>
      <c r="X868" s="720">
        <v>55</v>
      </c>
    </row>
    <row r="869" spans="16:24" ht="15" x14ac:dyDescent="0.25">
      <c r="P869" s="719">
        <v>2731</v>
      </c>
      <c r="Q869" s="719" t="str">
        <f t="shared" si="38"/>
        <v>2731</v>
      </c>
      <c r="R869" s="719">
        <v>101</v>
      </c>
      <c r="S869" s="720">
        <v>85.56</v>
      </c>
      <c r="T869" s="720"/>
      <c r="U869" s="724">
        <v>2721</v>
      </c>
      <c r="V869" s="724" t="str">
        <f t="shared" si="39"/>
        <v>2721</v>
      </c>
      <c r="W869" s="724">
        <v>112</v>
      </c>
      <c r="X869" s="720">
        <v>38.99</v>
      </c>
    </row>
    <row r="870" spans="16:24" ht="15" x14ac:dyDescent="0.25">
      <c r="P870" s="719">
        <v>2731</v>
      </c>
      <c r="Q870" s="719" t="str">
        <f t="shared" si="38"/>
        <v>2731</v>
      </c>
      <c r="R870" s="719">
        <v>102</v>
      </c>
      <c r="S870" s="720">
        <v>59.56</v>
      </c>
      <c r="T870" s="720"/>
      <c r="U870" s="724">
        <v>2721</v>
      </c>
      <c r="V870" s="724" t="str">
        <f t="shared" si="39"/>
        <v>2721</v>
      </c>
      <c r="W870" s="724">
        <v>130</v>
      </c>
      <c r="X870" s="720">
        <v>35.31</v>
      </c>
    </row>
    <row r="871" spans="16:24" ht="15" x14ac:dyDescent="0.25">
      <c r="P871" s="719">
        <v>2731</v>
      </c>
      <c r="Q871" s="719" t="str">
        <f t="shared" si="38"/>
        <v>2731</v>
      </c>
      <c r="R871" s="719">
        <v>111</v>
      </c>
      <c r="S871" s="720">
        <v>35.99</v>
      </c>
      <c r="T871" s="720"/>
      <c r="U871" s="724">
        <v>2721</v>
      </c>
      <c r="V871" s="724" t="str">
        <f t="shared" si="39"/>
        <v>2721</v>
      </c>
      <c r="W871" s="724">
        <v>254</v>
      </c>
      <c r="X871" s="720">
        <v>2</v>
      </c>
    </row>
    <row r="872" spans="16:24" ht="15" x14ac:dyDescent="0.25">
      <c r="P872" s="719">
        <v>2731</v>
      </c>
      <c r="Q872" s="719" t="str">
        <f t="shared" si="38"/>
        <v>2731</v>
      </c>
      <c r="R872" s="719">
        <v>112</v>
      </c>
      <c r="S872" s="720">
        <v>23.64</v>
      </c>
      <c r="T872" s="720"/>
      <c r="U872" s="724">
        <v>2731</v>
      </c>
      <c r="V872" s="724" t="str">
        <f t="shared" si="39"/>
        <v>2731</v>
      </c>
      <c r="W872" s="724">
        <v>101</v>
      </c>
      <c r="X872" s="720">
        <v>86.47</v>
      </c>
    </row>
    <row r="873" spans="16:24" ht="15" x14ac:dyDescent="0.25">
      <c r="P873" s="719">
        <v>2731</v>
      </c>
      <c r="Q873" s="719" t="str">
        <f t="shared" si="38"/>
        <v>2731</v>
      </c>
      <c r="R873" s="719">
        <v>130</v>
      </c>
      <c r="S873" s="720">
        <v>64.8</v>
      </c>
      <c r="T873" s="720"/>
      <c r="U873" s="724">
        <v>2731</v>
      </c>
      <c r="V873" s="724" t="str">
        <f t="shared" si="39"/>
        <v>2731</v>
      </c>
      <c r="W873" s="724">
        <v>102</v>
      </c>
      <c r="X873" s="720">
        <v>61.34</v>
      </c>
    </row>
    <row r="874" spans="16:24" ht="15" x14ac:dyDescent="0.25">
      <c r="P874" s="719">
        <v>2731</v>
      </c>
      <c r="Q874" s="719" t="str">
        <f t="shared" si="38"/>
        <v>2731</v>
      </c>
      <c r="R874" s="719">
        <v>254</v>
      </c>
      <c r="S874" s="720">
        <v>0.5</v>
      </c>
      <c r="T874" s="720"/>
      <c r="U874" s="724">
        <v>2731</v>
      </c>
      <c r="V874" s="724" t="str">
        <f t="shared" si="39"/>
        <v>2731</v>
      </c>
      <c r="W874" s="724">
        <v>111</v>
      </c>
      <c r="X874" s="720">
        <v>42.59</v>
      </c>
    </row>
    <row r="875" spans="16:24" ht="15" x14ac:dyDescent="0.25">
      <c r="P875" s="719">
        <v>2741</v>
      </c>
      <c r="Q875" s="719" t="str">
        <f t="shared" si="38"/>
        <v>2741</v>
      </c>
      <c r="R875" s="719">
        <v>101</v>
      </c>
      <c r="S875" s="720">
        <v>132.88999999999999</v>
      </c>
      <c r="T875" s="720"/>
      <c r="U875" s="724">
        <v>2731</v>
      </c>
      <c r="V875" s="724" t="str">
        <f t="shared" si="39"/>
        <v>2731</v>
      </c>
      <c r="W875" s="724">
        <v>112</v>
      </c>
      <c r="X875" s="720">
        <v>24.9</v>
      </c>
    </row>
    <row r="876" spans="16:24" ht="15" x14ac:dyDescent="0.25">
      <c r="P876" s="719">
        <v>2741</v>
      </c>
      <c r="Q876" s="719" t="str">
        <f t="shared" si="38"/>
        <v>2741</v>
      </c>
      <c r="R876" s="719">
        <v>102</v>
      </c>
      <c r="S876" s="720">
        <v>77.25</v>
      </c>
      <c r="T876" s="720"/>
      <c r="U876" s="724">
        <v>2731</v>
      </c>
      <c r="V876" s="724" t="str">
        <f t="shared" si="39"/>
        <v>2731</v>
      </c>
      <c r="W876" s="724">
        <v>130</v>
      </c>
      <c r="X876" s="720">
        <v>63.87</v>
      </c>
    </row>
    <row r="877" spans="16:24" ht="15" x14ac:dyDescent="0.25">
      <c r="P877" s="719">
        <v>2741</v>
      </c>
      <c r="Q877" s="719" t="str">
        <f t="shared" si="38"/>
        <v>2741</v>
      </c>
      <c r="R877" s="719">
        <v>111</v>
      </c>
      <c r="S877" s="720">
        <v>51.51</v>
      </c>
      <c r="T877" s="720"/>
      <c r="U877" s="724">
        <v>2731</v>
      </c>
      <c r="V877" s="724" t="str">
        <f t="shared" si="39"/>
        <v>2731</v>
      </c>
      <c r="W877" s="724">
        <v>254</v>
      </c>
      <c r="X877" s="720">
        <v>0.48</v>
      </c>
    </row>
    <row r="878" spans="16:24" ht="15" x14ac:dyDescent="0.25">
      <c r="P878" s="719">
        <v>2741</v>
      </c>
      <c r="Q878" s="719" t="str">
        <f t="shared" si="38"/>
        <v>2741</v>
      </c>
      <c r="R878" s="719">
        <v>112</v>
      </c>
      <c r="S878" s="720">
        <v>28.5</v>
      </c>
      <c r="T878" s="720"/>
      <c r="U878" s="724">
        <v>2741</v>
      </c>
      <c r="V878" s="724" t="str">
        <f t="shared" si="39"/>
        <v>2741</v>
      </c>
      <c r="W878" s="724">
        <v>101</v>
      </c>
      <c r="X878" s="720">
        <v>130.63</v>
      </c>
    </row>
    <row r="879" spans="16:24" ht="15" x14ac:dyDescent="0.25">
      <c r="P879" s="719">
        <v>2741</v>
      </c>
      <c r="Q879" s="719" t="str">
        <f t="shared" si="38"/>
        <v>2741</v>
      </c>
      <c r="R879" s="719">
        <v>130</v>
      </c>
      <c r="S879" s="720">
        <v>18.53</v>
      </c>
      <c r="T879" s="720"/>
      <c r="U879" s="724">
        <v>2741</v>
      </c>
      <c r="V879" s="724" t="str">
        <f t="shared" si="39"/>
        <v>2741</v>
      </c>
      <c r="W879" s="724">
        <v>102</v>
      </c>
      <c r="X879" s="720">
        <v>77.17</v>
      </c>
    </row>
    <row r="880" spans="16:24" ht="15" x14ac:dyDescent="0.25">
      <c r="P880" s="719">
        <v>2741</v>
      </c>
      <c r="Q880" s="719" t="str">
        <f t="shared" si="38"/>
        <v>2741</v>
      </c>
      <c r="R880" s="719">
        <v>254</v>
      </c>
      <c r="S880" s="720">
        <v>3.5</v>
      </c>
      <c r="T880" s="720"/>
      <c r="U880" s="724">
        <v>2741</v>
      </c>
      <c r="V880" s="724" t="str">
        <f t="shared" si="39"/>
        <v>2741</v>
      </c>
      <c r="W880" s="724">
        <v>111</v>
      </c>
      <c r="X880" s="720">
        <v>58.05</v>
      </c>
    </row>
    <row r="881" spans="16:24" ht="15" x14ac:dyDescent="0.25">
      <c r="P881" s="719">
        <v>2751</v>
      </c>
      <c r="Q881" s="719" t="str">
        <f t="shared" si="38"/>
        <v>2751</v>
      </c>
      <c r="R881" s="719">
        <v>101</v>
      </c>
      <c r="S881" s="720">
        <v>63.69</v>
      </c>
      <c r="T881" s="720"/>
      <c r="U881" s="724">
        <v>2741</v>
      </c>
      <c r="V881" s="724" t="str">
        <f t="shared" si="39"/>
        <v>2741</v>
      </c>
      <c r="W881" s="724">
        <v>112</v>
      </c>
      <c r="X881" s="720">
        <v>30</v>
      </c>
    </row>
    <row r="882" spans="16:24" ht="15" x14ac:dyDescent="0.25">
      <c r="P882" s="719">
        <v>2751</v>
      </c>
      <c r="Q882" s="719" t="str">
        <f t="shared" si="38"/>
        <v>2751</v>
      </c>
      <c r="R882" s="719">
        <v>102</v>
      </c>
      <c r="S882" s="720">
        <v>33.729999999999997</v>
      </c>
      <c r="T882" s="720"/>
      <c r="U882" s="724">
        <v>2741</v>
      </c>
      <c r="V882" s="724" t="str">
        <f t="shared" si="39"/>
        <v>2741</v>
      </c>
      <c r="W882" s="724">
        <v>130</v>
      </c>
      <c r="X882" s="720">
        <v>18.53</v>
      </c>
    </row>
    <row r="883" spans="16:24" ht="15" x14ac:dyDescent="0.25">
      <c r="P883" s="719">
        <v>2751</v>
      </c>
      <c r="Q883" s="719" t="str">
        <f t="shared" si="38"/>
        <v>2751</v>
      </c>
      <c r="R883" s="719">
        <v>111</v>
      </c>
      <c r="S883" s="720">
        <v>35.799999999999997</v>
      </c>
      <c r="T883" s="720"/>
      <c r="U883" s="724">
        <v>2741</v>
      </c>
      <c r="V883" s="724" t="str">
        <f t="shared" si="39"/>
        <v>2741</v>
      </c>
      <c r="W883" s="724">
        <v>254</v>
      </c>
      <c r="X883" s="720">
        <v>3.5</v>
      </c>
    </row>
    <row r="884" spans="16:24" ht="15" x14ac:dyDescent="0.25">
      <c r="P884" s="719">
        <v>2751</v>
      </c>
      <c r="Q884" s="719" t="str">
        <f t="shared" si="38"/>
        <v>2751</v>
      </c>
      <c r="R884" s="719">
        <v>112</v>
      </c>
      <c r="S884" s="720">
        <v>7</v>
      </c>
      <c r="T884" s="720"/>
      <c r="U884" s="724">
        <v>2751</v>
      </c>
      <c r="V884" s="724" t="str">
        <f t="shared" si="39"/>
        <v>2751</v>
      </c>
      <c r="W884" s="724">
        <v>101</v>
      </c>
      <c r="X884" s="720">
        <v>58.57</v>
      </c>
    </row>
    <row r="885" spans="16:24" ht="15" x14ac:dyDescent="0.25">
      <c r="P885" s="719">
        <v>2751</v>
      </c>
      <c r="Q885" s="719" t="str">
        <f t="shared" si="38"/>
        <v>2751</v>
      </c>
      <c r="R885" s="719">
        <v>130</v>
      </c>
      <c r="S885" s="720">
        <v>52.22</v>
      </c>
      <c r="T885" s="720"/>
      <c r="U885" s="724">
        <v>2751</v>
      </c>
      <c r="V885" s="724" t="str">
        <f t="shared" si="39"/>
        <v>2751</v>
      </c>
      <c r="W885" s="724">
        <v>102</v>
      </c>
      <c r="X885" s="720">
        <v>29.9</v>
      </c>
    </row>
    <row r="886" spans="16:24" ht="15" x14ac:dyDescent="0.25">
      <c r="P886" s="719">
        <v>2751</v>
      </c>
      <c r="Q886" s="719" t="str">
        <f t="shared" si="38"/>
        <v>2751</v>
      </c>
      <c r="R886" s="719">
        <v>254</v>
      </c>
      <c r="S886" s="720">
        <v>1.81</v>
      </c>
      <c r="T886" s="720"/>
      <c r="U886" s="724">
        <v>2751</v>
      </c>
      <c r="V886" s="724" t="str">
        <f t="shared" si="39"/>
        <v>2751</v>
      </c>
      <c r="W886" s="724">
        <v>111</v>
      </c>
      <c r="X886" s="720">
        <v>38.74</v>
      </c>
    </row>
    <row r="887" spans="16:24" ht="15" x14ac:dyDescent="0.25">
      <c r="P887" s="719">
        <v>2751</v>
      </c>
      <c r="Q887" s="719" t="str">
        <f t="shared" si="38"/>
        <v>2751</v>
      </c>
      <c r="R887" s="719">
        <v>255</v>
      </c>
      <c r="S887" s="720">
        <v>0.5</v>
      </c>
      <c r="T887" s="720"/>
      <c r="U887" s="724">
        <v>2751</v>
      </c>
      <c r="V887" s="724" t="str">
        <f t="shared" si="39"/>
        <v>2751</v>
      </c>
      <c r="W887" s="724">
        <v>112</v>
      </c>
      <c r="X887" s="720">
        <v>9.64</v>
      </c>
    </row>
    <row r="888" spans="16:24" ht="15" x14ac:dyDescent="0.25">
      <c r="P888" s="719">
        <v>2761</v>
      </c>
      <c r="Q888" s="719" t="str">
        <f t="shared" si="38"/>
        <v>2761</v>
      </c>
      <c r="R888" s="719">
        <v>101</v>
      </c>
      <c r="S888" s="720">
        <v>115.8</v>
      </c>
      <c r="T888" s="720"/>
      <c r="U888" s="724">
        <v>2751</v>
      </c>
      <c r="V888" s="724" t="str">
        <f t="shared" si="39"/>
        <v>2751</v>
      </c>
      <c r="W888" s="724">
        <v>130</v>
      </c>
      <c r="X888" s="720">
        <v>52.39</v>
      </c>
    </row>
    <row r="889" spans="16:24" ht="15" x14ac:dyDescent="0.25">
      <c r="P889" s="719">
        <v>2761</v>
      </c>
      <c r="Q889" s="719" t="str">
        <f t="shared" si="38"/>
        <v>2761</v>
      </c>
      <c r="R889" s="719">
        <v>102</v>
      </c>
      <c r="S889" s="720">
        <v>79.73</v>
      </c>
      <c r="T889" s="720"/>
      <c r="U889" s="724">
        <v>2751</v>
      </c>
      <c r="V889" s="724" t="str">
        <f t="shared" si="39"/>
        <v>2751</v>
      </c>
      <c r="W889" s="724">
        <v>254</v>
      </c>
      <c r="X889" s="720">
        <v>1.31</v>
      </c>
    </row>
    <row r="890" spans="16:24" ht="15" x14ac:dyDescent="0.25">
      <c r="P890" s="719">
        <v>2761</v>
      </c>
      <c r="Q890" s="719" t="str">
        <f t="shared" si="38"/>
        <v>2761</v>
      </c>
      <c r="R890" s="719">
        <v>111</v>
      </c>
      <c r="S890" s="720">
        <v>54.47</v>
      </c>
      <c r="T890" s="720"/>
      <c r="U890" s="724">
        <v>2751</v>
      </c>
      <c r="V890" s="724" t="str">
        <f t="shared" si="39"/>
        <v>2751</v>
      </c>
      <c r="W890" s="724">
        <v>255</v>
      </c>
      <c r="X890" s="720">
        <v>0.5</v>
      </c>
    </row>
    <row r="891" spans="16:24" ht="15" x14ac:dyDescent="0.25">
      <c r="P891" s="719">
        <v>2761</v>
      </c>
      <c r="Q891" s="719" t="str">
        <f t="shared" si="38"/>
        <v>2761</v>
      </c>
      <c r="R891" s="719">
        <v>112</v>
      </c>
      <c r="S891" s="720">
        <v>22.47</v>
      </c>
      <c r="T891" s="720"/>
      <c r="U891" s="724">
        <v>2761</v>
      </c>
      <c r="V891" s="724" t="str">
        <f t="shared" si="39"/>
        <v>2761</v>
      </c>
      <c r="W891" s="724">
        <v>101</v>
      </c>
      <c r="X891" s="720">
        <v>115.41</v>
      </c>
    </row>
    <row r="892" spans="16:24" ht="15" x14ac:dyDescent="0.25">
      <c r="P892" s="719">
        <v>2761</v>
      </c>
      <c r="Q892" s="719" t="str">
        <f t="shared" si="38"/>
        <v>2761</v>
      </c>
      <c r="R892" s="719">
        <v>130</v>
      </c>
      <c r="S892" s="720">
        <v>176.94</v>
      </c>
      <c r="T892" s="720"/>
      <c r="U892" s="724">
        <v>2761</v>
      </c>
      <c r="V892" s="724" t="str">
        <f t="shared" si="39"/>
        <v>2761</v>
      </c>
      <c r="W892" s="724">
        <v>102</v>
      </c>
      <c r="X892" s="720">
        <v>79.84</v>
      </c>
    </row>
    <row r="893" spans="16:24" ht="15" x14ac:dyDescent="0.25">
      <c r="P893" s="719">
        <v>2761</v>
      </c>
      <c r="Q893" s="719" t="str">
        <f t="shared" si="38"/>
        <v>2761</v>
      </c>
      <c r="R893" s="719">
        <v>254</v>
      </c>
      <c r="S893" s="720">
        <v>4.5</v>
      </c>
      <c r="T893" s="720"/>
      <c r="U893" s="724">
        <v>2761</v>
      </c>
      <c r="V893" s="724" t="str">
        <f t="shared" si="39"/>
        <v>2761</v>
      </c>
      <c r="W893" s="724">
        <v>111</v>
      </c>
      <c r="X893" s="720">
        <v>57.99</v>
      </c>
    </row>
    <row r="894" spans="16:24" ht="15" x14ac:dyDescent="0.25">
      <c r="P894" s="719">
        <v>2781</v>
      </c>
      <c r="Q894" s="719" t="str">
        <f t="shared" si="38"/>
        <v>2781</v>
      </c>
      <c r="R894" s="719">
        <v>102</v>
      </c>
      <c r="S894" s="720">
        <v>224.18</v>
      </c>
      <c r="T894" s="720"/>
      <c r="U894" s="724">
        <v>2761</v>
      </c>
      <c r="V894" s="724" t="str">
        <f t="shared" si="39"/>
        <v>2761</v>
      </c>
      <c r="W894" s="724">
        <v>112</v>
      </c>
      <c r="X894" s="720">
        <v>24.51</v>
      </c>
    </row>
    <row r="895" spans="16:24" ht="15" x14ac:dyDescent="0.25">
      <c r="P895" s="719">
        <v>2781</v>
      </c>
      <c r="Q895" s="719" t="str">
        <f t="shared" si="38"/>
        <v>2781</v>
      </c>
      <c r="R895" s="719">
        <v>112</v>
      </c>
      <c r="S895" s="720">
        <v>88.11</v>
      </c>
      <c r="T895" s="720"/>
      <c r="U895" s="724">
        <v>2761</v>
      </c>
      <c r="V895" s="724" t="str">
        <f t="shared" si="39"/>
        <v>2761</v>
      </c>
      <c r="W895" s="724">
        <v>130</v>
      </c>
      <c r="X895" s="720">
        <v>170.26</v>
      </c>
    </row>
    <row r="896" spans="16:24" ht="15" x14ac:dyDescent="0.25">
      <c r="P896" s="719">
        <v>2781</v>
      </c>
      <c r="Q896" s="719" t="str">
        <f t="shared" si="38"/>
        <v>2781</v>
      </c>
      <c r="R896" s="719">
        <v>130</v>
      </c>
      <c r="S896" s="720">
        <v>53.74</v>
      </c>
      <c r="T896" s="720"/>
      <c r="U896" s="724">
        <v>2761</v>
      </c>
      <c r="V896" s="724" t="str">
        <f t="shared" si="39"/>
        <v>2761</v>
      </c>
      <c r="W896" s="724">
        <v>254</v>
      </c>
      <c r="X896" s="720">
        <v>4.5</v>
      </c>
    </row>
    <row r="897" spans="16:24" ht="15" x14ac:dyDescent="0.25">
      <c r="P897" s="719">
        <v>2791</v>
      </c>
      <c r="Q897" s="719" t="str">
        <f t="shared" si="38"/>
        <v>2791</v>
      </c>
      <c r="R897" s="719">
        <v>111</v>
      </c>
      <c r="S897" s="720">
        <v>3</v>
      </c>
      <c r="T897" s="720"/>
      <c r="U897" s="724">
        <v>2781</v>
      </c>
      <c r="V897" s="724" t="str">
        <f t="shared" si="39"/>
        <v>2781</v>
      </c>
      <c r="W897" s="724">
        <v>102</v>
      </c>
      <c r="X897" s="720">
        <v>235.74</v>
      </c>
    </row>
    <row r="898" spans="16:24" ht="15" x14ac:dyDescent="0.25">
      <c r="P898" s="719">
        <v>2791</v>
      </c>
      <c r="Q898" s="719" t="str">
        <f t="shared" si="38"/>
        <v>2791</v>
      </c>
      <c r="R898" s="719">
        <v>112</v>
      </c>
      <c r="S898" s="720">
        <v>1</v>
      </c>
      <c r="T898" s="720"/>
      <c r="U898" s="724">
        <v>2781</v>
      </c>
      <c r="V898" s="724" t="str">
        <f t="shared" si="39"/>
        <v>2781</v>
      </c>
      <c r="W898" s="724">
        <v>112</v>
      </c>
      <c r="X898" s="720">
        <v>84.97</v>
      </c>
    </row>
    <row r="899" spans="16:24" ht="15" x14ac:dyDescent="0.25">
      <c r="P899" s="719">
        <v>2791</v>
      </c>
      <c r="Q899" s="719" t="str">
        <f t="shared" ref="Q899:Q962" si="40">TEXT(P899,"0000")</f>
        <v>2791</v>
      </c>
      <c r="R899" s="719">
        <v>254</v>
      </c>
      <c r="S899" s="720">
        <v>60.5</v>
      </c>
      <c r="T899" s="720"/>
      <c r="U899" s="724">
        <v>2781</v>
      </c>
      <c r="V899" s="724" t="str">
        <f t="shared" si="39"/>
        <v>2781</v>
      </c>
      <c r="W899" s="724">
        <v>130</v>
      </c>
      <c r="X899" s="720">
        <v>40.58</v>
      </c>
    </row>
    <row r="900" spans="16:24" ht="15" x14ac:dyDescent="0.25">
      <c r="P900" s="719">
        <v>2791</v>
      </c>
      <c r="Q900" s="719" t="str">
        <f t="shared" si="40"/>
        <v>2791</v>
      </c>
      <c r="R900" s="719">
        <v>255</v>
      </c>
      <c r="S900" s="720">
        <v>22</v>
      </c>
      <c r="T900" s="720"/>
      <c r="U900" s="724">
        <v>2791</v>
      </c>
      <c r="V900" s="724" t="str">
        <f t="shared" ref="V900:V963" si="41">TEXT(U900,"0000")</f>
        <v>2791</v>
      </c>
      <c r="W900" s="724">
        <v>111</v>
      </c>
      <c r="X900" s="720">
        <v>1.04</v>
      </c>
    </row>
    <row r="901" spans="16:24" ht="15" x14ac:dyDescent="0.25">
      <c r="P901" s="719">
        <v>2801</v>
      </c>
      <c r="Q901" s="719" t="str">
        <f t="shared" si="40"/>
        <v>2801</v>
      </c>
      <c r="R901" s="719">
        <v>101</v>
      </c>
      <c r="S901" s="720">
        <v>111.49</v>
      </c>
      <c r="T901" s="720"/>
      <c r="U901" s="724">
        <v>2791</v>
      </c>
      <c r="V901" s="724" t="str">
        <f t="shared" si="41"/>
        <v>2791</v>
      </c>
      <c r="W901" s="724">
        <v>112</v>
      </c>
      <c r="X901" s="720">
        <v>0</v>
      </c>
    </row>
    <row r="902" spans="16:24" ht="15" x14ac:dyDescent="0.25">
      <c r="P902" s="719">
        <v>2801</v>
      </c>
      <c r="Q902" s="719" t="str">
        <f t="shared" si="40"/>
        <v>2801</v>
      </c>
      <c r="R902" s="719">
        <v>102</v>
      </c>
      <c r="S902" s="720">
        <v>59.89</v>
      </c>
      <c r="T902" s="720"/>
      <c r="U902" s="724">
        <v>2791</v>
      </c>
      <c r="V902" s="724" t="str">
        <f t="shared" si="41"/>
        <v>2791</v>
      </c>
      <c r="W902" s="724">
        <v>254</v>
      </c>
      <c r="X902" s="720">
        <v>48.02</v>
      </c>
    </row>
    <row r="903" spans="16:24" ht="15" x14ac:dyDescent="0.25">
      <c r="P903" s="719">
        <v>2801</v>
      </c>
      <c r="Q903" s="719" t="str">
        <f t="shared" si="40"/>
        <v>2801</v>
      </c>
      <c r="R903" s="719">
        <v>111</v>
      </c>
      <c r="S903" s="720">
        <v>25</v>
      </c>
      <c r="T903" s="720"/>
      <c r="U903" s="724">
        <v>2791</v>
      </c>
      <c r="V903" s="724" t="str">
        <f t="shared" si="41"/>
        <v>2791</v>
      </c>
      <c r="W903" s="724">
        <v>255</v>
      </c>
      <c r="X903" s="720">
        <v>37.5</v>
      </c>
    </row>
    <row r="904" spans="16:24" ht="15" x14ac:dyDescent="0.25">
      <c r="P904" s="719">
        <v>2801</v>
      </c>
      <c r="Q904" s="719" t="str">
        <f t="shared" si="40"/>
        <v>2801</v>
      </c>
      <c r="R904" s="719">
        <v>112</v>
      </c>
      <c r="S904" s="720">
        <v>14</v>
      </c>
      <c r="T904" s="720"/>
      <c r="U904" s="724">
        <v>2801</v>
      </c>
      <c r="V904" s="724" t="str">
        <f t="shared" si="41"/>
        <v>2801</v>
      </c>
      <c r="W904" s="724">
        <v>101</v>
      </c>
      <c r="X904" s="720">
        <v>105.01</v>
      </c>
    </row>
    <row r="905" spans="16:24" ht="15" x14ac:dyDescent="0.25">
      <c r="P905" s="719">
        <v>2801</v>
      </c>
      <c r="Q905" s="719" t="str">
        <f t="shared" si="40"/>
        <v>2801</v>
      </c>
      <c r="R905" s="719">
        <v>130</v>
      </c>
      <c r="S905" s="720">
        <v>69.739999999999995</v>
      </c>
      <c r="T905" s="720"/>
      <c r="U905" s="724">
        <v>2801</v>
      </c>
      <c r="V905" s="724" t="str">
        <f t="shared" si="41"/>
        <v>2801</v>
      </c>
      <c r="W905" s="724">
        <v>102</v>
      </c>
      <c r="X905" s="720">
        <v>57.85</v>
      </c>
    </row>
    <row r="906" spans="16:24" ht="15" x14ac:dyDescent="0.25">
      <c r="P906" s="719">
        <v>2811</v>
      </c>
      <c r="Q906" s="719" t="str">
        <f t="shared" si="40"/>
        <v>2811</v>
      </c>
      <c r="R906" s="719">
        <v>101</v>
      </c>
      <c r="S906" s="720">
        <v>65.45</v>
      </c>
      <c r="T906" s="720"/>
      <c r="U906" s="724">
        <v>2801</v>
      </c>
      <c r="V906" s="724" t="str">
        <f t="shared" si="41"/>
        <v>2801</v>
      </c>
      <c r="W906" s="724">
        <v>111</v>
      </c>
      <c r="X906" s="720">
        <v>29.51</v>
      </c>
    </row>
    <row r="907" spans="16:24" ht="15" x14ac:dyDescent="0.25">
      <c r="P907" s="719">
        <v>2811</v>
      </c>
      <c r="Q907" s="719" t="str">
        <f t="shared" si="40"/>
        <v>2811</v>
      </c>
      <c r="R907" s="719">
        <v>102</v>
      </c>
      <c r="S907" s="720">
        <v>80.73</v>
      </c>
      <c r="T907" s="720"/>
      <c r="U907" s="724">
        <v>2801</v>
      </c>
      <c r="V907" s="724" t="str">
        <f t="shared" si="41"/>
        <v>2801</v>
      </c>
      <c r="W907" s="724">
        <v>112</v>
      </c>
      <c r="X907" s="720">
        <v>14.98</v>
      </c>
    </row>
    <row r="908" spans="16:24" ht="15" x14ac:dyDescent="0.25">
      <c r="P908" s="719">
        <v>2811</v>
      </c>
      <c r="Q908" s="719" t="str">
        <f t="shared" si="40"/>
        <v>2811</v>
      </c>
      <c r="R908" s="719">
        <v>103</v>
      </c>
      <c r="S908" s="720">
        <v>22.26</v>
      </c>
      <c r="T908" s="720"/>
      <c r="U908" s="724">
        <v>2801</v>
      </c>
      <c r="V908" s="724" t="str">
        <f t="shared" si="41"/>
        <v>2801</v>
      </c>
      <c r="W908" s="724">
        <v>130</v>
      </c>
      <c r="X908" s="720">
        <v>68.02</v>
      </c>
    </row>
    <row r="909" spans="16:24" ht="15" x14ac:dyDescent="0.25">
      <c r="P909" s="719">
        <v>2811</v>
      </c>
      <c r="Q909" s="719" t="str">
        <f t="shared" si="40"/>
        <v>2811</v>
      </c>
      <c r="R909" s="719">
        <v>111</v>
      </c>
      <c r="S909" s="720">
        <v>15.67</v>
      </c>
      <c r="T909" s="720"/>
      <c r="U909" s="724">
        <v>2811</v>
      </c>
      <c r="V909" s="724" t="str">
        <f t="shared" si="41"/>
        <v>2811</v>
      </c>
      <c r="W909" s="724">
        <v>101</v>
      </c>
      <c r="X909" s="720">
        <v>63.18</v>
      </c>
    </row>
    <row r="910" spans="16:24" ht="15" x14ac:dyDescent="0.25">
      <c r="P910" s="719">
        <v>2811</v>
      </c>
      <c r="Q910" s="719" t="str">
        <f t="shared" si="40"/>
        <v>2811</v>
      </c>
      <c r="R910" s="719">
        <v>112</v>
      </c>
      <c r="S910" s="720">
        <v>29.75</v>
      </c>
      <c r="T910" s="720"/>
      <c r="U910" s="724">
        <v>2811</v>
      </c>
      <c r="V910" s="724" t="str">
        <f t="shared" si="41"/>
        <v>2811</v>
      </c>
      <c r="W910" s="724">
        <v>102</v>
      </c>
      <c r="X910" s="720">
        <v>79.239999999999995</v>
      </c>
    </row>
    <row r="911" spans="16:24" ht="15" x14ac:dyDescent="0.25">
      <c r="P911" s="719">
        <v>2811</v>
      </c>
      <c r="Q911" s="719" t="str">
        <f t="shared" si="40"/>
        <v>2811</v>
      </c>
      <c r="R911" s="719">
        <v>113</v>
      </c>
      <c r="S911" s="720">
        <v>8.42</v>
      </c>
      <c r="T911" s="720"/>
      <c r="U911" s="724">
        <v>2811</v>
      </c>
      <c r="V911" s="724" t="str">
        <f t="shared" si="41"/>
        <v>2811</v>
      </c>
      <c r="W911" s="724">
        <v>103</v>
      </c>
      <c r="X911" s="720">
        <v>21.92</v>
      </c>
    </row>
    <row r="912" spans="16:24" ht="15" x14ac:dyDescent="0.25">
      <c r="P912" s="719">
        <v>2811</v>
      </c>
      <c r="Q912" s="719" t="str">
        <f t="shared" si="40"/>
        <v>2811</v>
      </c>
      <c r="R912" s="719">
        <v>130</v>
      </c>
      <c r="S912" s="720">
        <v>39.44</v>
      </c>
      <c r="T912" s="720"/>
      <c r="U912" s="724">
        <v>2811</v>
      </c>
      <c r="V912" s="724" t="str">
        <f t="shared" si="41"/>
        <v>2811</v>
      </c>
      <c r="W912" s="724">
        <v>111</v>
      </c>
      <c r="X912" s="720">
        <v>13.46</v>
      </c>
    </row>
    <row r="913" spans="16:24" ht="15" x14ac:dyDescent="0.25">
      <c r="P913" s="719">
        <v>2811</v>
      </c>
      <c r="Q913" s="719" t="str">
        <f t="shared" si="40"/>
        <v>2811</v>
      </c>
      <c r="R913" s="719">
        <v>300</v>
      </c>
      <c r="S913" s="720">
        <v>1.9</v>
      </c>
      <c r="T913" s="720"/>
      <c r="U913" s="724">
        <v>2811</v>
      </c>
      <c r="V913" s="724" t="str">
        <f t="shared" si="41"/>
        <v>2811</v>
      </c>
      <c r="W913" s="724">
        <v>112</v>
      </c>
      <c r="X913" s="720">
        <v>27.79</v>
      </c>
    </row>
    <row r="914" spans="16:24" ht="15" x14ac:dyDescent="0.25">
      <c r="P914" s="719">
        <v>2821</v>
      </c>
      <c r="Q914" s="719" t="str">
        <f t="shared" si="40"/>
        <v>2821</v>
      </c>
      <c r="R914" s="719">
        <v>102</v>
      </c>
      <c r="S914" s="720">
        <v>316.61</v>
      </c>
      <c r="T914" s="720"/>
      <c r="U914" s="724">
        <v>2811</v>
      </c>
      <c r="V914" s="724" t="str">
        <f t="shared" si="41"/>
        <v>2811</v>
      </c>
      <c r="W914" s="724">
        <v>113</v>
      </c>
      <c r="X914" s="720">
        <v>8.26</v>
      </c>
    </row>
    <row r="915" spans="16:24" ht="15" x14ac:dyDescent="0.25">
      <c r="P915" s="719">
        <v>2821</v>
      </c>
      <c r="Q915" s="719" t="str">
        <f t="shared" si="40"/>
        <v>2821</v>
      </c>
      <c r="R915" s="719">
        <v>112</v>
      </c>
      <c r="S915" s="720">
        <v>87.57</v>
      </c>
      <c r="T915" s="720"/>
      <c r="U915" s="724">
        <v>2811</v>
      </c>
      <c r="V915" s="724" t="str">
        <f t="shared" si="41"/>
        <v>2811</v>
      </c>
      <c r="W915" s="724">
        <v>130</v>
      </c>
      <c r="X915" s="720">
        <v>34.85</v>
      </c>
    </row>
    <row r="916" spans="16:24" ht="15" x14ac:dyDescent="0.25">
      <c r="P916" s="719">
        <v>2821</v>
      </c>
      <c r="Q916" s="719" t="str">
        <f t="shared" si="40"/>
        <v>2821</v>
      </c>
      <c r="R916" s="719">
        <v>130</v>
      </c>
      <c r="S916" s="720">
        <v>10.86</v>
      </c>
      <c r="T916" s="720"/>
      <c r="U916" s="724">
        <v>2811</v>
      </c>
      <c r="V916" s="724" t="str">
        <f t="shared" si="41"/>
        <v>2811</v>
      </c>
      <c r="W916" s="724">
        <v>300</v>
      </c>
      <c r="X916" s="720">
        <v>1.34</v>
      </c>
    </row>
    <row r="917" spans="16:24" ht="15" x14ac:dyDescent="0.25">
      <c r="P917" s="719">
        <v>2821</v>
      </c>
      <c r="Q917" s="719" t="str">
        <f t="shared" si="40"/>
        <v>2821</v>
      </c>
      <c r="R917" s="719">
        <v>254</v>
      </c>
      <c r="S917" s="720">
        <v>2.5</v>
      </c>
      <c r="T917" s="720"/>
      <c r="U917" s="724">
        <v>2821</v>
      </c>
      <c r="V917" s="724" t="str">
        <f t="shared" si="41"/>
        <v>2821</v>
      </c>
      <c r="W917" s="724">
        <v>102</v>
      </c>
      <c r="X917" s="720">
        <v>313.88</v>
      </c>
    </row>
    <row r="918" spans="16:24" ht="15" x14ac:dyDescent="0.25">
      <c r="P918" s="719">
        <v>2861</v>
      </c>
      <c r="Q918" s="719" t="str">
        <f t="shared" si="40"/>
        <v>2861</v>
      </c>
      <c r="R918" s="719">
        <v>101</v>
      </c>
      <c r="S918" s="720">
        <v>96.25</v>
      </c>
      <c r="T918" s="720"/>
      <c r="U918" s="724">
        <v>2821</v>
      </c>
      <c r="V918" s="724" t="str">
        <f t="shared" si="41"/>
        <v>2821</v>
      </c>
      <c r="W918" s="724">
        <v>112</v>
      </c>
      <c r="X918" s="720">
        <v>89.96</v>
      </c>
    </row>
    <row r="919" spans="16:24" ht="15" x14ac:dyDescent="0.25">
      <c r="P919" s="719">
        <v>2861</v>
      </c>
      <c r="Q919" s="719" t="str">
        <f t="shared" si="40"/>
        <v>2861</v>
      </c>
      <c r="R919" s="719">
        <v>102</v>
      </c>
      <c r="S919" s="720">
        <v>70.22</v>
      </c>
      <c r="T919" s="720"/>
      <c r="U919" s="724">
        <v>2821</v>
      </c>
      <c r="V919" s="724" t="str">
        <f t="shared" si="41"/>
        <v>2821</v>
      </c>
      <c r="W919" s="724">
        <v>130</v>
      </c>
      <c r="X919" s="720">
        <v>11.73</v>
      </c>
    </row>
    <row r="920" spans="16:24" ht="15" x14ac:dyDescent="0.25">
      <c r="P920" s="719">
        <v>2861</v>
      </c>
      <c r="Q920" s="719" t="str">
        <f t="shared" si="40"/>
        <v>2861</v>
      </c>
      <c r="R920" s="719">
        <v>111</v>
      </c>
      <c r="S920" s="720">
        <v>28.49</v>
      </c>
      <c r="T920" s="720"/>
      <c r="U920" s="724">
        <v>2821</v>
      </c>
      <c r="V920" s="724" t="str">
        <f t="shared" si="41"/>
        <v>2821</v>
      </c>
      <c r="W920" s="724">
        <v>254</v>
      </c>
      <c r="X920" s="720">
        <v>3</v>
      </c>
    </row>
    <row r="921" spans="16:24" ht="15" x14ac:dyDescent="0.25">
      <c r="P921" s="719">
        <v>2861</v>
      </c>
      <c r="Q921" s="719" t="str">
        <f t="shared" si="40"/>
        <v>2861</v>
      </c>
      <c r="R921" s="719">
        <v>112</v>
      </c>
      <c r="S921" s="720">
        <v>17.98</v>
      </c>
      <c r="T921" s="720"/>
      <c r="U921" s="724">
        <v>2861</v>
      </c>
      <c r="V921" s="724" t="str">
        <f t="shared" si="41"/>
        <v>2861</v>
      </c>
      <c r="W921" s="724">
        <v>101</v>
      </c>
      <c r="X921" s="720">
        <v>92.12</v>
      </c>
    </row>
    <row r="922" spans="16:24" ht="15" x14ac:dyDescent="0.25">
      <c r="P922" s="719">
        <v>2861</v>
      </c>
      <c r="Q922" s="719" t="str">
        <f t="shared" si="40"/>
        <v>2861</v>
      </c>
      <c r="R922" s="719">
        <v>130</v>
      </c>
      <c r="S922" s="720">
        <v>11.05</v>
      </c>
      <c r="T922" s="720"/>
      <c r="U922" s="724">
        <v>2861</v>
      </c>
      <c r="V922" s="724" t="str">
        <f t="shared" si="41"/>
        <v>2861</v>
      </c>
      <c r="W922" s="724">
        <v>102</v>
      </c>
      <c r="X922" s="720">
        <v>69.709999999999994</v>
      </c>
    </row>
    <row r="923" spans="16:24" ht="15" x14ac:dyDescent="0.25">
      <c r="P923" s="719">
        <v>2861</v>
      </c>
      <c r="Q923" s="719" t="str">
        <f t="shared" si="40"/>
        <v>2861</v>
      </c>
      <c r="R923" s="719">
        <v>254</v>
      </c>
      <c r="S923" s="720">
        <v>2</v>
      </c>
      <c r="T923" s="720"/>
      <c r="U923" s="724">
        <v>2861</v>
      </c>
      <c r="V923" s="724" t="str">
        <f t="shared" si="41"/>
        <v>2861</v>
      </c>
      <c r="W923" s="724">
        <v>111</v>
      </c>
      <c r="X923" s="720">
        <v>34.479999999999997</v>
      </c>
    </row>
    <row r="924" spans="16:24" ht="15" x14ac:dyDescent="0.25">
      <c r="P924" s="719">
        <v>2911</v>
      </c>
      <c r="Q924" s="719" t="str">
        <f t="shared" si="40"/>
        <v>2911</v>
      </c>
      <c r="R924" s="719">
        <v>101</v>
      </c>
      <c r="S924" s="720">
        <v>129.36000000000001</v>
      </c>
      <c r="T924" s="720"/>
      <c r="U924" s="724">
        <v>2861</v>
      </c>
      <c r="V924" s="724" t="str">
        <f t="shared" si="41"/>
        <v>2861</v>
      </c>
      <c r="W924" s="724">
        <v>112</v>
      </c>
      <c r="X924" s="720">
        <v>18.95</v>
      </c>
    </row>
    <row r="925" spans="16:24" ht="15" x14ac:dyDescent="0.25">
      <c r="P925" s="719">
        <v>2911</v>
      </c>
      <c r="Q925" s="719" t="str">
        <f t="shared" si="40"/>
        <v>2911</v>
      </c>
      <c r="R925" s="719">
        <v>102</v>
      </c>
      <c r="S925" s="720">
        <v>171.22</v>
      </c>
      <c r="T925" s="720"/>
      <c r="U925" s="724">
        <v>2861</v>
      </c>
      <c r="V925" s="724" t="str">
        <f t="shared" si="41"/>
        <v>2861</v>
      </c>
      <c r="W925" s="724">
        <v>130</v>
      </c>
      <c r="X925" s="720">
        <v>10.62</v>
      </c>
    </row>
    <row r="926" spans="16:24" ht="15" x14ac:dyDescent="0.25">
      <c r="P926" s="719">
        <v>2911</v>
      </c>
      <c r="Q926" s="719" t="str">
        <f t="shared" si="40"/>
        <v>2911</v>
      </c>
      <c r="R926" s="719">
        <v>111</v>
      </c>
      <c r="S926" s="720">
        <v>30.54</v>
      </c>
      <c r="T926" s="720"/>
      <c r="U926" s="724">
        <v>2861</v>
      </c>
      <c r="V926" s="724" t="str">
        <f t="shared" si="41"/>
        <v>2861</v>
      </c>
      <c r="W926" s="724">
        <v>254</v>
      </c>
      <c r="X926" s="720">
        <v>2</v>
      </c>
    </row>
    <row r="927" spans="16:24" ht="15" x14ac:dyDescent="0.25">
      <c r="P927" s="719">
        <v>2911</v>
      </c>
      <c r="Q927" s="719" t="str">
        <f t="shared" si="40"/>
        <v>2911</v>
      </c>
      <c r="R927" s="719">
        <v>112</v>
      </c>
      <c r="S927" s="720">
        <v>53.71</v>
      </c>
      <c r="T927" s="720"/>
      <c r="U927" s="724">
        <v>2911</v>
      </c>
      <c r="V927" s="724" t="str">
        <f t="shared" si="41"/>
        <v>2911</v>
      </c>
      <c r="W927" s="724">
        <v>101</v>
      </c>
      <c r="X927" s="720">
        <v>128.4</v>
      </c>
    </row>
    <row r="928" spans="16:24" ht="15" x14ac:dyDescent="0.25">
      <c r="P928" s="719">
        <v>2911</v>
      </c>
      <c r="Q928" s="719" t="str">
        <f t="shared" si="40"/>
        <v>2911</v>
      </c>
      <c r="R928" s="719">
        <v>130</v>
      </c>
      <c r="S928" s="720">
        <v>5.76</v>
      </c>
      <c r="T928" s="720"/>
      <c r="U928" s="724">
        <v>2911</v>
      </c>
      <c r="V928" s="724" t="str">
        <f t="shared" si="41"/>
        <v>2911</v>
      </c>
      <c r="W928" s="724">
        <v>102</v>
      </c>
      <c r="X928" s="720">
        <v>167.87</v>
      </c>
    </row>
    <row r="929" spans="16:24" ht="15" x14ac:dyDescent="0.25">
      <c r="P929" s="719">
        <v>2941</v>
      </c>
      <c r="Q929" s="719" t="str">
        <f t="shared" si="40"/>
        <v>2941</v>
      </c>
      <c r="R929" s="719">
        <v>101</v>
      </c>
      <c r="S929" s="720">
        <v>0.5</v>
      </c>
      <c r="T929" s="720"/>
      <c r="U929" s="724">
        <v>2911</v>
      </c>
      <c r="V929" s="724" t="str">
        <f t="shared" si="41"/>
        <v>2911</v>
      </c>
      <c r="W929" s="724">
        <v>111</v>
      </c>
      <c r="X929" s="720">
        <v>31.53</v>
      </c>
    </row>
    <row r="930" spans="16:24" ht="15" x14ac:dyDescent="0.25">
      <c r="P930" s="719">
        <v>2941</v>
      </c>
      <c r="Q930" s="719" t="str">
        <f t="shared" si="40"/>
        <v>2941</v>
      </c>
      <c r="R930" s="719">
        <v>111</v>
      </c>
      <c r="S930" s="720">
        <v>7.5</v>
      </c>
      <c r="T930" s="720"/>
      <c r="U930" s="724">
        <v>2911</v>
      </c>
      <c r="V930" s="724" t="str">
        <f t="shared" si="41"/>
        <v>2911</v>
      </c>
      <c r="W930" s="724">
        <v>112</v>
      </c>
      <c r="X930" s="720">
        <v>53.45</v>
      </c>
    </row>
    <row r="931" spans="16:24" ht="15" x14ac:dyDescent="0.25">
      <c r="P931" s="719">
        <v>2941</v>
      </c>
      <c r="Q931" s="719" t="str">
        <f t="shared" si="40"/>
        <v>2941</v>
      </c>
      <c r="R931" s="719">
        <v>112</v>
      </c>
      <c r="S931" s="720">
        <v>11.02</v>
      </c>
      <c r="T931" s="720"/>
      <c r="U931" s="724">
        <v>2911</v>
      </c>
      <c r="V931" s="724" t="str">
        <f t="shared" si="41"/>
        <v>2911</v>
      </c>
      <c r="W931" s="724">
        <v>130</v>
      </c>
      <c r="X931" s="720">
        <v>6.69</v>
      </c>
    </row>
    <row r="932" spans="16:24" ht="15" x14ac:dyDescent="0.25">
      <c r="P932" s="719">
        <v>2941</v>
      </c>
      <c r="Q932" s="719" t="str">
        <f t="shared" si="40"/>
        <v>2941</v>
      </c>
      <c r="R932" s="719">
        <v>113</v>
      </c>
      <c r="S932" s="720">
        <v>23.23</v>
      </c>
      <c r="T932" s="720"/>
      <c r="U932" s="724">
        <v>2941</v>
      </c>
      <c r="V932" s="725" t="str">
        <f t="shared" si="41"/>
        <v>2941</v>
      </c>
      <c r="W932" s="725">
        <v>101</v>
      </c>
      <c r="X932" s="726">
        <v>0</v>
      </c>
    </row>
    <row r="933" spans="16:24" ht="15" x14ac:dyDescent="0.25">
      <c r="P933" s="719">
        <v>2941</v>
      </c>
      <c r="Q933" s="719" t="str">
        <f t="shared" si="40"/>
        <v>2941</v>
      </c>
      <c r="R933" s="719">
        <v>254</v>
      </c>
      <c r="S933" s="720">
        <v>105</v>
      </c>
      <c r="T933" s="720"/>
      <c r="U933" s="724">
        <v>2941</v>
      </c>
      <c r="V933" s="724" t="str">
        <f t="shared" si="41"/>
        <v>2941</v>
      </c>
      <c r="W933" s="724">
        <v>111</v>
      </c>
      <c r="X933" s="720">
        <v>5</v>
      </c>
    </row>
    <row r="934" spans="16:24" ht="15" x14ac:dyDescent="0.25">
      <c r="P934" s="719">
        <v>2941</v>
      </c>
      <c r="Q934" s="719" t="str">
        <f t="shared" si="40"/>
        <v>2941</v>
      </c>
      <c r="R934" s="719">
        <v>255</v>
      </c>
      <c r="S934" s="720">
        <v>43.5</v>
      </c>
      <c r="T934" s="720"/>
      <c r="U934" s="724">
        <v>2941</v>
      </c>
      <c r="V934" s="724" t="str">
        <f t="shared" si="41"/>
        <v>2941</v>
      </c>
      <c r="W934" s="724">
        <v>112</v>
      </c>
      <c r="X934" s="720">
        <v>10.53</v>
      </c>
    </row>
    <row r="935" spans="16:24" ht="15" x14ac:dyDescent="0.25">
      <c r="P935" s="719">
        <v>3002</v>
      </c>
      <c r="Q935" s="719" t="str">
        <f t="shared" si="40"/>
        <v>3002</v>
      </c>
      <c r="R935" s="719">
        <v>103</v>
      </c>
      <c r="S935" s="720">
        <v>6.97</v>
      </c>
      <c r="T935" s="720"/>
      <c r="U935" s="724">
        <v>2941</v>
      </c>
      <c r="V935" s="724" t="str">
        <f t="shared" si="41"/>
        <v>2941</v>
      </c>
      <c r="W935" s="724">
        <v>113</v>
      </c>
      <c r="X935" s="720">
        <v>23.9</v>
      </c>
    </row>
    <row r="936" spans="16:24" ht="15" x14ac:dyDescent="0.25">
      <c r="P936" s="719">
        <v>3002</v>
      </c>
      <c r="Q936" s="719" t="str">
        <f t="shared" si="40"/>
        <v>3002</v>
      </c>
      <c r="R936" s="719">
        <v>113</v>
      </c>
      <c r="S936" s="720">
        <v>2.16</v>
      </c>
      <c r="T936" s="720"/>
      <c r="U936" s="724">
        <v>2941</v>
      </c>
      <c r="V936" s="724" t="str">
        <f t="shared" si="41"/>
        <v>2941</v>
      </c>
      <c r="W936" s="724">
        <v>254</v>
      </c>
      <c r="X936" s="720">
        <v>102.99</v>
      </c>
    </row>
    <row r="937" spans="16:24" ht="15" x14ac:dyDescent="0.25">
      <c r="P937" s="719">
        <v>3006</v>
      </c>
      <c r="Q937" s="719" t="str">
        <f t="shared" si="40"/>
        <v>3006</v>
      </c>
      <c r="R937" s="719">
        <v>102</v>
      </c>
      <c r="S937" s="720">
        <v>2.5</v>
      </c>
      <c r="T937" s="720"/>
      <c r="U937" s="724">
        <v>2941</v>
      </c>
      <c r="V937" s="724" t="str">
        <f t="shared" si="41"/>
        <v>2941</v>
      </c>
      <c r="W937" s="724">
        <v>255</v>
      </c>
      <c r="X937" s="720">
        <v>47</v>
      </c>
    </row>
    <row r="938" spans="16:24" ht="15" x14ac:dyDescent="0.25">
      <c r="P938" s="719">
        <v>3006</v>
      </c>
      <c r="Q938" s="719" t="str">
        <f t="shared" si="40"/>
        <v>3006</v>
      </c>
      <c r="R938" s="719">
        <v>103</v>
      </c>
      <c r="S938" s="720">
        <v>18.11</v>
      </c>
      <c r="T938" s="720"/>
      <c r="U938" s="724">
        <v>3002</v>
      </c>
      <c r="V938" s="724" t="str">
        <f t="shared" si="41"/>
        <v>3002</v>
      </c>
      <c r="W938" s="724">
        <v>103</v>
      </c>
      <c r="X938" s="720">
        <v>3.1</v>
      </c>
    </row>
    <row r="939" spans="16:24" ht="15" x14ac:dyDescent="0.25">
      <c r="P939" s="719">
        <v>3006</v>
      </c>
      <c r="Q939" s="719" t="str">
        <f t="shared" si="40"/>
        <v>3006</v>
      </c>
      <c r="R939" s="719">
        <v>112</v>
      </c>
      <c r="S939" s="720">
        <v>0.95</v>
      </c>
      <c r="T939" s="720"/>
      <c r="U939" s="724">
        <v>3002</v>
      </c>
      <c r="V939" s="724" t="str">
        <f t="shared" si="41"/>
        <v>3002</v>
      </c>
      <c r="W939" s="724">
        <v>113</v>
      </c>
      <c r="X939" s="720">
        <v>0.92</v>
      </c>
    </row>
    <row r="940" spans="16:24" ht="15" x14ac:dyDescent="0.25">
      <c r="P940" s="719">
        <v>3006</v>
      </c>
      <c r="Q940" s="719" t="str">
        <f t="shared" si="40"/>
        <v>3006</v>
      </c>
      <c r="R940" s="719">
        <v>113</v>
      </c>
      <c r="S940" s="720">
        <v>4.37</v>
      </c>
      <c r="T940" s="720"/>
      <c r="U940" s="724">
        <v>3006</v>
      </c>
      <c r="V940" s="724" t="str">
        <f t="shared" si="41"/>
        <v>3006</v>
      </c>
      <c r="W940" s="724">
        <v>102</v>
      </c>
      <c r="X940" s="720">
        <v>2.93</v>
      </c>
    </row>
    <row r="941" spans="16:24" ht="15" x14ac:dyDescent="0.25">
      <c r="P941" s="719">
        <v>3006</v>
      </c>
      <c r="Q941" s="719" t="str">
        <f t="shared" si="40"/>
        <v>3006</v>
      </c>
      <c r="R941" s="719">
        <v>130</v>
      </c>
      <c r="S941" s="720">
        <v>1.5</v>
      </c>
      <c r="T941" s="720"/>
      <c r="U941" s="724">
        <v>3006</v>
      </c>
      <c r="V941" s="724" t="str">
        <f t="shared" si="41"/>
        <v>3006</v>
      </c>
      <c r="W941" s="724">
        <v>103</v>
      </c>
      <c r="X941" s="720">
        <v>10.74</v>
      </c>
    </row>
    <row r="942" spans="16:24" ht="15" x14ac:dyDescent="0.25">
      <c r="P942" s="719">
        <v>3010</v>
      </c>
      <c r="Q942" s="719" t="str">
        <f t="shared" si="40"/>
        <v>3010</v>
      </c>
      <c r="R942" s="719">
        <v>102</v>
      </c>
      <c r="S942" s="720">
        <v>3.96</v>
      </c>
      <c r="T942" s="720"/>
      <c r="U942" s="724">
        <v>3006</v>
      </c>
      <c r="V942" s="724" t="str">
        <f t="shared" si="41"/>
        <v>3006</v>
      </c>
      <c r="W942" s="724">
        <v>112</v>
      </c>
      <c r="X942" s="720">
        <v>1.44</v>
      </c>
    </row>
    <row r="943" spans="16:24" ht="15" x14ac:dyDescent="0.25">
      <c r="P943" s="719">
        <v>3010</v>
      </c>
      <c r="Q943" s="719" t="str">
        <f t="shared" si="40"/>
        <v>3010</v>
      </c>
      <c r="R943" s="719">
        <v>103</v>
      </c>
      <c r="S943" s="720">
        <v>11.66</v>
      </c>
      <c r="T943" s="720"/>
      <c r="U943" s="724">
        <v>3006</v>
      </c>
      <c r="V943" s="724" t="str">
        <f t="shared" si="41"/>
        <v>3006</v>
      </c>
      <c r="W943" s="724">
        <v>113</v>
      </c>
      <c r="X943" s="720">
        <v>5.43</v>
      </c>
    </row>
    <row r="944" spans="16:24" ht="15" x14ac:dyDescent="0.25">
      <c r="P944" s="719">
        <v>3010</v>
      </c>
      <c r="Q944" s="719" t="str">
        <f t="shared" si="40"/>
        <v>3010</v>
      </c>
      <c r="R944" s="719">
        <v>112</v>
      </c>
      <c r="S944" s="720">
        <v>0.95</v>
      </c>
      <c r="T944" s="720"/>
      <c r="U944" s="724">
        <v>3006</v>
      </c>
      <c r="V944" s="724" t="str">
        <f t="shared" si="41"/>
        <v>3006</v>
      </c>
      <c r="W944" s="724">
        <v>130</v>
      </c>
      <c r="X944" s="720">
        <v>0.96</v>
      </c>
    </row>
    <row r="945" spans="16:24" ht="15" x14ac:dyDescent="0.25">
      <c r="P945" s="719">
        <v>3010</v>
      </c>
      <c r="Q945" s="719" t="str">
        <f t="shared" si="40"/>
        <v>3010</v>
      </c>
      <c r="R945" s="719">
        <v>113</v>
      </c>
      <c r="S945" s="720">
        <v>1</v>
      </c>
      <c r="T945" s="720"/>
      <c r="U945" s="724">
        <v>3006</v>
      </c>
      <c r="V945" s="724" t="str">
        <f t="shared" si="41"/>
        <v>3006</v>
      </c>
      <c r="W945" s="724">
        <v>254</v>
      </c>
      <c r="X945" s="720">
        <v>0</v>
      </c>
    </row>
    <row r="946" spans="16:24" ht="15" x14ac:dyDescent="0.25">
      <c r="P946" s="719">
        <v>3010</v>
      </c>
      <c r="Q946" s="719" t="str">
        <f t="shared" si="40"/>
        <v>3010</v>
      </c>
      <c r="R946" s="719">
        <v>130</v>
      </c>
      <c r="S946" s="720">
        <v>1.57</v>
      </c>
      <c r="T946" s="720"/>
      <c r="U946" s="724">
        <v>3010</v>
      </c>
      <c r="V946" s="724" t="str">
        <f t="shared" si="41"/>
        <v>3010</v>
      </c>
      <c r="W946" s="724">
        <v>102</v>
      </c>
      <c r="X946" s="720">
        <v>3.82</v>
      </c>
    </row>
    <row r="947" spans="16:24" ht="15" x14ac:dyDescent="0.25">
      <c r="P947" s="719">
        <v>3024</v>
      </c>
      <c r="Q947" s="719" t="str">
        <f t="shared" si="40"/>
        <v>3024</v>
      </c>
      <c r="R947" s="719">
        <v>102</v>
      </c>
      <c r="S947" s="720">
        <v>0.92</v>
      </c>
      <c r="T947" s="720"/>
      <c r="U947" s="724">
        <v>3010</v>
      </c>
      <c r="V947" s="724" t="str">
        <f t="shared" si="41"/>
        <v>3010</v>
      </c>
      <c r="W947" s="724">
        <v>103</v>
      </c>
      <c r="X947" s="720">
        <v>14.41</v>
      </c>
    </row>
    <row r="948" spans="16:24" ht="15" x14ac:dyDescent="0.25">
      <c r="P948" s="719">
        <v>3024</v>
      </c>
      <c r="Q948" s="719" t="str">
        <f t="shared" si="40"/>
        <v>3024</v>
      </c>
      <c r="R948" s="719">
        <v>103</v>
      </c>
      <c r="S948" s="720">
        <v>4.8899999999999997</v>
      </c>
      <c r="T948" s="720"/>
      <c r="U948" s="724">
        <v>3010</v>
      </c>
      <c r="V948" s="724" t="str">
        <f t="shared" si="41"/>
        <v>3010</v>
      </c>
      <c r="W948" s="724">
        <v>112</v>
      </c>
      <c r="X948" s="720">
        <v>0.95</v>
      </c>
    </row>
    <row r="949" spans="16:24" ht="15" x14ac:dyDescent="0.25">
      <c r="P949" s="719">
        <v>3024</v>
      </c>
      <c r="Q949" s="719" t="str">
        <f t="shared" si="40"/>
        <v>3024</v>
      </c>
      <c r="R949" s="719">
        <v>112</v>
      </c>
      <c r="S949" s="720">
        <v>1.89</v>
      </c>
      <c r="T949" s="720"/>
      <c r="U949" s="724">
        <v>3010</v>
      </c>
      <c r="V949" s="724" t="str">
        <f t="shared" si="41"/>
        <v>3010</v>
      </c>
      <c r="W949" s="724">
        <v>113</v>
      </c>
      <c r="X949" s="720">
        <v>0.89</v>
      </c>
    </row>
    <row r="950" spans="16:24" ht="15" x14ac:dyDescent="0.25">
      <c r="P950" s="719">
        <v>3024</v>
      </c>
      <c r="Q950" s="719" t="str">
        <f t="shared" si="40"/>
        <v>3024</v>
      </c>
      <c r="R950" s="719">
        <v>113</v>
      </c>
      <c r="S950" s="720">
        <v>1.79</v>
      </c>
      <c r="T950" s="720"/>
      <c r="U950" s="724">
        <v>3010</v>
      </c>
      <c r="V950" s="724" t="str">
        <f t="shared" si="41"/>
        <v>3010</v>
      </c>
      <c r="W950" s="724">
        <v>130</v>
      </c>
      <c r="X950" s="720">
        <v>0.74</v>
      </c>
    </row>
    <row r="951" spans="16:24" ht="15" x14ac:dyDescent="0.25">
      <c r="P951" s="719">
        <v>3039</v>
      </c>
      <c r="Q951" s="719" t="str">
        <f t="shared" si="40"/>
        <v>3039</v>
      </c>
      <c r="R951" s="719">
        <v>103</v>
      </c>
      <c r="S951" s="720">
        <v>2.87</v>
      </c>
      <c r="T951" s="720"/>
      <c r="U951" s="724">
        <v>3024</v>
      </c>
      <c r="V951" s="725" t="str">
        <f t="shared" si="41"/>
        <v>3024</v>
      </c>
      <c r="W951" s="725">
        <v>102</v>
      </c>
      <c r="X951" s="726">
        <v>4.21</v>
      </c>
    </row>
    <row r="952" spans="16:24" ht="15" x14ac:dyDescent="0.25">
      <c r="P952" s="719">
        <v>3046</v>
      </c>
      <c r="Q952" s="719" t="str">
        <f t="shared" si="40"/>
        <v>3046</v>
      </c>
      <c r="R952" s="719">
        <v>102</v>
      </c>
      <c r="S952" s="720">
        <v>6.48</v>
      </c>
      <c r="T952" s="720"/>
      <c r="U952" s="724">
        <v>3024</v>
      </c>
      <c r="V952" s="724" t="str">
        <f t="shared" si="41"/>
        <v>3024</v>
      </c>
      <c r="W952" s="724">
        <v>103</v>
      </c>
      <c r="X952" s="720">
        <v>2.17</v>
      </c>
    </row>
    <row r="953" spans="16:24" ht="15" x14ac:dyDescent="0.25">
      <c r="P953" s="719">
        <v>3046</v>
      </c>
      <c r="Q953" s="719" t="str">
        <f t="shared" si="40"/>
        <v>3046</v>
      </c>
      <c r="R953" s="719">
        <v>103</v>
      </c>
      <c r="S953" s="720">
        <v>9.3000000000000007</v>
      </c>
      <c r="T953" s="720"/>
      <c r="U953" s="724">
        <v>3024</v>
      </c>
      <c r="V953" s="724" t="str">
        <f t="shared" si="41"/>
        <v>3024</v>
      </c>
      <c r="W953" s="724">
        <v>112</v>
      </c>
      <c r="X953" s="720">
        <v>3.39</v>
      </c>
    </row>
    <row r="954" spans="16:24" ht="15" x14ac:dyDescent="0.25">
      <c r="P954" s="719">
        <v>3046</v>
      </c>
      <c r="Q954" s="719" t="str">
        <f t="shared" si="40"/>
        <v>3046</v>
      </c>
      <c r="R954" s="719">
        <v>112</v>
      </c>
      <c r="S954" s="720">
        <v>7.87</v>
      </c>
      <c r="T954" s="720"/>
      <c r="U954" s="724">
        <v>3024</v>
      </c>
      <c r="V954" s="724" t="str">
        <f t="shared" si="41"/>
        <v>3024</v>
      </c>
      <c r="W954" s="724">
        <v>113</v>
      </c>
      <c r="X954" s="720">
        <v>1.38</v>
      </c>
    </row>
    <row r="955" spans="16:24" ht="15" x14ac:dyDescent="0.25">
      <c r="P955" s="719">
        <v>3046</v>
      </c>
      <c r="Q955" s="719" t="str">
        <f t="shared" si="40"/>
        <v>3046</v>
      </c>
      <c r="R955" s="719">
        <v>113</v>
      </c>
      <c r="S955" s="720">
        <v>8.52</v>
      </c>
      <c r="T955" s="720"/>
      <c r="U955" s="724">
        <v>3024</v>
      </c>
      <c r="V955" s="724" t="str">
        <f t="shared" si="41"/>
        <v>3024</v>
      </c>
      <c r="W955" s="724">
        <v>130</v>
      </c>
      <c r="X955" s="720">
        <v>0.46</v>
      </c>
    </row>
    <row r="956" spans="16:24" ht="15" x14ac:dyDescent="0.25">
      <c r="P956" s="719">
        <v>3046</v>
      </c>
      <c r="Q956" s="719" t="str">
        <f t="shared" si="40"/>
        <v>3046</v>
      </c>
      <c r="R956" s="719">
        <v>130</v>
      </c>
      <c r="S956" s="720">
        <v>0.76</v>
      </c>
      <c r="T956" s="720"/>
      <c r="U956" s="724">
        <v>3039</v>
      </c>
      <c r="V956" s="724" t="str">
        <f t="shared" si="41"/>
        <v>3039</v>
      </c>
      <c r="W956" s="724">
        <v>103</v>
      </c>
      <c r="X956" s="720">
        <v>4.13</v>
      </c>
    </row>
    <row r="957" spans="16:24" ht="15" x14ac:dyDescent="0.25">
      <c r="P957" s="719">
        <v>3046</v>
      </c>
      <c r="Q957" s="719" t="str">
        <f t="shared" si="40"/>
        <v>3046</v>
      </c>
      <c r="R957" s="719">
        <v>300</v>
      </c>
      <c r="S957" s="720">
        <v>0.47</v>
      </c>
      <c r="T957" s="720"/>
      <c r="U957" s="724">
        <v>3039</v>
      </c>
      <c r="V957" s="724" t="str">
        <f t="shared" si="41"/>
        <v>3039</v>
      </c>
      <c r="W957" s="724">
        <v>112</v>
      </c>
      <c r="X957" s="720">
        <v>0.98</v>
      </c>
    </row>
    <row r="958" spans="16:24" ht="15" x14ac:dyDescent="0.25">
      <c r="P958" s="719">
        <v>3081</v>
      </c>
      <c r="Q958" s="719" t="str">
        <f t="shared" si="40"/>
        <v>3081</v>
      </c>
      <c r="R958" s="719">
        <v>113</v>
      </c>
      <c r="S958" s="720">
        <v>0.1</v>
      </c>
      <c r="T958" s="720"/>
      <c r="U958" s="724">
        <v>3039</v>
      </c>
      <c r="V958" s="724" t="str">
        <f t="shared" si="41"/>
        <v>3039</v>
      </c>
      <c r="W958" s="724">
        <v>130</v>
      </c>
      <c r="X958" s="720">
        <v>0.48</v>
      </c>
    </row>
    <row r="959" spans="16:24" ht="15" x14ac:dyDescent="0.25">
      <c r="P959" s="719">
        <v>3083</v>
      </c>
      <c r="Q959" s="719" t="str">
        <f t="shared" si="40"/>
        <v>3083</v>
      </c>
      <c r="R959" s="719">
        <v>111</v>
      </c>
      <c r="S959" s="720">
        <v>1.02</v>
      </c>
      <c r="T959" s="720"/>
      <c r="U959" s="724">
        <v>3046</v>
      </c>
      <c r="V959" s="724" t="str">
        <f t="shared" si="41"/>
        <v>3046</v>
      </c>
      <c r="W959" s="724">
        <v>102</v>
      </c>
      <c r="X959" s="720">
        <v>7.06</v>
      </c>
    </row>
    <row r="960" spans="16:24" ht="15" x14ac:dyDescent="0.25">
      <c r="P960" s="719">
        <v>3083</v>
      </c>
      <c r="Q960" s="719" t="str">
        <f t="shared" si="40"/>
        <v>3083</v>
      </c>
      <c r="R960" s="719">
        <v>112</v>
      </c>
      <c r="S960" s="720">
        <v>0.5</v>
      </c>
      <c r="T960" s="720"/>
      <c r="U960" s="724">
        <v>3046</v>
      </c>
      <c r="V960" s="724" t="str">
        <f t="shared" si="41"/>
        <v>3046</v>
      </c>
      <c r="W960" s="724">
        <v>103</v>
      </c>
      <c r="X960" s="720">
        <v>10.43</v>
      </c>
    </row>
    <row r="961" spans="16:24" ht="15" x14ac:dyDescent="0.25">
      <c r="P961" s="719">
        <v>3083</v>
      </c>
      <c r="Q961" s="719" t="str">
        <f t="shared" si="40"/>
        <v>3083</v>
      </c>
      <c r="R961" s="719">
        <v>113</v>
      </c>
      <c r="S961" s="720">
        <v>4.96</v>
      </c>
      <c r="T961" s="720"/>
      <c r="U961" s="724">
        <v>3046</v>
      </c>
      <c r="V961" s="724" t="str">
        <f t="shared" si="41"/>
        <v>3046</v>
      </c>
      <c r="W961" s="724">
        <v>112</v>
      </c>
      <c r="X961" s="720">
        <v>7.48</v>
      </c>
    </row>
    <row r="962" spans="16:24" ht="15" x14ac:dyDescent="0.25">
      <c r="P962" s="719">
        <v>3083</v>
      </c>
      <c r="Q962" s="719" t="str">
        <f t="shared" si="40"/>
        <v>3083</v>
      </c>
      <c r="R962" s="719">
        <v>254</v>
      </c>
      <c r="S962" s="720">
        <v>37.04</v>
      </c>
      <c r="T962" s="720"/>
      <c r="U962" s="724">
        <v>3046</v>
      </c>
      <c r="V962" s="724" t="str">
        <f t="shared" si="41"/>
        <v>3046</v>
      </c>
      <c r="W962" s="724">
        <v>113</v>
      </c>
      <c r="X962" s="720">
        <v>8</v>
      </c>
    </row>
    <row r="963" spans="16:24" ht="15" x14ac:dyDescent="0.25">
      <c r="P963" s="719">
        <v>3083</v>
      </c>
      <c r="Q963" s="719" t="str">
        <f t="shared" ref="Q963:Q1026" si="42">TEXT(P963,"0000")</f>
        <v>3083</v>
      </c>
      <c r="R963" s="719">
        <v>255</v>
      </c>
      <c r="S963" s="720">
        <v>45.97</v>
      </c>
      <c r="T963" s="720"/>
      <c r="U963" s="724">
        <v>3046</v>
      </c>
      <c r="V963" s="724" t="str">
        <f t="shared" si="41"/>
        <v>3046</v>
      </c>
      <c r="W963" s="724">
        <v>130</v>
      </c>
      <c r="X963" s="720">
        <v>0.77</v>
      </c>
    </row>
    <row r="964" spans="16:24" ht="15" x14ac:dyDescent="0.25">
      <c r="P964" s="719">
        <v>3091</v>
      </c>
      <c r="Q964" s="719" t="str">
        <f t="shared" si="42"/>
        <v>3091</v>
      </c>
      <c r="R964" s="719">
        <v>113</v>
      </c>
      <c r="S964" s="720">
        <v>0.2</v>
      </c>
      <c r="T964" s="720"/>
      <c r="U964" s="724">
        <v>3046</v>
      </c>
      <c r="V964" s="724" t="str">
        <f t="shared" ref="V964:V1027" si="43">TEXT(U964,"0000")</f>
        <v>3046</v>
      </c>
      <c r="W964" s="724">
        <v>300</v>
      </c>
      <c r="X964" s="720">
        <v>0.72</v>
      </c>
    </row>
    <row r="965" spans="16:24" ht="15" x14ac:dyDescent="0.25">
      <c r="P965" s="719">
        <v>3100</v>
      </c>
      <c r="Q965" s="719" t="str">
        <f t="shared" si="42"/>
        <v>3100</v>
      </c>
      <c r="R965" s="719">
        <v>101</v>
      </c>
      <c r="S965" s="720">
        <v>15</v>
      </c>
      <c r="T965" s="720"/>
      <c r="U965" s="724">
        <v>3081</v>
      </c>
      <c r="V965" s="724" t="str">
        <f t="shared" si="43"/>
        <v>3081</v>
      </c>
      <c r="W965" s="724">
        <v>113</v>
      </c>
      <c r="X965" s="720">
        <v>0</v>
      </c>
    </row>
    <row r="966" spans="16:24" ht="15" x14ac:dyDescent="0.25">
      <c r="P966" s="719">
        <v>3101</v>
      </c>
      <c r="Q966" s="719" t="str">
        <f t="shared" si="42"/>
        <v>3101</v>
      </c>
      <c r="R966" s="719">
        <v>102</v>
      </c>
      <c r="S966" s="720">
        <v>6.42</v>
      </c>
      <c r="T966" s="720"/>
      <c r="U966" s="724">
        <v>3083</v>
      </c>
      <c r="V966" s="724" t="str">
        <f t="shared" si="43"/>
        <v>3083</v>
      </c>
      <c r="W966" s="724">
        <v>111</v>
      </c>
      <c r="X966" s="720">
        <v>0.5</v>
      </c>
    </row>
    <row r="967" spans="16:24" ht="15" x14ac:dyDescent="0.25">
      <c r="P967" s="719">
        <v>3101</v>
      </c>
      <c r="Q967" s="719" t="str">
        <f t="shared" si="42"/>
        <v>3101</v>
      </c>
      <c r="R967" s="719">
        <v>103</v>
      </c>
      <c r="S967" s="720">
        <v>21.64</v>
      </c>
      <c r="T967" s="720"/>
      <c r="U967" s="724">
        <v>3083</v>
      </c>
      <c r="V967" s="724" t="str">
        <f t="shared" si="43"/>
        <v>3083</v>
      </c>
      <c r="W967" s="724">
        <v>112</v>
      </c>
      <c r="X967" s="720">
        <v>0.5</v>
      </c>
    </row>
    <row r="968" spans="16:24" ht="15" x14ac:dyDescent="0.25">
      <c r="P968" s="719">
        <v>3101</v>
      </c>
      <c r="Q968" s="719" t="str">
        <f t="shared" si="42"/>
        <v>3101</v>
      </c>
      <c r="R968" s="719">
        <v>112</v>
      </c>
      <c r="S968" s="720">
        <v>2.99</v>
      </c>
      <c r="T968" s="720"/>
      <c r="U968" s="724">
        <v>3083</v>
      </c>
      <c r="V968" s="724" t="str">
        <f t="shared" si="43"/>
        <v>3083</v>
      </c>
      <c r="W968" s="724">
        <v>113</v>
      </c>
      <c r="X968" s="720">
        <v>4.46</v>
      </c>
    </row>
    <row r="969" spans="16:24" ht="15" x14ac:dyDescent="0.25">
      <c r="P969" s="719">
        <v>3101</v>
      </c>
      <c r="Q969" s="719" t="str">
        <f t="shared" si="42"/>
        <v>3101</v>
      </c>
      <c r="R969" s="719">
        <v>113</v>
      </c>
      <c r="S969" s="720">
        <v>11.75</v>
      </c>
      <c r="T969" s="720"/>
      <c r="U969" s="724">
        <v>3083</v>
      </c>
      <c r="V969" s="724" t="str">
        <f t="shared" si="43"/>
        <v>3083</v>
      </c>
      <c r="W969" s="724">
        <v>254</v>
      </c>
      <c r="X969" s="720">
        <v>33.96</v>
      </c>
    </row>
    <row r="970" spans="16:24" ht="15" x14ac:dyDescent="0.25">
      <c r="P970" s="719">
        <v>3101</v>
      </c>
      <c r="Q970" s="719" t="str">
        <f t="shared" si="42"/>
        <v>3101</v>
      </c>
      <c r="R970" s="719">
        <v>300</v>
      </c>
      <c r="S970" s="720">
        <v>3.05</v>
      </c>
      <c r="T970" s="720"/>
      <c r="U970" s="724">
        <v>3083</v>
      </c>
      <c r="V970" s="724" t="str">
        <f t="shared" si="43"/>
        <v>3083</v>
      </c>
      <c r="W970" s="724">
        <v>255</v>
      </c>
      <c r="X970" s="720">
        <v>50.48</v>
      </c>
    </row>
    <row r="971" spans="16:24" ht="15" x14ac:dyDescent="0.25">
      <c r="P971" s="719">
        <v>3251</v>
      </c>
      <c r="Q971" s="719" t="str">
        <f t="shared" si="42"/>
        <v>3251</v>
      </c>
      <c r="R971" s="719">
        <v>103</v>
      </c>
      <c r="S971" s="720">
        <v>801.14</v>
      </c>
      <c r="T971" s="720"/>
      <c r="U971" s="724">
        <v>3091</v>
      </c>
      <c r="V971" s="724" t="str">
        <f t="shared" si="43"/>
        <v>3091</v>
      </c>
      <c r="W971" s="724">
        <v>113</v>
      </c>
      <c r="X971" s="720">
        <v>0.2</v>
      </c>
    </row>
    <row r="972" spans="16:24" ht="15" x14ac:dyDescent="0.25">
      <c r="P972" s="719">
        <v>3251</v>
      </c>
      <c r="Q972" s="719" t="str">
        <f t="shared" si="42"/>
        <v>3251</v>
      </c>
      <c r="R972" s="719">
        <v>113</v>
      </c>
      <c r="S972" s="720">
        <v>117.49</v>
      </c>
      <c r="T972" s="720"/>
      <c r="U972" s="724">
        <v>3100</v>
      </c>
      <c r="V972" s="724" t="str">
        <f t="shared" si="43"/>
        <v>3100</v>
      </c>
      <c r="W972" s="724">
        <v>101</v>
      </c>
      <c r="X972" s="720">
        <v>16.5</v>
      </c>
    </row>
    <row r="973" spans="16:24" ht="15" x14ac:dyDescent="0.25">
      <c r="P973" s="719">
        <v>3251</v>
      </c>
      <c r="Q973" s="719" t="str">
        <f t="shared" si="42"/>
        <v>3251</v>
      </c>
      <c r="R973" s="719">
        <v>130</v>
      </c>
      <c r="S973" s="720">
        <v>50.83</v>
      </c>
      <c r="T973" s="720"/>
      <c r="U973" s="724">
        <v>3101</v>
      </c>
      <c r="V973" s="724" t="str">
        <f t="shared" si="43"/>
        <v>3101</v>
      </c>
      <c r="W973" s="724">
        <v>102</v>
      </c>
      <c r="X973" s="720">
        <v>4.5199999999999996</v>
      </c>
    </row>
    <row r="974" spans="16:24" ht="15" x14ac:dyDescent="0.25">
      <c r="P974" s="719">
        <v>3251</v>
      </c>
      <c r="Q974" s="719" t="str">
        <f t="shared" si="42"/>
        <v>3251</v>
      </c>
      <c r="R974" s="719">
        <v>254</v>
      </c>
      <c r="S974" s="720">
        <v>0.5</v>
      </c>
      <c r="T974" s="720"/>
      <c r="U974" s="724">
        <v>3101</v>
      </c>
      <c r="V974" s="724" t="str">
        <f t="shared" si="43"/>
        <v>3101</v>
      </c>
      <c r="W974" s="724">
        <v>103</v>
      </c>
      <c r="X974" s="720">
        <v>20.72</v>
      </c>
    </row>
    <row r="975" spans="16:24" ht="15" x14ac:dyDescent="0.25">
      <c r="P975" s="719">
        <v>3251</v>
      </c>
      <c r="Q975" s="719" t="str">
        <f t="shared" si="42"/>
        <v>3251</v>
      </c>
      <c r="R975" s="719">
        <v>300</v>
      </c>
      <c r="S975" s="720">
        <v>88.94</v>
      </c>
      <c r="T975" s="720"/>
      <c r="U975" s="724">
        <v>3101</v>
      </c>
      <c r="V975" s="724" t="str">
        <f t="shared" si="43"/>
        <v>3101</v>
      </c>
      <c r="W975" s="724">
        <v>112</v>
      </c>
      <c r="X975" s="720">
        <v>6.36</v>
      </c>
    </row>
    <row r="976" spans="16:24" ht="15" x14ac:dyDescent="0.25">
      <c r="P976" s="719">
        <v>3261</v>
      </c>
      <c r="Q976" s="719" t="str">
        <f t="shared" si="42"/>
        <v>3261</v>
      </c>
      <c r="R976" s="719">
        <v>101</v>
      </c>
      <c r="S976" s="720">
        <v>94.98</v>
      </c>
      <c r="T976" s="720"/>
      <c r="U976" s="724">
        <v>3101</v>
      </c>
      <c r="V976" s="724" t="str">
        <f t="shared" si="43"/>
        <v>3101</v>
      </c>
      <c r="W976" s="724">
        <v>113</v>
      </c>
      <c r="X976" s="720">
        <v>13.3</v>
      </c>
    </row>
    <row r="977" spans="16:24" ht="15" x14ac:dyDescent="0.25">
      <c r="P977" s="719">
        <v>3261</v>
      </c>
      <c r="Q977" s="719" t="str">
        <f t="shared" si="42"/>
        <v>3261</v>
      </c>
      <c r="R977" s="719">
        <v>102</v>
      </c>
      <c r="S977" s="720">
        <v>78.09</v>
      </c>
      <c r="T977" s="720"/>
      <c r="U977" s="724">
        <v>3101</v>
      </c>
      <c r="V977" s="724" t="str">
        <f t="shared" si="43"/>
        <v>3101</v>
      </c>
      <c r="W977" s="724">
        <v>300</v>
      </c>
      <c r="X977" s="720">
        <v>2.78</v>
      </c>
    </row>
    <row r="978" spans="16:24" ht="15" x14ac:dyDescent="0.25">
      <c r="P978" s="719">
        <v>3261</v>
      </c>
      <c r="Q978" s="719" t="str">
        <f t="shared" si="42"/>
        <v>3261</v>
      </c>
      <c r="R978" s="719">
        <v>111</v>
      </c>
      <c r="S978" s="720">
        <v>74</v>
      </c>
      <c r="T978" s="720"/>
      <c r="U978" s="724">
        <v>3251</v>
      </c>
      <c r="V978" s="724" t="str">
        <f t="shared" si="43"/>
        <v>3251</v>
      </c>
      <c r="W978" s="724">
        <v>103</v>
      </c>
      <c r="X978" s="720">
        <v>781.89</v>
      </c>
    </row>
    <row r="979" spans="16:24" ht="15" x14ac:dyDescent="0.25">
      <c r="P979" s="719">
        <v>3261</v>
      </c>
      <c r="Q979" s="719" t="str">
        <f t="shared" si="42"/>
        <v>3261</v>
      </c>
      <c r="R979" s="719">
        <v>112</v>
      </c>
      <c r="S979" s="720">
        <v>37.94</v>
      </c>
      <c r="T979" s="720"/>
      <c r="U979" s="724">
        <v>3251</v>
      </c>
      <c r="V979" s="724" t="str">
        <f t="shared" si="43"/>
        <v>3251</v>
      </c>
      <c r="W979" s="724">
        <v>113</v>
      </c>
      <c r="X979" s="720">
        <v>110.75</v>
      </c>
    </row>
    <row r="980" spans="16:24" ht="15" x14ac:dyDescent="0.25">
      <c r="P980" s="719">
        <v>3261</v>
      </c>
      <c r="Q980" s="719" t="str">
        <f t="shared" si="42"/>
        <v>3261</v>
      </c>
      <c r="R980" s="719">
        <v>130</v>
      </c>
      <c r="S980" s="720">
        <v>85.33</v>
      </c>
      <c r="T980" s="720"/>
      <c r="U980" s="724">
        <v>3251</v>
      </c>
      <c r="V980" s="724" t="str">
        <f t="shared" si="43"/>
        <v>3251</v>
      </c>
      <c r="W980" s="724">
        <v>130</v>
      </c>
      <c r="X980" s="720">
        <v>45.94</v>
      </c>
    </row>
    <row r="981" spans="16:24" ht="15" x14ac:dyDescent="0.25">
      <c r="P981" s="719">
        <v>3261</v>
      </c>
      <c r="Q981" s="719" t="str">
        <f t="shared" si="42"/>
        <v>3261</v>
      </c>
      <c r="R981" s="719">
        <v>254</v>
      </c>
      <c r="S981" s="720">
        <v>2</v>
      </c>
      <c r="T981" s="720"/>
      <c r="U981" s="724">
        <v>3251</v>
      </c>
      <c r="V981" s="724" t="str">
        <f t="shared" si="43"/>
        <v>3251</v>
      </c>
      <c r="W981" s="724">
        <v>254</v>
      </c>
      <c r="X981" s="720">
        <v>0.5</v>
      </c>
    </row>
    <row r="982" spans="16:24" ht="15" x14ac:dyDescent="0.25">
      <c r="P982" s="719">
        <v>3341</v>
      </c>
      <c r="Q982" s="719" t="str">
        <f t="shared" si="42"/>
        <v>3341</v>
      </c>
      <c r="R982" s="719">
        <v>101</v>
      </c>
      <c r="S982" s="720">
        <v>160.71</v>
      </c>
      <c r="T982" s="720"/>
      <c r="U982" s="724">
        <v>3251</v>
      </c>
      <c r="V982" s="724" t="str">
        <f t="shared" si="43"/>
        <v>3251</v>
      </c>
      <c r="W982" s="724">
        <v>300</v>
      </c>
      <c r="X982" s="720">
        <v>86.96</v>
      </c>
    </row>
    <row r="983" spans="16:24" ht="15" x14ac:dyDescent="0.25">
      <c r="P983" s="719">
        <v>3341</v>
      </c>
      <c r="Q983" s="719" t="str">
        <f t="shared" si="42"/>
        <v>3341</v>
      </c>
      <c r="R983" s="719">
        <v>102</v>
      </c>
      <c r="S983" s="720">
        <v>87.33</v>
      </c>
      <c r="T983" s="720"/>
      <c r="U983" s="724">
        <v>3261</v>
      </c>
      <c r="V983" s="724" t="str">
        <f t="shared" si="43"/>
        <v>3261</v>
      </c>
      <c r="W983" s="724">
        <v>101</v>
      </c>
      <c r="X983" s="720">
        <v>97.61</v>
      </c>
    </row>
    <row r="984" spans="16:24" ht="15" x14ac:dyDescent="0.25">
      <c r="P984" s="719">
        <v>3341</v>
      </c>
      <c r="Q984" s="719" t="str">
        <f t="shared" si="42"/>
        <v>3341</v>
      </c>
      <c r="R984" s="719">
        <v>111</v>
      </c>
      <c r="S984" s="720">
        <v>76.55</v>
      </c>
      <c r="T984" s="720"/>
      <c r="U984" s="724">
        <v>3261</v>
      </c>
      <c r="V984" s="724" t="str">
        <f t="shared" si="43"/>
        <v>3261</v>
      </c>
      <c r="W984" s="724">
        <v>102</v>
      </c>
      <c r="X984" s="720">
        <v>78.11</v>
      </c>
    </row>
    <row r="985" spans="16:24" ht="15" x14ac:dyDescent="0.25">
      <c r="P985" s="719">
        <v>3341</v>
      </c>
      <c r="Q985" s="719" t="str">
        <f t="shared" si="42"/>
        <v>3341</v>
      </c>
      <c r="R985" s="719">
        <v>112</v>
      </c>
      <c r="S985" s="720">
        <v>56.44</v>
      </c>
      <c r="T985" s="720"/>
      <c r="U985" s="724">
        <v>3261</v>
      </c>
      <c r="V985" s="724" t="str">
        <f t="shared" si="43"/>
        <v>3261</v>
      </c>
      <c r="W985" s="724">
        <v>111</v>
      </c>
      <c r="X985" s="720">
        <v>80.489999999999995</v>
      </c>
    </row>
    <row r="986" spans="16:24" ht="15" x14ac:dyDescent="0.25">
      <c r="P986" s="719">
        <v>3341</v>
      </c>
      <c r="Q986" s="719" t="str">
        <f t="shared" si="42"/>
        <v>3341</v>
      </c>
      <c r="R986" s="719">
        <v>130</v>
      </c>
      <c r="S986" s="720">
        <v>14.32</v>
      </c>
      <c r="T986" s="720"/>
      <c r="U986" s="724">
        <v>3261</v>
      </c>
      <c r="V986" s="724" t="str">
        <f t="shared" si="43"/>
        <v>3261</v>
      </c>
      <c r="W986" s="724">
        <v>112</v>
      </c>
      <c r="X986" s="720">
        <v>37.43</v>
      </c>
    </row>
    <row r="987" spans="16:24" ht="15" x14ac:dyDescent="0.25">
      <c r="P987" s="719">
        <v>3345</v>
      </c>
      <c r="Q987" s="719" t="str">
        <f t="shared" si="42"/>
        <v>3345</v>
      </c>
      <c r="R987" s="719">
        <v>113</v>
      </c>
      <c r="S987" s="720">
        <v>40.5</v>
      </c>
      <c r="T987" s="720"/>
      <c r="U987" s="724">
        <v>3261</v>
      </c>
      <c r="V987" s="724" t="str">
        <f t="shared" si="43"/>
        <v>3261</v>
      </c>
      <c r="W987" s="724">
        <v>130</v>
      </c>
      <c r="X987" s="720">
        <v>81.59</v>
      </c>
    </row>
    <row r="988" spans="16:24" ht="15" x14ac:dyDescent="0.25">
      <c r="P988" s="719">
        <v>3345</v>
      </c>
      <c r="Q988" s="719" t="str">
        <f t="shared" si="42"/>
        <v>3345</v>
      </c>
      <c r="R988" s="719">
        <v>254</v>
      </c>
      <c r="S988" s="720">
        <v>0.5</v>
      </c>
      <c r="T988" s="720"/>
      <c r="U988" s="724">
        <v>3261</v>
      </c>
      <c r="V988" s="724" t="str">
        <f t="shared" si="43"/>
        <v>3261</v>
      </c>
      <c r="W988" s="724">
        <v>254</v>
      </c>
      <c r="X988" s="720">
        <v>2</v>
      </c>
    </row>
    <row r="989" spans="16:24" ht="15" x14ac:dyDescent="0.25">
      <c r="P989" s="719">
        <v>3351</v>
      </c>
      <c r="Q989" s="719" t="str">
        <f t="shared" si="42"/>
        <v>3351</v>
      </c>
      <c r="R989" s="719">
        <v>101</v>
      </c>
      <c r="S989" s="720">
        <v>121.77</v>
      </c>
      <c r="T989" s="720"/>
      <c r="U989" s="724">
        <v>3341</v>
      </c>
      <c r="V989" s="724" t="str">
        <f t="shared" si="43"/>
        <v>3341</v>
      </c>
      <c r="W989" s="724">
        <v>101</v>
      </c>
      <c r="X989" s="720">
        <v>151.11000000000001</v>
      </c>
    </row>
    <row r="990" spans="16:24" ht="15" x14ac:dyDescent="0.25">
      <c r="P990" s="719">
        <v>3351</v>
      </c>
      <c r="Q990" s="719" t="str">
        <f t="shared" si="42"/>
        <v>3351</v>
      </c>
      <c r="R990" s="719">
        <v>102</v>
      </c>
      <c r="S990" s="720">
        <v>77.989999999999995</v>
      </c>
      <c r="T990" s="720"/>
      <c r="U990" s="724">
        <v>3341</v>
      </c>
      <c r="V990" s="724" t="str">
        <f t="shared" si="43"/>
        <v>3341</v>
      </c>
      <c r="W990" s="724">
        <v>102</v>
      </c>
      <c r="X990" s="720">
        <v>86.41</v>
      </c>
    </row>
    <row r="991" spans="16:24" ht="15" x14ac:dyDescent="0.25">
      <c r="P991" s="719">
        <v>3351</v>
      </c>
      <c r="Q991" s="719" t="str">
        <f t="shared" si="42"/>
        <v>3351</v>
      </c>
      <c r="R991" s="719">
        <v>111</v>
      </c>
      <c r="S991" s="720">
        <v>43.09</v>
      </c>
      <c r="T991" s="720"/>
      <c r="U991" s="724">
        <v>3341</v>
      </c>
      <c r="V991" s="724" t="str">
        <f t="shared" si="43"/>
        <v>3341</v>
      </c>
      <c r="W991" s="724">
        <v>111</v>
      </c>
      <c r="X991" s="720">
        <v>88.48</v>
      </c>
    </row>
    <row r="992" spans="16:24" ht="15" x14ac:dyDescent="0.25">
      <c r="P992" s="719">
        <v>3351</v>
      </c>
      <c r="Q992" s="719" t="str">
        <f t="shared" si="42"/>
        <v>3351</v>
      </c>
      <c r="R992" s="719">
        <v>112</v>
      </c>
      <c r="S992" s="720">
        <v>39.72</v>
      </c>
      <c r="T992" s="720"/>
      <c r="U992" s="724">
        <v>3341</v>
      </c>
      <c r="V992" s="724" t="str">
        <f t="shared" si="43"/>
        <v>3341</v>
      </c>
      <c r="W992" s="724">
        <v>112</v>
      </c>
      <c r="X992" s="720">
        <v>55.94</v>
      </c>
    </row>
    <row r="993" spans="16:24" ht="15" x14ac:dyDescent="0.25">
      <c r="P993" s="719">
        <v>3351</v>
      </c>
      <c r="Q993" s="719" t="str">
        <f t="shared" si="42"/>
        <v>3351</v>
      </c>
      <c r="R993" s="719">
        <v>130</v>
      </c>
      <c r="S993" s="720">
        <v>20.8</v>
      </c>
      <c r="T993" s="720"/>
      <c r="U993" s="724">
        <v>3341</v>
      </c>
      <c r="V993" s="724" t="str">
        <f t="shared" si="43"/>
        <v>3341</v>
      </c>
      <c r="W993" s="724">
        <v>130</v>
      </c>
      <c r="X993" s="720">
        <v>16.38</v>
      </c>
    </row>
    <row r="994" spans="16:24" ht="15" x14ac:dyDescent="0.25">
      <c r="P994" s="719">
        <v>3351</v>
      </c>
      <c r="Q994" s="719" t="str">
        <f t="shared" si="42"/>
        <v>3351</v>
      </c>
      <c r="R994" s="719">
        <v>254</v>
      </c>
      <c r="S994" s="720">
        <v>2.5</v>
      </c>
      <c r="T994" s="720"/>
      <c r="U994" s="724">
        <v>3345</v>
      </c>
      <c r="V994" s="724" t="str">
        <f t="shared" si="43"/>
        <v>3345</v>
      </c>
      <c r="W994" s="724">
        <v>113</v>
      </c>
      <c r="X994" s="720">
        <v>41</v>
      </c>
    </row>
    <row r="995" spans="16:24" ht="15" x14ac:dyDescent="0.25">
      <c r="P995" s="719">
        <v>3355</v>
      </c>
      <c r="Q995" s="719" t="str">
        <f t="shared" si="42"/>
        <v>3355</v>
      </c>
      <c r="R995" s="719">
        <v>102</v>
      </c>
      <c r="S995" s="720">
        <v>11.56</v>
      </c>
      <c r="T995" s="720"/>
      <c r="U995" s="724">
        <v>3345</v>
      </c>
      <c r="V995" s="724" t="str">
        <f t="shared" si="43"/>
        <v>3345</v>
      </c>
      <c r="W995" s="724">
        <v>254</v>
      </c>
      <c r="X995" s="720">
        <v>1</v>
      </c>
    </row>
    <row r="996" spans="16:24" ht="15" x14ac:dyDescent="0.25">
      <c r="P996" s="719">
        <v>3355</v>
      </c>
      <c r="Q996" s="719" t="str">
        <f t="shared" si="42"/>
        <v>3355</v>
      </c>
      <c r="R996" s="719">
        <v>103</v>
      </c>
      <c r="S996" s="720">
        <v>30.23</v>
      </c>
      <c r="T996" s="720"/>
      <c r="U996" s="724">
        <v>3351</v>
      </c>
      <c r="V996" s="724" t="str">
        <f t="shared" si="43"/>
        <v>3351</v>
      </c>
      <c r="W996" s="724">
        <v>101</v>
      </c>
      <c r="X996" s="720">
        <v>119.83</v>
      </c>
    </row>
    <row r="997" spans="16:24" ht="15" x14ac:dyDescent="0.25">
      <c r="P997" s="719">
        <v>3355</v>
      </c>
      <c r="Q997" s="719" t="str">
        <f t="shared" si="42"/>
        <v>3355</v>
      </c>
      <c r="R997" s="719">
        <v>112</v>
      </c>
      <c r="S997" s="720">
        <v>3</v>
      </c>
      <c r="T997" s="720"/>
      <c r="U997" s="724">
        <v>3351</v>
      </c>
      <c r="V997" s="724" t="str">
        <f t="shared" si="43"/>
        <v>3351</v>
      </c>
      <c r="W997" s="724">
        <v>102</v>
      </c>
      <c r="X997" s="720">
        <v>75.489999999999995</v>
      </c>
    </row>
    <row r="998" spans="16:24" ht="15" x14ac:dyDescent="0.25">
      <c r="P998" s="719">
        <v>3355</v>
      </c>
      <c r="Q998" s="719" t="str">
        <f t="shared" si="42"/>
        <v>3355</v>
      </c>
      <c r="R998" s="719">
        <v>113</v>
      </c>
      <c r="S998" s="720">
        <v>6.95</v>
      </c>
      <c r="T998" s="720"/>
      <c r="U998" s="724">
        <v>3351</v>
      </c>
      <c r="V998" s="724" t="str">
        <f t="shared" si="43"/>
        <v>3351</v>
      </c>
      <c r="W998" s="724">
        <v>111</v>
      </c>
      <c r="X998" s="720">
        <v>43.98</v>
      </c>
    </row>
    <row r="999" spans="16:24" ht="15" x14ac:dyDescent="0.25">
      <c r="P999" s="719">
        <v>3355</v>
      </c>
      <c r="Q999" s="719" t="str">
        <f t="shared" si="42"/>
        <v>3355</v>
      </c>
      <c r="R999" s="719">
        <v>130</v>
      </c>
      <c r="S999" s="720">
        <v>0.28999999999999998</v>
      </c>
      <c r="T999" s="720"/>
      <c r="U999" s="724">
        <v>3351</v>
      </c>
      <c r="V999" s="724" t="str">
        <f t="shared" si="43"/>
        <v>3351</v>
      </c>
      <c r="W999" s="724">
        <v>112</v>
      </c>
      <c r="X999" s="720">
        <v>40.97</v>
      </c>
    </row>
    <row r="1000" spans="16:24" ht="15" x14ac:dyDescent="0.25">
      <c r="P1000" s="719">
        <v>3355</v>
      </c>
      <c r="Q1000" s="719" t="str">
        <f t="shared" si="42"/>
        <v>3355</v>
      </c>
      <c r="R1000" s="719">
        <v>300</v>
      </c>
      <c r="S1000" s="720">
        <v>5.04</v>
      </c>
      <c r="T1000" s="720"/>
      <c r="U1000" s="724">
        <v>3351</v>
      </c>
      <c r="V1000" s="724" t="str">
        <f t="shared" si="43"/>
        <v>3351</v>
      </c>
      <c r="W1000" s="724">
        <v>130</v>
      </c>
      <c r="X1000" s="720">
        <v>21.19</v>
      </c>
    </row>
    <row r="1001" spans="16:24" ht="15" x14ac:dyDescent="0.25">
      <c r="P1001" s="719">
        <v>3361</v>
      </c>
      <c r="Q1001" s="719" t="str">
        <f t="shared" si="42"/>
        <v>3361</v>
      </c>
      <c r="R1001" s="719">
        <v>101</v>
      </c>
      <c r="S1001" s="720">
        <v>176.9</v>
      </c>
      <c r="T1001" s="720"/>
      <c r="U1001" s="724">
        <v>3351</v>
      </c>
      <c r="V1001" s="724" t="str">
        <f t="shared" si="43"/>
        <v>3351</v>
      </c>
      <c r="W1001" s="724">
        <v>254</v>
      </c>
      <c r="X1001" s="720">
        <v>1</v>
      </c>
    </row>
    <row r="1002" spans="16:24" ht="15" x14ac:dyDescent="0.25">
      <c r="P1002" s="719">
        <v>3361</v>
      </c>
      <c r="Q1002" s="719" t="str">
        <f t="shared" si="42"/>
        <v>3361</v>
      </c>
      <c r="R1002" s="719">
        <v>102</v>
      </c>
      <c r="S1002" s="720">
        <v>102.35</v>
      </c>
      <c r="T1002" s="720"/>
      <c r="U1002" s="724">
        <v>3355</v>
      </c>
      <c r="V1002" s="724" t="str">
        <f t="shared" si="43"/>
        <v>3355</v>
      </c>
      <c r="W1002" s="724">
        <v>102</v>
      </c>
      <c r="X1002" s="720">
        <v>13.43</v>
      </c>
    </row>
    <row r="1003" spans="16:24" ht="15" x14ac:dyDescent="0.25">
      <c r="P1003" s="719">
        <v>3361</v>
      </c>
      <c r="Q1003" s="719" t="str">
        <f t="shared" si="42"/>
        <v>3361</v>
      </c>
      <c r="R1003" s="719">
        <v>111</v>
      </c>
      <c r="S1003" s="720">
        <v>53.23</v>
      </c>
      <c r="T1003" s="720"/>
      <c r="U1003" s="724">
        <v>3355</v>
      </c>
      <c r="V1003" s="724" t="str">
        <f t="shared" si="43"/>
        <v>3355</v>
      </c>
      <c r="W1003" s="724">
        <v>103</v>
      </c>
      <c r="X1003" s="720">
        <v>34.96</v>
      </c>
    </row>
    <row r="1004" spans="16:24" ht="15" x14ac:dyDescent="0.25">
      <c r="P1004" s="719">
        <v>3361</v>
      </c>
      <c r="Q1004" s="719" t="str">
        <f t="shared" si="42"/>
        <v>3361</v>
      </c>
      <c r="R1004" s="719">
        <v>112</v>
      </c>
      <c r="S1004" s="720">
        <v>36.47</v>
      </c>
      <c r="T1004" s="720"/>
      <c r="U1004" s="724">
        <v>3355</v>
      </c>
      <c r="V1004" s="724" t="str">
        <f t="shared" si="43"/>
        <v>3355</v>
      </c>
      <c r="W1004" s="724">
        <v>112</v>
      </c>
      <c r="X1004" s="720">
        <v>4.04</v>
      </c>
    </row>
    <row r="1005" spans="16:24" ht="15" x14ac:dyDescent="0.25">
      <c r="P1005" s="719">
        <v>3361</v>
      </c>
      <c r="Q1005" s="719" t="str">
        <f t="shared" si="42"/>
        <v>3361</v>
      </c>
      <c r="R1005" s="719">
        <v>130</v>
      </c>
      <c r="S1005" s="720">
        <v>32.770000000000003</v>
      </c>
      <c r="T1005" s="720"/>
      <c r="U1005" s="724">
        <v>3355</v>
      </c>
      <c r="V1005" s="724" t="str">
        <f t="shared" si="43"/>
        <v>3355</v>
      </c>
      <c r="W1005" s="724">
        <v>113</v>
      </c>
      <c r="X1005" s="720">
        <v>6.18</v>
      </c>
    </row>
    <row r="1006" spans="16:24" ht="15" x14ac:dyDescent="0.25">
      <c r="P1006" s="719">
        <v>3362</v>
      </c>
      <c r="Q1006" s="719" t="str">
        <f t="shared" si="42"/>
        <v>3362</v>
      </c>
      <c r="R1006" s="719">
        <v>101</v>
      </c>
      <c r="S1006" s="720">
        <v>49.71</v>
      </c>
      <c r="T1006" s="720"/>
      <c r="U1006" s="724">
        <v>3355</v>
      </c>
      <c r="V1006" s="724" t="str">
        <f t="shared" si="43"/>
        <v>3355</v>
      </c>
      <c r="W1006" s="724">
        <v>130</v>
      </c>
      <c r="X1006" s="720">
        <v>0.64</v>
      </c>
    </row>
    <row r="1007" spans="16:24" ht="15" x14ac:dyDescent="0.25">
      <c r="P1007" s="719">
        <v>3362</v>
      </c>
      <c r="Q1007" s="719" t="str">
        <f t="shared" si="42"/>
        <v>3362</v>
      </c>
      <c r="R1007" s="719">
        <v>102</v>
      </c>
      <c r="S1007" s="720">
        <v>13.57</v>
      </c>
      <c r="T1007" s="720"/>
      <c r="U1007" s="724">
        <v>3355</v>
      </c>
      <c r="V1007" s="724" t="str">
        <f t="shared" si="43"/>
        <v>3355</v>
      </c>
      <c r="W1007" s="724">
        <v>300</v>
      </c>
      <c r="X1007" s="720">
        <v>3.64</v>
      </c>
    </row>
    <row r="1008" spans="16:24" ht="15" x14ac:dyDescent="0.25">
      <c r="P1008" s="719">
        <v>3362</v>
      </c>
      <c r="Q1008" s="719" t="str">
        <f t="shared" si="42"/>
        <v>3362</v>
      </c>
      <c r="R1008" s="719">
        <v>111</v>
      </c>
      <c r="S1008" s="720">
        <v>6.51</v>
      </c>
      <c r="T1008" s="720"/>
      <c r="U1008" s="724">
        <v>3361</v>
      </c>
      <c r="V1008" s="724" t="str">
        <f t="shared" si="43"/>
        <v>3361</v>
      </c>
      <c r="W1008" s="724">
        <v>101</v>
      </c>
      <c r="X1008" s="720">
        <v>170.11</v>
      </c>
    </row>
    <row r="1009" spans="16:24" ht="15" x14ac:dyDescent="0.25">
      <c r="P1009" s="719">
        <v>3362</v>
      </c>
      <c r="Q1009" s="719" t="str">
        <f t="shared" si="42"/>
        <v>3362</v>
      </c>
      <c r="R1009" s="719">
        <v>112</v>
      </c>
      <c r="S1009" s="720">
        <v>3.5</v>
      </c>
      <c r="T1009" s="720"/>
      <c r="U1009" s="724">
        <v>3361</v>
      </c>
      <c r="V1009" s="724" t="str">
        <f t="shared" si="43"/>
        <v>3361</v>
      </c>
      <c r="W1009" s="724">
        <v>102</v>
      </c>
      <c r="X1009" s="720">
        <v>102.93</v>
      </c>
    </row>
    <row r="1010" spans="16:24" ht="15" x14ac:dyDescent="0.25">
      <c r="P1010" s="719">
        <v>3362</v>
      </c>
      <c r="Q1010" s="719" t="str">
        <f t="shared" si="42"/>
        <v>3362</v>
      </c>
      <c r="R1010" s="719">
        <v>130</v>
      </c>
      <c r="S1010" s="720">
        <v>6.59</v>
      </c>
      <c r="T1010" s="720"/>
      <c r="U1010" s="724">
        <v>3361</v>
      </c>
      <c r="V1010" s="724" t="str">
        <f t="shared" si="43"/>
        <v>3361</v>
      </c>
      <c r="W1010" s="724">
        <v>111</v>
      </c>
      <c r="X1010" s="720">
        <v>57.49</v>
      </c>
    </row>
    <row r="1011" spans="16:24" ht="15" x14ac:dyDescent="0.25">
      <c r="P1011" s="719">
        <v>3371</v>
      </c>
      <c r="Q1011" s="719" t="str">
        <f t="shared" si="42"/>
        <v>3371</v>
      </c>
      <c r="R1011" s="719">
        <v>102</v>
      </c>
      <c r="S1011" s="720">
        <v>406.02</v>
      </c>
      <c r="T1011" s="720"/>
      <c r="U1011" s="724">
        <v>3361</v>
      </c>
      <c r="V1011" s="724" t="str">
        <f t="shared" si="43"/>
        <v>3361</v>
      </c>
      <c r="W1011" s="724">
        <v>112</v>
      </c>
      <c r="X1011" s="720">
        <v>36.909999999999997</v>
      </c>
    </row>
    <row r="1012" spans="16:24" ht="15" x14ac:dyDescent="0.25">
      <c r="P1012" s="719">
        <v>3371</v>
      </c>
      <c r="Q1012" s="719" t="str">
        <f t="shared" si="42"/>
        <v>3371</v>
      </c>
      <c r="R1012" s="719">
        <v>112</v>
      </c>
      <c r="S1012" s="720">
        <v>157.76</v>
      </c>
      <c r="T1012" s="720"/>
      <c r="U1012" s="724">
        <v>3361</v>
      </c>
      <c r="V1012" s="724" t="str">
        <f t="shared" si="43"/>
        <v>3361</v>
      </c>
      <c r="W1012" s="724">
        <v>130</v>
      </c>
      <c r="X1012" s="720">
        <v>37.22</v>
      </c>
    </row>
    <row r="1013" spans="16:24" ht="15" x14ac:dyDescent="0.25">
      <c r="P1013" s="719">
        <v>3371</v>
      </c>
      <c r="Q1013" s="719" t="str">
        <f t="shared" si="42"/>
        <v>3371</v>
      </c>
      <c r="R1013" s="719">
        <v>130</v>
      </c>
      <c r="S1013" s="720">
        <v>11.45</v>
      </c>
      <c r="T1013" s="720"/>
      <c r="U1013" s="724">
        <v>3362</v>
      </c>
      <c r="V1013" s="724" t="str">
        <f t="shared" si="43"/>
        <v>3362</v>
      </c>
      <c r="W1013" s="724">
        <v>101</v>
      </c>
      <c r="X1013" s="720">
        <v>49.42</v>
      </c>
    </row>
    <row r="1014" spans="16:24" ht="15" x14ac:dyDescent="0.25">
      <c r="P1014" s="719">
        <v>3371</v>
      </c>
      <c r="Q1014" s="719" t="str">
        <f t="shared" si="42"/>
        <v>3371</v>
      </c>
      <c r="R1014" s="719">
        <v>254</v>
      </c>
      <c r="S1014" s="720">
        <v>3</v>
      </c>
      <c r="T1014" s="720"/>
      <c r="U1014" s="724">
        <v>3362</v>
      </c>
      <c r="V1014" s="724" t="str">
        <f t="shared" si="43"/>
        <v>3362</v>
      </c>
      <c r="W1014" s="724">
        <v>102</v>
      </c>
      <c r="X1014" s="720">
        <v>12.56</v>
      </c>
    </row>
    <row r="1015" spans="16:24" ht="15" x14ac:dyDescent="0.25">
      <c r="P1015" s="719">
        <v>3371</v>
      </c>
      <c r="Q1015" s="719" t="str">
        <f t="shared" si="42"/>
        <v>3371</v>
      </c>
      <c r="R1015" s="719">
        <v>255</v>
      </c>
      <c r="S1015" s="720">
        <v>2</v>
      </c>
      <c r="T1015" s="720"/>
      <c r="U1015" s="724">
        <v>3362</v>
      </c>
      <c r="V1015" s="724" t="str">
        <f t="shared" si="43"/>
        <v>3362</v>
      </c>
      <c r="W1015" s="724">
        <v>111</v>
      </c>
      <c r="X1015" s="720">
        <v>8.51</v>
      </c>
    </row>
    <row r="1016" spans="16:24" ht="15" x14ac:dyDescent="0.25">
      <c r="P1016" s="719">
        <v>3381</v>
      </c>
      <c r="Q1016" s="719" t="str">
        <f t="shared" si="42"/>
        <v>3381</v>
      </c>
      <c r="R1016" s="719">
        <v>101</v>
      </c>
      <c r="S1016" s="720">
        <v>171.48</v>
      </c>
      <c r="T1016" s="720"/>
      <c r="U1016" s="724">
        <v>3362</v>
      </c>
      <c r="V1016" s="724" t="str">
        <f t="shared" si="43"/>
        <v>3362</v>
      </c>
      <c r="W1016" s="724">
        <v>112</v>
      </c>
      <c r="X1016" s="720">
        <v>4.0199999999999996</v>
      </c>
    </row>
    <row r="1017" spans="16:24" ht="15" x14ac:dyDescent="0.25">
      <c r="P1017" s="719">
        <v>3381</v>
      </c>
      <c r="Q1017" s="719" t="str">
        <f t="shared" si="42"/>
        <v>3381</v>
      </c>
      <c r="R1017" s="719">
        <v>102</v>
      </c>
      <c r="S1017" s="720">
        <v>230.08</v>
      </c>
      <c r="T1017" s="720"/>
      <c r="U1017" s="724">
        <v>3362</v>
      </c>
      <c r="V1017" s="724" t="str">
        <f t="shared" si="43"/>
        <v>3362</v>
      </c>
      <c r="W1017" s="724">
        <v>130</v>
      </c>
      <c r="X1017" s="720">
        <v>6.6</v>
      </c>
    </row>
    <row r="1018" spans="16:24" ht="15" x14ac:dyDescent="0.25">
      <c r="P1018" s="719">
        <v>3381</v>
      </c>
      <c r="Q1018" s="719" t="str">
        <f t="shared" si="42"/>
        <v>3381</v>
      </c>
      <c r="R1018" s="719">
        <v>111</v>
      </c>
      <c r="S1018" s="720">
        <v>29.03</v>
      </c>
      <c r="T1018" s="720"/>
      <c r="U1018" s="724">
        <v>3371</v>
      </c>
      <c r="V1018" s="724" t="str">
        <f t="shared" si="43"/>
        <v>3371</v>
      </c>
      <c r="W1018" s="724">
        <v>102</v>
      </c>
      <c r="X1018" s="720">
        <v>404.45</v>
      </c>
    </row>
    <row r="1019" spans="16:24" ht="15" x14ac:dyDescent="0.25">
      <c r="P1019" s="719">
        <v>3381</v>
      </c>
      <c r="Q1019" s="719" t="str">
        <f t="shared" si="42"/>
        <v>3381</v>
      </c>
      <c r="R1019" s="719">
        <v>112</v>
      </c>
      <c r="S1019" s="720">
        <v>61.56</v>
      </c>
      <c r="T1019" s="720"/>
      <c r="U1019" s="724">
        <v>3371</v>
      </c>
      <c r="V1019" s="724" t="str">
        <f t="shared" si="43"/>
        <v>3371</v>
      </c>
      <c r="W1019" s="724">
        <v>112</v>
      </c>
      <c r="X1019" s="720">
        <v>155.63999999999999</v>
      </c>
    </row>
    <row r="1020" spans="16:24" ht="15" x14ac:dyDescent="0.25">
      <c r="P1020" s="719">
        <v>3381</v>
      </c>
      <c r="Q1020" s="719" t="str">
        <f t="shared" si="42"/>
        <v>3381</v>
      </c>
      <c r="R1020" s="719">
        <v>130</v>
      </c>
      <c r="S1020" s="720">
        <v>32.17</v>
      </c>
      <c r="T1020" s="720"/>
      <c r="U1020" s="724">
        <v>3371</v>
      </c>
      <c r="V1020" s="724" t="str">
        <f t="shared" si="43"/>
        <v>3371</v>
      </c>
      <c r="W1020" s="724">
        <v>130</v>
      </c>
      <c r="X1020" s="720">
        <v>9.9</v>
      </c>
    </row>
    <row r="1021" spans="16:24" ht="15" x14ac:dyDescent="0.25">
      <c r="P1021" s="719">
        <v>3382</v>
      </c>
      <c r="Q1021" s="719" t="str">
        <f t="shared" si="42"/>
        <v>3382</v>
      </c>
      <c r="R1021" s="719">
        <v>101</v>
      </c>
      <c r="S1021" s="720">
        <v>41.51</v>
      </c>
      <c r="T1021" s="720"/>
      <c r="U1021" s="724">
        <v>3371</v>
      </c>
      <c r="V1021" s="724" t="str">
        <f t="shared" si="43"/>
        <v>3371</v>
      </c>
      <c r="W1021" s="724">
        <v>254</v>
      </c>
      <c r="X1021" s="720">
        <v>2</v>
      </c>
    </row>
    <row r="1022" spans="16:24" ht="15" x14ac:dyDescent="0.25">
      <c r="P1022" s="719">
        <v>3382</v>
      </c>
      <c r="Q1022" s="719" t="str">
        <f t="shared" si="42"/>
        <v>3382</v>
      </c>
      <c r="R1022" s="719">
        <v>102</v>
      </c>
      <c r="S1022" s="720">
        <v>62.07</v>
      </c>
      <c r="T1022" s="720"/>
      <c r="U1022" s="724">
        <v>3371</v>
      </c>
      <c r="V1022" s="724" t="str">
        <f t="shared" si="43"/>
        <v>3371</v>
      </c>
      <c r="W1022" s="724">
        <v>255</v>
      </c>
      <c r="X1022" s="720">
        <v>2</v>
      </c>
    </row>
    <row r="1023" spans="16:24" ht="15" x14ac:dyDescent="0.25">
      <c r="P1023" s="719">
        <v>3382</v>
      </c>
      <c r="Q1023" s="719" t="str">
        <f t="shared" si="42"/>
        <v>3382</v>
      </c>
      <c r="R1023" s="719">
        <v>111</v>
      </c>
      <c r="S1023" s="720">
        <v>8.01</v>
      </c>
      <c r="T1023" s="720"/>
      <c r="U1023" s="724">
        <v>3381</v>
      </c>
      <c r="V1023" s="724" t="str">
        <f t="shared" si="43"/>
        <v>3381</v>
      </c>
      <c r="W1023" s="724">
        <v>101</v>
      </c>
      <c r="X1023" s="720">
        <v>171.7</v>
      </c>
    </row>
    <row r="1024" spans="16:24" ht="15" x14ac:dyDescent="0.25">
      <c r="P1024" s="719">
        <v>3382</v>
      </c>
      <c r="Q1024" s="719" t="str">
        <f t="shared" si="42"/>
        <v>3382</v>
      </c>
      <c r="R1024" s="719">
        <v>112</v>
      </c>
      <c r="S1024" s="720">
        <v>19.96</v>
      </c>
      <c r="T1024" s="720"/>
      <c r="U1024" s="724">
        <v>3381</v>
      </c>
      <c r="V1024" s="724" t="str">
        <f t="shared" si="43"/>
        <v>3381</v>
      </c>
      <c r="W1024" s="724">
        <v>102</v>
      </c>
      <c r="X1024" s="720">
        <v>225.17</v>
      </c>
    </row>
    <row r="1025" spans="16:24" ht="15" x14ac:dyDescent="0.25">
      <c r="P1025" s="719">
        <v>3382</v>
      </c>
      <c r="Q1025" s="719" t="str">
        <f t="shared" si="42"/>
        <v>3382</v>
      </c>
      <c r="R1025" s="719">
        <v>130</v>
      </c>
      <c r="S1025" s="720">
        <v>3.88</v>
      </c>
      <c r="T1025" s="720"/>
      <c r="U1025" s="724">
        <v>3381</v>
      </c>
      <c r="V1025" s="724" t="str">
        <f t="shared" si="43"/>
        <v>3381</v>
      </c>
      <c r="W1025" s="724">
        <v>111</v>
      </c>
      <c r="X1025" s="720">
        <v>30.14</v>
      </c>
    </row>
    <row r="1026" spans="16:24" ht="15" x14ac:dyDescent="0.25">
      <c r="P1026" s="719">
        <v>3394</v>
      </c>
      <c r="Q1026" s="719" t="str">
        <f t="shared" si="42"/>
        <v>3394</v>
      </c>
      <c r="R1026" s="719">
        <v>101</v>
      </c>
      <c r="S1026" s="720">
        <v>39.61</v>
      </c>
      <c r="T1026" s="720"/>
      <c r="U1026" s="724">
        <v>3381</v>
      </c>
      <c r="V1026" s="724" t="str">
        <f t="shared" si="43"/>
        <v>3381</v>
      </c>
      <c r="W1026" s="724">
        <v>112</v>
      </c>
      <c r="X1026" s="720">
        <v>64.45</v>
      </c>
    </row>
    <row r="1027" spans="16:24" ht="15" x14ac:dyDescent="0.25">
      <c r="P1027" s="719">
        <v>3394</v>
      </c>
      <c r="Q1027" s="719" t="str">
        <f t="shared" ref="Q1027:Q1090" si="44">TEXT(P1027,"0000")</f>
        <v>3394</v>
      </c>
      <c r="R1027" s="719">
        <v>102</v>
      </c>
      <c r="S1027" s="720">
        <v>14.78</v>
      </c>
      <c r="T1027" s="720"/>
      <c r="U1027" s="724">
        <v>3381</v>
      </c>
      <c r="V1027" s="724" t="str">
        <f t="shared" si="43"/>
        <v>3381</v>
      </c>
      <c r="W1027" s="724">
        <v>130</v>
      </c>
      <c r="X1027" s="720">
        <v>34.06</v>
      </c>
    </row>
    <row r="1028" spans="16:24" ht="15" x14ac:dyDescent="0.25">
      <c r="P1028" s="719">
        <v>3394</v>
      </c>
      <c r="Q1028" s="719" t="str">
        <f t="shared" si="44"/>
        <v>3394</v>
      </c>
      <c r="R1028" s="719">
        <v>111</v>
      </c>
      <c r="S1028" s="720">
        <v>4</v>
      </c>
      <c r="T1028" s="720"/>
      <c r="U1028" s="724">
        <v>3382</v>
      </c>
      <c r="V1028" s="724" t="str">
        <f t="shared" ref="V1028:V1091" si="45">TEXT(U1028,"0000")</f>
        <v>3382</v>
      </c>
      <c r="W1028" s="724">
        <v>101</v>
      </c>
      <c r="X1028" s="720">
        <v>37.42</v>
      </c>
    </row>
    <row r="1029" spans="16:24" ht="15" x14ac:dyDescent="0.25">
      <c r="P1029" s="719">
        <v>3394</v>
      </c>
      <c r="Q1029" s="719" t="str">
        <f t="shared" si="44"/>
        <v>3394</v>
      </c>
      <c r="R1029" s="719">
        <v>112</v>
      </c>
      <c r="S1029" s="720">
        <v>4</v>
      </c>
      <c r="T1029" s="720"/>
      <c r="U1029" s="724">
        <v>3382</v>
      </c>
      <c r="V1029" s="724" t="str">
        <f t="shared" si="45"/>
        <v>3382</v>
      </c>
      <c r="W1029" s="724">
        <v>102</v>
      </c>
      <c r="X1029" s="720">
        <v>61.35</v>
      </c>
    </row>
    <row r="1030" spans="16:24" ht="15" x14ac:dyDescent="0.25">
      <c r="P1030" s="719">
        <v>3394</v>
      </c>
      <c r="Q1030" s="719" t="str">
        <f t="shared" si="44"/>
        <v>3394</v>
      </c>
      <c r="R1030" s="719">
        <v>130</v>
      </c>
      <c r="S1030" s="720">
        <v>34.1</v>
      </c>
      <c r="T1030" s="720"/>
      <c r="U1030" s="724">
        <v>3382</v>
      </c>
      <c r="V1030" s="724" t="str">
        <f t="shared" si="45"/>
        <v>3382</v>
      </c>
      <c r="W1030" s="724">
        <v>111</v>
      </c>
      <c r="X1030" s="720">
        <v>7.49</v>
      </c>
    </row>
    <row r="1031" spans="16:24" ht="15" x14ac:dyDescent="0.25">
      <c r="P1031" s="719">
        <v>3395</v>
      </c>
      <c r="Q1031" s="719" t="str">
        <f t="shared" si="44"/>
        <v>3395</v>
      </c>
      <c r="R1031" s="719">
        <v>101</v>
      </c>
      <c r="S1031" s="720">
        <v>63.89</v>
      </c>
      <c r="T1031" s="720"/>
      <c r="U1031" s="724">
        <v>3382</v>
      </c>
      <c r="V1031" s="724" t="str">
        <f t="shared" si="45"/>
        <v>3382</v>
      </c>
      <c r="W1031" s="724">
        <v>112</v>
      </c>
      <c r="X1031" s="720">
        <v>16.53</v>
      </c>
    </row>
    <row r="1032" spans="16:24" ht="15" x14ac:dyDescent="0.25">
      <c r="P1032" s="719">
        <v>3395</v>
      </c>
      <c r="Q1032" s="719" t="str">
        <f t="shared" si="44"/>
        <v>3395</v>
      </c>
      <c r="R1032" s="719">
        <v>102</v>
      </c>
      <c r="S1032" s="720">
        <v>114.68</v>
      </c>
      <c r="T1032" s="720"/>
      <c r="U1032" s="724">
        <v>3382</v>
      </c>
      <c r="V1032" s="724" t="str">
        <f t="shared" si="45"/>
        <v>3382</v>
      </c>
      <c r="W1032" s="724">
        <v>130</v>
      </c>
      <c r="X1032" s="720">
        <v>3.49</v>
      </c>
    </row>
    <row r="1033" spans="16:24" ht="15" x14ac:dyDescent="0.25">
      <c r="P1033" s="719">
        <v>3395</v>
      </c>
      <c r="Q1033" s="719" t="str">
        <f t="shared" si="44"/>
        <v>3395</v>
      </c>
      <c r="R1033" s="719">
        <v>111</v>
      </c>
      <c r="S1033" s="720">
        <v>10.51</v>
      </c>
      <c r="T1033" s="720"/>
      <c r="U1033" s="724">
        <v>3394</v>
      </c>
      <c r="V1033" s="724" t="str">
        <f t="shared" si="45"/>
        <v>3394</v>
      </c>
      <c r="W1033" s="724">
        <v>101</v>
      </c>
      <c r="X1033" s="720">
        <v>38.08</v>
      </c>
    </row>
    <row r="1034" spans="16:24" ht="15" x14ac:dyDescent="0.25">
      <c r="P1034" s="719">
        <v>3395</v>
      </c>
      <c r="Q1034" s="719" t="str">
        <f t="shared" si="44"/>
        <v>3395</v>
      </c>
      <c r="R1034" s="719">
        <v>112</v>
      </c>
      <c r="S1034" s="720">
        <v>17.489999999999998</v>
      </c>
      <c r="T1034" s="720"/>
      <c r="U1034" s="724">
        <v>3394</v>
      </c>
      <c r="V1034" s="724" t="str">
        <f t="shared" si="45"/>
        <v>3394</v>
      </c>
      <c r="W1034" s="724">
        <v>102</v>
      </c>
      <c r="X1034" s="720">
        <v>14.83</v>
      </c>
    </row>
    <row r="1035" spans="16:24" ht="15" x14ac:dyDescent="0.25">
      <c r="P1035" s="719">
        <v>3395</v>
      </c>
      <c r="Q1035" s="719" t="str">
        <f t="shared" si="44"/>
        <v>3395</v>
      </c>
      <c r="R1035" s="719">
        <v>130</v>
      </c>
      <c r="S1035" s="720">
        <v>63.7</v>
      </c>
      <c r="T1035" s="720"/>
      <c r="U1035" s="724">
        <v>3394</v>
      </c>
      <c r="V1035" s="724" t="str">
        <f t="shared" si="45"/>
        <v>3394</v>
      </c>
      <c r="W1035" s="724">
        <v>111</v>
      </c>
      <c r="X1035" s="720">
        <v>5</v>
      </c>
    </row>
    <row r="1036" spans="16:24" ht="15" x14ac:dyDescent="0.25">
      <c r="P1036" s="719">
        <v>3396</v>
      </c>
      <c r="Q1036" s="719" t="str">
        <f t="shared" si="44"/>
        <v>3396</v>
      </c>
      <c r="R1036" s="719">
        <v>102</v>
      </c>
      <c r="S1036" s="720">
        <v>105.68</v>
      </c>
      <c r="T1036" s="720"/>
      <c r="U1036" s="724">
        <v>3394</v>
      </c>
      <c r="V1036" s="724" t="str">
        <f t="shared" si="45"/>
        <v>3394</v>
      </c>
      <c r="W1036" s="724">
        <v>112</v>
      </c>
      <c r="X1036" s="720">
        <v>4.5</v>
      </c>
    </row>
    <row r="1037" spans="16:24" ht="15" x14ac:dyDescent="0.25">
      <c r="P1037" s="719">
        <v>3396</v>
      </c>
      <c r="Q1037" s="719" t="str">
        <f t="shared" si="44"/>
        <v>3396</v>
      </c>
      <c r="R1037" s="719">
        <v>103</v>
      </c>
      <c r="S1037" s="720">
        <v>170.06</v>
      </c>
      <c r="T1037" s="720"/>
      <c r="U1037" s="724">
        <v>3394</v>
      </c>
      <c r="V1037" s="724" t="str">
        <f t="shared" si="45"/>
        <v>3394</v>
      </c>
      <c r="W1037" s="724">
        <v>130</v>
      </c>
      <c r="X1037" s="720">
        <v>34.07</v>
      </c>
    </row>
    <row r="1038" spans="16:24" ht="15" x14ac:dyDescent="0.25">
      <c r="P1038" s="719">
        <v>3396</v>
      </c>
      <c r="Q1038" s="719" t="str">
        <f t="shared" si="44"/>
        <v>3396</v>
      </c>
      <c r="R1038" s="719">
        <v>112</v>
      </c>
      <c r="S1038" s="720">
        <v>11.03</v>
      </c>
      <c r="T1038" s="720"/>
      <c r="U1038" s="724">
        <v>3395</v>
      </c>
      <c r="V1038" s="724" t="str">
        <f t="shared" si="45"/>
        <v>3395</v>
      </c>
      <c r="W1038" s="724">
        <v>101</v>
      </c>
      <c r="X1038" s="720">
        <v>62.46</v>
      </c>
    </row>
    <row r="1039" spans="16:24" ht="15" x14ac:dyDescent="0.25">
      <c r="P1039" s="719">
        <v>3396</v>
      </c>
      <c r="Q1039" s="719" t="str">
        <f t="shared" si="44"/>
        <v>3396</v>
      </c>
      <c r="R1039" s="719">
        <v>113</v>
      </c>
      <c r="S1039" s="720">
        <v>35.08</v>
      </c>
      <c r="T1039" s="720"/>
      <c r="U1039" s="724">
        <v>3395</v>
      </c>
      <c r="V1039" s="724" t="str">
        <f t="shared" si="45"/>
        <v>3395</v>
      </c>
      <c r="W1039" s="724">
        <v>102</v>
      </c>
      <c r="X1039" s="720">
        <v>111.23</v>
      </c>
    </row>
    <row r="1040" spans="16:24" ht="15" x14ac:dyDescent="0.25">
      <c r="P1040" s="719">
        <v>3396</v>
      </c>
      <c r="Q1040" s="719" t="str">
        <f t="shared" si="44"/>
        <v>3396</v>
      </c>
      <c r="R1040" s="719">
        <v>130</v>
      </c>
      <c r="S1040" s="720">
        <v>15.75</v>
      </c>
      <c r="T1040" s="720"/>
      <c r="U1040" s="724">
        <v>3395</v>
      </c>
      <c r="V1040" s="724" t="str">
        <f t="shared" si="45"/>
        <v>3395</v>
      </c>
      <c r="W1040" s="724">
        <v>111</v>
      </c>
      <c r="X1040" s="720">
        <v>12</v>
      </c>
    </row>
    <row r="1041" spans="16:24" ht="15" x14ac:dyDescent="0.25">
      <c r="P1041" s="719">
        <v>3396</v>
      </c>
      <c r="Q1041" s="719" t="str">
        <f t="shared" si="44"/>
        <v>3396</v>
      </c>
      <c r="R1041" s="719">
        <v>300</v>
      </c>
      <c r="S1041" s="720">
        <v>21.93</v>
      </c>
      <c r="T1041" s="720"/>
      <c r="U1041" s="724">
        <v>3395</v>
      </c>
      <c r="V1041" s="724" t="str">
        <f t="shared" si="45"/>
        <v>3395</v>
      </c>
      <c r="W1041" s="724">
        <v>112</v>
      </c>
      <c r="X1041" s="720">
        <v>18.5</v>
      </c>
    </row>
    <row r="1042" spans="16:24" ht="15" x14ac:dyDescent="0.25">
      <c r="P1042" s="719">
        <v>3398</v>
      </c>
      <c r="Q1042" s="719" t="str">
        <f t="shared" si="44"/>
        <v>3398</v>
      </c>
      <c r="R1042" s="719">
        <v>102</v>
      </c>
      <c r="S1042" s="720">
        <v>3</v>
      </c>
      <c r="T1042" s="720"/>
      <c r="U1042" s="724">
        <v>3395</v>
      </c>
      <c r="V1042" s="724" t="str">
        <f t="shared" si="45"/>
        <v>3395</v>
      </c>
      <c r="W1042" s="724">
        <v>130</v>
      </c>
      <c r="X1042" s="720">
        <v>62.54</v>
      </c>
    </row>
    <row r="1043" spans="16:24" ht="15" x14ac:dyDescent="0.25">
      <c r="P1043" s="719">
        <v>3398</v>
      </c>
      <c r="Q1043" s="719" t="str">
        <f t="shared" si="44"/>
        <v>3398</v>
      </c>
      <c r="R1043" s="719">
        <v>103</v>
      </c>
      <c r="S1043" s="720">
        <v>32.659999999999997</v>
      </c>
      <c r="T1043" s="720"/>
      <c r="U1043" s="724">
        <v>3396</v>
      </c>
      <c r="V1043" s="724" t="str">
        <f t="shared" si="45"/>
        <v>3396</v>
      </c>
      <c r="W1043" s="724">
        <v>102</v>
      </c>
      <c r="X1043" s="720">
        <v>95.83</v>
      </c>
    </row>
    <row r="1044" spans="16:24" ht="15" x14ac:dyDescent="0.25">
      <c r="P1044" s="719">
        <v>3398</v>
      </c>
      <c r="Q1044" s="719" t="str">
        <f t="shared" si="44"/>
        <v>3398</v>
      </c>
      <c r="R1044" s="719">
        <v>112</v>
      </c>
      <c r="S1044" s="720">
        <v>3</v>
      </c>
      <c r="T1044" s="720"/>
      <c r="U1044" s="724">
        <v>3396</v>
      </c>
      <c r="V1044" s="724" t="str">
        <f t="shared" si="45"/>
        <v>3396</v>
      </c>
      <c r="W1044" s="724">
        <v>103</v>
      </c>
      <c r="X1044" s="720">
        <v>168.27</v>
      </c>
    </row>
    <row r="1045" spans="16:24" ht="15" x14ac:dyDescent="0.25">
      <c r="P1045" s="719">
        <v>3398</v>
      </c>
      <c r="Q1045" s="719" t="str">
        <f t="shared" si="44"/>
        <v>3398</v>
      </c>
      <c r="R1045" s="719">
        <v>113</v>
      </c>
      <c r="S1045" s="720">
        <v>9.5</v>
      </c>
      <c r="T1045" s="720"/>
      <c r="U1045" s="724">
        <v>3396</v>
      </c>
      <c r="V1045" s="724" t="str">
        <f t="shared" si="45"/>
        <v>3396</v>
      </c>
      <c r="W1045" s="724">
        <v>112</v>
      </c>
      <c r="X1045" s="720">
        <v>10.48</v>
      </c>
    </row>
    <row r="1046" spans="16:24" ht="15" x14ac:dyDescent="0.25">
      <c r="P1046" s="719">
        <v>3398</v>
      </c>
      <c r="Q1046" s="719" t="str">
        <f t="shared" si="44"/>
        <v>3398</v>
      </c>
      <c r="R1046" s="719">
        <v>130</v>
      </c>
      <c r="S1046" s="720">
        <v>0.41</v>
      </c>
      <c r="T1046" s="720"/>
      <c r="U1046" s="724">
        <v>3396</v>
      </c>
      <c r="V1046" s="724" t="str">
        <f t="shared" si="45"/>
        <v>3396</v>
      </c>
      <c r="W1046" s="724">
        <v>113</v>
      </c>
      <c r="X1046" s="720">
        <v>33.880000000000003</v>
      </c>
    </row>
    <row r="1047" spans="16:24" ht="15" x14ac:dyDescent="0.25">
      <c r="P1047" s="719">
        <v>3398</v>
      </c>
      <c r="Q1047" s="719" t="str">
        <f t="shared" si="44"/>
        <v>3398</v>
      </c>
      <c r="R1047" s="719">
        <v>300</v>
      </c>
      <c r="S1047" s="720">
        <v>1.74</v>
      </c>
      <c r="T1047" s="720"/>
      <c r="U1047" s="724">
        <v>3396</v>
      </c>
      <c r="V1047" s="724" t="str">
        <f t="shared" si="45"/>
        <v>3396</v>
      </c>
      <c r="W1047" s="724">
        <v>130</v>
      </c>
      <c r="X1047" s="720">
        <v>12.53</v>
      </c>
    </row>
    <row r="1048" spans="16:24" ht="15" x14ac:dyDescent="0.25">
      <c r="P1048" s="719">
        <v>3400</v>
      </c>
      <c r="Q1048" s="719" t="str">
        <f t="shared" si="44"/>
        <v>3400</v>
      </c>
      <c r="R1048" s="719">
        <v>112</v>
      </c>
      <c r="S1048" s="720">
        <v>1.5</v>
      </c>
      <c r="T1048" s="720"/>
      <c r="U1048" s="724">
        <v>3396</v>
      </c>
      <c r="V1048" s="724" t="str">
        <f t="shared" si="45"/>
        <v>3396</v>
      </c>
      <c r="W1048" s="724">
        <v>300</v>
      </c>
      <c r="X1048" s="720">
        <v>22.26</v>
      </c>
    </row>
    <row r="1049" spans="16:24" ht="15" x14ac:dyDescent="0.25">
      <c r="P1049" s="719">
        <v>3400</v>
      </c>
      <c r="Q1049" s="719" t="str">
        <f t="shared" si="44"/>
        <v>3400</v>
      </c>
      <c r="R1049" s="719">
        <v>113</v>
      </c>
      <c r="S1049" s="720">
        <v>44.56</v>
      </c>
      <c r="T1049" s="720"/>
      <c r="U1049" s="724">
        <v>3398</v>
      </c>
      <c r="V1049" s="724" t="str">
        <f t="shared" si="45"/>
        <v>3398</v>
      </c>
      <c r="W1049" s="724">
        <v>102</v>
      </c>
      <c r="X1049" s="720">
        <v>3.52</v>
      </c>
    </row>
    <row r="1050" spans="16:24" ht="15" x14ac:dyDescent="0.25">
      <c r="P1050" s="719">
        <v>3401</v>
      </c>
      <c r="Q1050" s="719" t="str">
        <f t="shared" si="44"/>
        <v>3401</v>
      </c>
      <c r="R1050" s="719">
        <v>102</v>
      </c>
      <c r="S1050" s="720">
        <v>3.07</v>
      </c>
      <c r="T1050" s="720"/>
      <c r="U1050" s="724">
        <v>3398</v>
      </c>
      <c r="V1050" s="724" t="str">
        <f t="shared" si="45"/>
        <v>3398</v>
      </c>
      <c r="W1050" s="724">
        <v>103</v>
      </c>
      <c r="X1050" s="720">
        <v>33.68</v>
      </c>
    </row>
    <row r="1051" spans="16:24" ht="15" x14ac:dyDescent="0.25">
      <c r="P1051" s="719">
        <v>3401</v>
      </c>
      <c r="Q1051" s="719" t="str">
        <f t="shared" si="44"/>
        <v>3401</v>
      </c>
      <c r="R1051" s="719">
        <v>103</v>
      </c>
      <c r="S1051" s="720">
        <v>136.46</v>
      </c>
      <c r="T1051" s="720"/>
      <c r="U1051" s="724">
        <v>3398</v>
      </c>
      <c r="V1051" s="724" t="str">
        <f t="shared" si="45"/>
        <v>3398</v>
      </c>
      <c r="W1051" s="724">
        <v>112</v>
      </c>
      <c r="X1051" s="720">
        <v>2.5</v>
      </c>
    </row>
    <row r="1052" spans="16:24" ht="15" x14ac:dyDescent="0.25">
      <c r="P1052" s="719">
        <v>3401</v>
      </c>
      <c r="Q1052" s="719" t="str">
        <f t="shared" si="44"/>
        <v>3401</v>
      </c>
      <c r="R1052" s="719">
        <v>112</v>
      </c>
      <c r="S1052" s="720">
        <v>4</v>
      </c>
      <c r="T1052" s="720"/>
      <c r="U1052" s="724">
        <v>3398</v>
      </c>
      <c r="V1052" s="724" t="str">
        <f t="shared" si="45"/>
        <v>3398</v>
      </c>
      <c r="W1052" s="724">
        <v>113</v>
      </c>
      <c r="X1052" s="720">
        <v>9.35</v>
      </c>
    </row>
    <row r="1053" spans="16:24" ht="15" x14ac:dyDescent="0.25">
      <c r="P1053" s="719">
        <v>3401</v>
      </c>
      <c r="Q1053" s="719" t="str">
        <f t="shared" si="44"/>
        <v>3401</v>
      </c>
      <c r="R1053" s="719">
        <v>113</v>
      </c>
      <c r="S1053" s="720">
        <v>36.18</v>
      </c>
      <c r="T1053" s="720"/>
      <c r="U1053" s="724">
        <v>3398</v>
      </c>
      <c r="V1053" s="724" t="str">
        <f t="shared" si="45"/>
        <v>3398</v>
      </c>
      <c r="W1053" s="724">
        <v>130</v>
      </c>
      <c r="X1053" s="720">
        <v>0.41</v>
      </c>
    </row>
    <row r="1054" spans="16:24" ht="15" x14ac:dyDescent="0.25">
      <c r="P1054" s="719">
        <v>3401</v>
      </c>
      <c r="Q1054" s="719" t="str">
        <f t="shared" si="44"/>
        <v>3401</v>
      </c>
      <c r="R1054" s="719">
        <v>130</v>
      </c>
      <c r="S1054" s="720">
        <v>12.2</v>
      </c>
      <c r="T1054" s="720"/>
      <c r="U1054" s="724">
        <v>3398</v>
      </c>
      <c r="V1054" s="724" t="str">
        <f t="shared" si="45"/>
        <v>3398</v>
      </c>
      <c r="W1054" s="724">
        <v>300</v>
      </c>
      <c r="X1054" s="720">
        <v>2.5499999999999998</v>
      </c>
    </row>
    <row r="1055" spans="16:24" ht="15" x14ac:dyDescent="0.25">
      <c r="P1055" s="719">
        <v>3401</v>
      </c>
      <c r="Q1055" s="719" t="str">
        <f t="shared" si="44"/>
        <v>3401</v>
      </c>
      <c r="R1055" s="719">
        <v>300</v>
      </c>
      <c r="S1055" s="720">
        <v>1.99</v>
      </c>
      <c r="T1055" s="720"/>
      <c r="U1055" s="724">
        <v>3400</v>
      </c>
      <c r="V1055" s="724" t="str">
        <f t="shared" si="45"/>
        <v>3400</v>
      </c>
      <c r="W1055" s="724">
        <v>112</v>
      </c>
      <c r="X1055" s="720">
        <v>1</v>
      </c>
    </row>
    <row r="1056" spans="16:24" ht="15" x14ac:dyDescent="0.25">
      <c r="P1056" s="719">
        <v>3413</v>
      </c>
      <c r="Q1056" s="719" t="str">
        <f t="shared" si="44"/>
        <v>3413</v>
      </c>
      <c r="R1056" s="719">
        <v>101</v>
      </c>
      <c r="S1056" s="720">
        <v>96.41</v>
      </c>
      <c r="T1056" s="720"/>
      <c r="U1056" s="724">
        <v>3400</v>
      </c>
      <c r="V1056" s="724" t="str">
        <f t="shared" si="45"/>
        <v>3400</v>
      </c>
      <c r="W1056" s="724">
        <v>113</v>
      </c>
      <c r="X1056" s="720">
        <v>44.12</v>
      </c>
    </row>
    <row r="1057" spans="16:24" ht="15" x14ac:dyDescent="0.25">
      <c r="P1057" s="719">
        <v>3413</v>
      </c>
      <c r="Q1057" s="719" t="str">
        <f t="shared" si="44"/>
        <v>3413</v>
      </c>
      <c r="R1057" s="719">
        <v>102</v>
      </c>
      <c r="S1057" s="720">
        <v>44.8</v>
      </c>
      <c r="T1057" s="720"/>
      <c r="U1057" s="724">
        <v>3401</v>
      </c>
      <c r="V1057" s="724" t="str">
        <f t="shared" si="45"/>
        <v>3401</v>
      </c>
      <c r="W1057" s="724">
        <v>102</v>
      </c>
      <c r="X1057" s="720">
        <v>4.05</v>
      </c>
    </row>
    <row r="1058" spans="16:24" ht="15" x14ac:dyDescent="0.25">
      <c r="P1058" s="719">
        <v>3413</v>
      </c>
      <c r="Q1058" s="719" t="str">
        <f t="shared" si="44"/>
        <v>3413</v>
      </c>
      <c r="R1058" s="719">
        <v>111</v>
      </c>
      <c r="S1058" s="720">
        <v>22.5</v>
      </c>
      <c r="T1058" s="720"/>
      <c r="U1058" s="724">
        <v>3401</v>
      </c>
      <c r="V1058" s="724" t="str">
        <f t="shared" si="45"/>
        <v>3401</v>
      </c>
      <c r="W1058" s="724">
        <v>103</v>
      </c>
      <c r="X1058" s="720">
        <v>142.19</v>
      </c>
    </row>
    <row r="1059" spans="16:24" ht="15" x14ac:dyDescent="0.25">
      <c r="P1059" s="719">
        <v>3413</v>
      </c>
      <c r="Q1059" s="719" t="str">
        <f t="shared" si="44"/>
        <v>3413</v>
      </c>
      <c r="R1059" s="719">
        <v>112</v>
      </c>
      <c r="S1059" s="720">
        <v>18</v>
      </c>
      <c r="T1059" s="720"/>
      <c r="U1059" s="724">
        <v>3401</v>
      </c>
      <c r="V1059" s="724" t="str">
        <f t="shared" si="45"/>
        <v>3401</v>
      </c>
      <c r="W1059" s="724">
        <v>112</v>
      </c>
      <c r="X1059" s="720">
        <v>2.94</v>
      </c>
    </row>
    <row r="1060" spans="16:24" ht="15" x14ac:dyDescent="0.25">
      <c r="P1060" s="719">
        <v>3413</v>
      </c>
      <c r="Q1060" s="719" t="str">
        <f t="shared" si="44"/>
        <v>3413</v>
      </c>
      <c r="R1060" s="719">
        <v>130</v>
      </c>
      <c r="S1060" s="720">
        <v>14.11</v>
      </c>
      <c r="T1060" s="720"/>
      <c r="U1060" s="724">
        <v>3401</v>
      </c>
      <c r="V1060" s="724" t="str">
        <f t="shared" si="45"/>
        <v>3401</v>
      </c>
      <c r="W1060" s="724">
        <v>113</v>
      </c>
      <c r="X1060" s="720">
        <v>37.35</v>
      </c>
    </row>
    <row r="1061" spans="16:24" ht="15" x14ac:dyDescent="0.25">
      <c r="P1061" s="719">
        <v>3421</v>
      </c>
      <c r="Q1061" s="719" t="str">
        <f t="shared" si="44"/>
        <v>3421</v>
      </c>
      <c r="R1061" s="719">
        <v>102</v>
      </c>
      <c r="S1061" s="720">
        <v>2.5</v>
      </c>
      <c r="T1061" s="720"/>
      <c r="U1061" s="724">
        <v>3401</v>
      </c>
      <c r="V1061" s="724" t="str">
        <f t="shared" si="45"/>
        <v>3401</v>
      </c>
      <c r="W1061" s="724">
        <v>130</v>
      </c>
      <c r="X1061" s="720">
        <v>12.3</v>
      </c>
    </row>
    <row r="1062" spans="16:24" ht="15" x14ac:dyDescent="0.25">
      <c r="P1062" s="719">
        <v>3421</v>
      </c>
      <c r="Q1062" s="719" t="str">
        <f t="shared" si="44"/>
        <v>3421</v>
      </c>
      <c r="R1062" s="719">
        <v>103</v>
      </c>
      <c r="S1062" s="720">
        <v>219.86</v>
      </c>
      <c r="T1062" s="720"/>
      <c r="U1062" s="724">
        <v>3401</v>
      </c>
      <c r="V1062" s="724" t="str">
        <f t="shared" si="45"/>
        <v>3401</v>
      </c>
      <c r="W1062" s="724">
        <v>300</v>
      </c>
      <c r="X1062" s="720">
        <v>2.68</v>
      </c>
    </row>
    <row r="1063" spans="16:24" ht="15" x14ac:dyDescent="0.25">
      <c r="P1063" s="719">
        <v>3421</v>
      </c>
      <c r="Q1063" s="719" t="str">
        <f t="shared" si="44"/>
        <v>3421</v>
      </c>
      <c r="R1063" s="719">
        <v>112</v>
      </c>
      <c r="S1063" s="720">
        <v>1</v>
      </c>
      <c r="T1063" s="720"/>
      <c r="U1063" s="724">
        <v>3413</v>
      </c>
      <c r="V1063" s="724" t="str">
        <f t="shared" si="45"/>
        <v>3413</v>
      </c>
      <c r="W1063" s="724">
        <v>101</v>
      </c>
      <c r="X1063" s="720">
        <v>91.51</v>
      </c>
    </row>
    <row r="1064" spans="16:24" ht="15" x14ac:dyDescent="0.25">
      <c r="P1064" s="719">
        <v>3421</v>
      </c>
      <c r="Q1064" s="719" t="str">
        <f t="shared" si="44"/>
        <v>3421</v>
      </c>
      <c r="R1064" s="719">
        <v>113</v>
      </c>
      <c r="S1064" s="720">
        <v>48.82</v>
      </c>
      <c r="T1064" s="720"/>
      <c r="U1064" s="724">
        <v>3413</v>
      </c>
      <c r="V1064" s="724" t="str">
        <f t="shared" si="45"/>
        <v>3413</v>
      </c>
      <c r="W1064" s="724">
        <v>102</v>
      </c>
      <c r="X1064" s="720">
        <v>44.97</v>
      </c>
    </row>
    <row r="1065" spans="16:24" ht="15" x14ac:dyDescent="0.25">
      <c r="P1065" s="719">
        <v>3421</v>
      </c>
      <c r="Q1065" s="719" t="str">
        <f t="shared" si="44"/>
        <v>3421</v>
      </c>
      <c r="R1065" s="719">
        <v>130</v>
      </c>
      <c r="S1065" s="720">
        <v>5.07</v>
      </c>
      <c r="T1065" s="720"/>
      <c r="U1065" s="724">
        <v>3413</v>
      </c>
      <c r="V1065" s="724" t="str">
        <f t="shared" si="45"/>
        <v>3413</v>
      </c>
      <c r="W1065" s="724">
        <v>111</v>
      </c>
      <c r="X1065" s="720">
        <v>27</v>
      </c>
    </row>
    <row r="1066" spans="16:24" ht="15" x14ac:dyDescent="0.25">
      <c r="P1066" s="719">
        <v>3421</v>
      </c>
      <c r="Q1066" s="719" t="str">
        <f t="shared" si="44"/>
        <v>3421</v>
      </c>
      <c r="R1066" s="719">
        <v>300</v>
      </c>
      <c r="S1066" s="720">
        <v>4.55</v>
      </c>
      <c r="T1066" s="720"/>
      <c r="U1066" s="724">
        <v>3413</v>
      </c>
      <c r="V1066" s="724" t="str">
        <f t="shared" si="45"/>
        <v>3413</v>
      </c>
      <c r="W1066" s="724">
        <v>112</v>
      </c>
      <c r="X1066" s="720">
        <v>18</v>
      </c>
    </row>
    <row r="1067" spans="16:24" ht="15" x14ac:dyDescent="0.25">
      <c r="P1067" s="719">
        <v>3431</v>
      </c>
      <c r="Q1067" s="719" t="str">
        <f t="shared" si="44"/>
        <v>3431</v>
      </c>
      <c r="R1067" s="719">
        <v>101</v>
      </c>
      <c r="S1067" s="720">
        <v>185.44</v>
      </c>
      <c r="T1067" s="720"/>
      <c r="U1067" s="724">
        <v>3413</v>
      </c>
      <c r="V1067" s="724" t="str">
        <f t="shared" si="45"/>
        <v>3413</v>
      </c>
      <c r="W1067" s="724">
        <v>130</v>
      </c>
      <c r="X1067" s="720">
        <v>14.52</v>
      </c>
    </row>
    <row r="1068" spans="16:24" ht="15" x14ac:dyDescent="0.25">
      <c r="P1068" s="719">
        <v>3431</v>
      </c>
      <c r="Q1068" s="719" t="str">
        <f t="shared" si="44"/>
        <v>3431</v>
      </c>
      <c r="R1068" s="719">
        <v>102</v>
      </c>
      <c r="S1068" s="720">
        <v>207.99</v>
      </c>
      <c r="T1068" s="720"/>
      <c r="U1068" s="724">
        <v>3421</v>
      </c>
      <c r="V1068" s="724" t="str">
        <f t="shared" si="45"/>
        <v>3421</v>
      </c>
      <c r="W1068" s="724">
        <v>102</v>
      </c>
      <c r="X1068" s="720">
        <v>5.28</v>
      </c>
    </row>
    <row r="1069" spans="16:24" ht="15" x14ac:dyDescent="0.25">
      <c r="P1069" s="719">
        <v>3431</v>
      </c>
      <c r="Q1069" s="719" t="str">
        <f t="shared" si="44"/>
        <v>3431</v>
      </c>
      <c r="R1069" s="719">
        <v>111</v>
      </c>
      <c r="S1069" s="720">
        <v>26.5</v>
      </c>
      <c r="T1069" s="720"/>
      <c r="U1069" s="724">
        <v>3421</v>
      </c>
      <c r="V1069" s="724" t="str">
        <f t="shared" si="45"/>
        <v>3421</v>
      </c>
      <c r="W1069" s="724">
        <v>103</v>
      </c>
      <c r="X1069" s="720">
        <v>231.05</v>
      </c>
    </row>
    <row r="1070" spans="16:24" ht="15" x14ac:dyDescent="0.25">
      <c r="P1070" s="719">
        <v>3431</v>
      </c>
      <c r="Q1070" s="719" t="str">
        <f t="shared" si="44"/>
        <v>3431</v>
      </c>
      <c r="R1070" s="719">
        <v>112</v>
      </c>
      <c r="S1070" s="720">
        <v>42.5</v>
      </c>
      <c r="T1070" s="720"/>
      <c r="U1070" s="724">
        <v>3421</v>
      </c>
      <c r="V1070" s="725" t="str">
        <f t="shared" si="45"/>
        <v>3421</v>
      </c>
      <c r="W1070" s="725">
        <v>112</v>
      </c>
      <c r="X1070" s="726">
        <v>1.45</v>
      </c>
    </row>
    <row r="1071" spans="16:24" ht="15" x14ac:dyDescent="0.25">
      <c r="P1071" s="719">
        <v>3431</v>
      </c>
      <c r="Q1071" s="719" t="str">
        <f t="shared" si="44"/>
        <v>3431</v>
      </c>
      <c r="R1071" s="719">
        <v>130</v>
      </c>
      <c r="S1071" s="720">
        <v>39.35</v>
      </c>
      <c r="T1071" s="720"/>
      <c r="U1071" s="724">
        <v>3421</v>
      </c>
      <c r="V1071" s="724" t="str">
        <f t="shared" si="45"/>
        <v>3421</v>
      </c>
      <c r="W1071" s="724">
        <v>113</v>
      </c>
      <c r="X1071" s="720">
        <v>58.65</v>
      </c>
    </row>
    <row r="1072" spans="16:24" ht="15" x14ac:dyDescent="0.25">
      <c r="P1072" s="719">
        <v>3441</v>
      </c>
      <c r="Q1072" s="719" t="str">
        <f t="shared" si="44"/>
        <v>3441</v>
      </c>
      <c r="R1072" s="719">
        <v>102</v>
      </c>
      <c r="S1072" s="720">
        <v>217.66</v>
      </c>
      <c r="T1072" s="720"/>
      <c r="U1072" s="724">
        <v>3421</v>
      </c>
      <c r="V1072" s="724" t="str">
        <f t="shared" si="45"/>
        <v>3421</v>
      </c>
      <c r="W1072" s="724">
        <v>130</v>
      </c>
      <c r="X1072" s="720">
        <v>16.649999999999999</v>
      </c>
    </row>
    <row r="1073" spans="16:24" ht="15" x14ac:dyDescent="0.25">
      <c r="P1073" s="719">
        <v>3441</v>
      </c>
      <c r="Q1073" s="719" t="str">
        <f t="shared" si="44"/>
        <v>3441</v>
      </c>
      <c r="R1073" s="719">
        <v>112</v>
      </c>
      <c r="S1073" s="720">
        <v>36.01</v>
      </c>
      <c r="T1073" s="720"/>
      <c r="U1073" s="724">
        <v>3421</v>
      </c>
      <c r="V1073" s="724" t="str">
        <f t="shared" si="45"/>
        <v>3421</v>
      </c>
      <c r="W1073" s="724">
        <v>300</v>
      </c>
      <c r="X1073" s="720">
        <v>2.58</v>
      </c>
    </row>
    <row r="1074" spans="16:24" ht="15" x14ac:dyDescent="0.25">
      <c r="P1074" s="719">
        <v>3441</v>
      </c>
      <c r="Q1074" s="719" t="str">
        <f t="shared" si="44"/>
        <v>3441</v>
      </c>
      <c r="R1074" s="719">
        <v>130</v>
      </c>
      <c r="S1074" s="720">
        <v>8.24</v>
      </c>
      <c r="T1074" s="720"/>
      <c r="U1074" s="724">
        <v>3431</v>
      </c>
      <c r="V1074" s="724" t="str">
        <f t="shared" si="45"/>
        <v>3431</v>
      </c>
      <c r="W1074" s="724">
        <v>101</v>
      </c>
      <c r="X1074" s="720">
        <v>179.55</v>
      </c>
    </row>
    <row r="1075" spans="16:24" ht="15" x14ac:dyDescent="0.25">
      <c r="P1075" s="719">
        <v>3861</v>
      </c>
      <c r="Q1075" s="719" t="str">
        <f t="shared" si="44"/>
        <v>3861</v>
      </c>
      <c r="R1075" s="719">
        <v>103</v>
      </c>
      <c r="S1075" s="720">
        <v>791.48</v>
      </c>
      <c r="T1075" s="720"/>
      <c r="U1075" s="724">
        <v>3431</v>
      </c>
      <c r="V1075" s="724" t="str">
        <f t="shared" si="45"/>
        <v>3431</v>
      </c>
      <c r="W1075" s="724">
        <v>102</v>
      </c>
      <c r="X1075" s="720">
        <v>203.47</v>
      </c>
    </row>
    <row r="1076" spans="16:24" ht="15" x14ac:dyDescent="0.25">
      <c r="P1076" s="719">
        <v>3861</v>
      </c>
      <c r="Q1076" s="719" t="str">
        <f t="shared" si="44"/>
        <v>3861</v>
      </c>
      <c r="R1076" s="719">
        <v>113</v>
      </c>
      <c r="S1076" s="720">
        <v>187.97</v>
      </c>
      <c r="T1076" s="720"/>
      <c r="U1076" s="724">
        <v>3431</v>
      </c>
      <c r="V1076" s="724" t="str">
        <f t="shared" si="45"/>
        <v>3431</v>
      </c>
      <c r="W1076" s="724">
        <v>111</v>
      </c>
      <c r="X1076" s="720">
        <v>32</v>
      </c>
    </row>
    <row r="1077" spans="16:24" ht="15" x14ac:dyDescent="0.25">
      <c r="P1077" s="719">
        <v>3861</v>
      </c>
      <c r="Q1077" s="719" t="str">
        <f t="shared" si="44"/>
        <v>3861</v>
      </c>
      <c r="R1077" s="719">
        <v>130</v>
      </c>
      <c r="S1077" s="720">
        <v>30.92</v>
      </c>
      <c r="T1077" s="720"/>
      <c r="U1077" s="724">
        <v>3431</v>
      </c>
      <c r="V1077" s="724" t="str">
        <f t="shared" si="45"/>
        <v>3431</v>
      </c>
      <c r="W1077" s="724">
        <v>112</v>
      </c>
      <c r="X1077" s="720">
        <v>42.48</v>
      </c>
    </row>
    <row r="1078" spans="16:24" ht="15" x14ac:dyDescent="0.25">
      <c r="P1078" s="719">
        <v>3861</v>
      </c>
      <c r="Q1078" s="719" t="str">
        <f t="shared" si="44"/>
        <v>3861</v>
      </c>
      <c r="R1078" s="719">
        <v>254</v>
      </c>
      <c r="S1078" s="720">
        <v>1</v>
      </c>
      <c r="T1078" s="720"/>
      <c r="U1078" s="724">
        <v>3431</v>
      </c>
      <c r="V1078" s="724" t="str">
        <f t="shared" si="45"/>
        <v>3431</v>
      </c>
      <c r="W1078" s="724">
        <v>130</v>
      </c>
      <c r="X1078" s="720">
        <v>38.11</v>
      </c>
    </row>
    <row r="1079" spans="16:24" ht="15" x14ac:dyDescent="0.25">
      <c r="P1079" s="719">
        <v>3861</v>
      </c>
      <c r="Q1079" s="719" t="str">
        <f t="shared" si="44"/>
        <v>3861</v>
      </c>
      <c r="R1079" s="719">
        <v>255</v>
      </c>
      <c r="S1079" s="720">
        <v>1</v>
      </c>
      <c r="T1079" s="720"/>
      <c r="U1079" s="724">
        <v>3441</v>
      </c>
      <c r="V1079" s="724" t="str">
        <f t="shared" si="45"/>
        <v>3441</v>
      </c>
      <c r="W1079" s="724">
        <v>102</v>
      </c>
      <c r="X1079" s="720">
        <v>217.62</v>
      </c>
    </row>
    <row r="1080" spans="16:24" ht="15" x14ac:dyDescent="0.25">
      <c r="P1080" s="719">
        <v>3861</v>
      </c>
      <c r="Q1080" s="719" t="str">
        <f t="shared" si="44"/>
        <v>3861</v>
      </c>
      <c r="R1080" s="719">
        <v>300</v>
      </c>
      <c r="S1080" s="720">
        <v>80.81</v>
      </c>
      <c r="T1080" s="720"/>
      <c r="U1080" s="724">
        <v>3441</v>
      </c>
      <c r="V1080" s="724" t="str">
        <f t="shared" si="45"/>
        <v>3441</v>
      </c>
      <c r="W1080" s="724">
        <v>112</v>
      </c>
      <c r="X1080" s="720">
        <v>35</v>
      </c>
    </row>
    <row r="1081" spans="16:24" ht="15" x14ac:dyDescent="0.25">
      <c r="P1081" s="719">
        <v>3900</v>
      </c>
      <c r="Q1081" s="719" t="str">
        <f t="shared" si="44"/>
        <v>3900</v>
      </c>
      <c r="R1081" s="719">
        <v>101</v>
      </c>
      <c r="S1081" s="720">
        <v>3388.25</v>
      </c>
      <c r="T1081" s="720"/>
      <c r="U1081" s="724">
        <v>3441</v>
      </c>
      <c r="V1081" s="724" t="str">
        <f t="shared" si="45"/>
        <v>3441</v>
      </c>
      <c r="W1081" s="724">
        <v>130</v>
      </c>
      <c r="X1081" s="720">
        <v>8.25</v>
      </c>
    </row>
    <row r="1082" spans="16:24" ht="15" x14ac:dyDescent="0.25">
      <c r="P1082" s="719">
        <v>3900</v>
      </c>
      <c r="Q1082" s="719" t="str">
        <f t="shared" si="44"/>
        <v>3900</v>
      </c>
      <c r="R1082" s="719">
        <v>102</v>
      </c>
      <c r="S1082" s="720">
        <v>3831.25</v>
      </c>
      <c r="T1082" s="720"/>
      <c r="U1082" s="724">
        <v>3861</v>
      </c>
      <c r="V1082" s="724" t="str">
        <f t="shared" si="45"/>
        <v>3861</v>
      </c>
      <c r="W1082" s="724">
        <v>103</v>
      </c>
      <c r="X1082" s="720">
        <v>770.39</v>
      </c>
    </row>
    <row r="1083" spans="16:24" ht="15" x14ac:dyDescent="0.25">
      <c r="P1083" s="719">
        <v>3900</v>
      </c>
      <c r="Q1083" s="719" t="str">
        <f t="shared" si="44"/>
        <v>3900</v>
      </c>
      <c r="R1083" s="719">
        <v>103</v>
      </c>
      <c r="S1083" s="720">
        <v>2586.5</v>
      </c>
      <c r="T1083" s="720"/>
      <c r="U1083" s="724">
        <v>3861</v>
      </c>
      <c r="V1083" s="724" t="str">
        <f t="shared" si="45"/>
        <v>3861</v>
      </c>
      <c r="W1083" s="724">
        <v>113</v>
      </c>
      <c r="X1083" s="720">
        <v>176.31</v>
      </c>
    </row>
    <row r="1084" spans="16:24" ht="15" x14ac:dyDescent="0.25">
      <c r="P1084" s="719">
        <v>3900</v>
      </c>
      <c r="Q1084" s="719" t="str">
        <f t="shared" si="44"/>
        <v>3900</v>
      </c>
      <c r="R1084" s="719">
        <v>111</v>
      </c>
      <c r="S1084" s="720">
        <v>2063.25</v>
      </c>
      <c r="T1084" s="720"/>
      <c r="U1084" s="724">
        <v>3861</v>
      </c>
      <c r="V1084" s="724" t="str">
        <f t="shared" si="45"/>
        <v>3861</v>
      </c>
      <c r="W1084" s="724">
        <v>130</v>
      </c>
      <c r="X1084" s="720">
        <v>29.05</v>
      </c>
    </row>
    <row r="1085" spans="16:24" ht="15" x14ac:dyDescent="0.25">
      <c r="P1085" s="719">
        <v>3900</v>
      </c>
      <c r="Q1085" s="719" t="str">
        <f t="shared" si="44"/>
        <v>3900</v>
      </c>
      <c r="R1085" s="719">
        <v>112</v>
      </c>
      <c r="S1085" s="720">
        <v>1447.25</v>
      </c>
      <c r="T1085" s="720"/>
      <c r="U1085" s="724">
        <v>3861</v>
      </c>
      <c r="V1085" s="724" t="str">
        <f t="shared" si="45"/>
        <v>3861</v>
      </c>
      <c r="W1085" s="724">
        <v>254</v>
      </c>
      <c r="X1085" s="720">
        <v>1</v>
      </c>
    </row>
    <row r="1086" spans="16:24" ht="15" x14ac:dyDescent="0.25">
      <c r="P1086" s="719">
        <v>3900</v>
      </c>
      <c r="Q1086" s="719" t="str">
        <f t="shared" si="44"/>
        <v>3900</v>
      </c>
      <c r="R1086" s="719">
        <v>113</v>
      </c>
      <c r="S1086" s="720">
        <v>1021</v>
      </c>
      <c r="T1086" s="720"/>
      <c r="U1086" s="724">
        <v>3861</v>
      </c>
      <c r="V1086" s="724" t="str">
        <f t="shared" si="45"/>
        <v>3861</v>
      </c>
      <c r="W1086" s="724">
        <v>255</v>
      </c>
      <c r="X1086" s="720">
        <v>1</v>
      </c>
    </row>
    <row r="1087" spans="16:24" ht="15" x14ac:dyDescent="0.25">
      <c r="P1087" s="719">
        <v>3900</v>
      </c>
      <c r="Q1087" s="719" t="str">
        <f t="shared" si="44"/>
        <v>3900</v>
      </c>
      <c r="R1087" s="719">
        <v>254</v>
      </c>
      <c r="S1087" s="720">
        <v>64</v>
      </c>
      <c r="T1087" s="720"/>
      <c r="U1087" s="724">
        <v>3861</v>
      </c>
      <c r="V1087" s="724" t="str">
        <f t="shared" si="45"/>
        <v>3861</v>
      </c>
      <c r="W1087" s="724">
        <v>300</v>
      </c>
      <c r="X1087" s="720">
        <v>78.36</v>
      </c>
    </row>
    <row r="1088" spans="16:24" ht="15" x14ac:dyDescent="0.25">
      <c r="P1088" s="719">
        <v>3900</v>
      </c>
      <c r="Q1088" s="719" t="str">
        <f t="shared" si="44"/>
        <v>3900</v>
      </c>
      <c r="R1088" s="719">
        <v>255</v>
      </c>
      <c r="S1088" s="720">
        <v>36.5</v>
      </c>
      <c r="T1088" s="720"/>
      <c r="U1088" s="724">
        <v>3900</v>
      </c>
      <c r="V1088" s="724" t="str">
        <f t="shared" si="45"/>
        <v>3900</v>
      </c>
      <c r="W1088" s="724">
        <v>101</v>
      </c>
      <c r="X1088" s="720">
        <v>1710</v>
      </c>
    </row>
    <row r="1089" spans="16:24" ht="15" x14ac:dyDescent="0.25">
      <c r="P1089" s="719">
        <v>3924</v>
      </c>
      <c r="Q1089" s="719" t="str">
        <f t="shared" si="44"/>
        <v>3924</v>
      </c>
      <c r="R1089" s="719">
        <v>102</v>
      </c>
      <c r="S1089" s="720">
        <v>95.58</v>
      </c>
      <c r="T1089" s="720"/>
      <c r="U1089" s="724">
        <v>3900</v>
      </c>
      <c r="V1089" s="724" t="str">
        <f t="shared" si="45"/>
        <v>3900</v>
      </c>
      <c r="W1089" s="724">
        <v>102</v>
      </c>
      <c r="X1089" s="720">
        <v>1944</v>
      </c>
    </row>
    <row r="1090" spans="16:24" ht="15" x14ac:dyDescent="0.25">
      <c r="P1090" s="719">
        <v>3924</v>
      </c>
      <c r="Q1090" s="719" t="str">
        <f t="shared" si="44"/>
        <v>3924</v>
      </c>
      <c r="R1090" s="719">
        <v>103</v>
      </c>
      <c r="S1090" s="720">
        <v>55.36</v>
      </c>
      <c r="T1090" s="720"/>
      <c r="U1090" s="724">
        <v>3900</v>
      </c>
      <c r="V1090" s="724" t="str">
        <f t="shared" si="45"/>
        <v>3900</v>
      </c>
      <c r="W1090" s="724">
        <v>103</v>
      </c>
      <c r="X1090" s="720">
        <v>1317.75</v>
      </c>
    </row>
    <row r="1091" spans="16:24" ht="15" x14ac:dyDescent="0.25">
      <c r="P1091" s="719">
        <v>3924</v>
      </c>
      <c r="Q1091" s="719" t="str">
        <f t="shared" ref="Q1091:Q1154" si="46">TEXT(P1091,"0000")</f>
        <v>3924</v>
      </c>
      <c r="R1091" s="719">
        <v>112</v>
      </c>
      <c r="S1091" s="720">
        <v>27.52</v>
      </c>
      <c r="T1091" s="720"/>
      <c r="U1091" s="724">
        <v>3900</v>
      </c>
      <c r="V1091" s="724" t="str">
        <f t="shared" si="45"/>
        <v>3900</v>
      </c>
      <c r="W1091" s="724">
        <v>111</v>
      </c>
      <c r="X1091" s="720">
        <v>1099</v>
      </c>
    </row>
    <row r="1092" spans="16:24" ht="15" x14ac:dyDescent="0.25">
      <c r="P1092" s="719">
        <v>3924</v>
      </c>
      <c r="Q1092" s="719" t="str">
        <f t="shared" si="46"/>
        <v>3924</v>
      </c>
      <c r="R1092" s="719">
        <v>113</v>
      </c>
      <c r="S1092" s="720">
        <v>11.54</v>
      </c>
      <c r="T1092" s="720"/>
      <c r="U1092" s="724">
        <v>3900</v>
      </c>
      <c r="V1092" s="724" t="str">
        <f t="shared" ref="V1092:V1155" si="47">TEXT(U1092,"0000")</f>
        <v>3900</v>
      </c>
      <c r="W1092" s="724">
        <v>112</v>
      </c>
      <c r="X1092" s="720">
        <v>728.75</v>
      </c>
    </row>
    <row r="1093" spans="16:24" ht="15" x14ac:dyDescent="0.25">
      <c r="P1093" s="719">
        <v>3924</v>
      </c>
      <c r="Q1093" s="719" t="str">
        <f t="shared" si="46"/>
        <v>3924</v>
      </c>
      <c r="R1093" s="719">
        <v>130</v>
      </c>
      <c r="S1093" s="720">
        <v>14.37</v>
      </c>
      <c r="T1093" s="720"/>
      <c r="U1093" s="724">
        <v>3900</v>
      </c>
      <c r="V1093" s="724" t="str">
        <f t="shared" si="47"/>
        <v>3900</v>
      </c>
      <c r="W1093" s="724">
        <v>113</v>
      </c>
      <c r="X1093" s="720">
        <v>508.5</v>
      </c>
    </row>
    <row r="1094" spans="16:24" ht="15" x14ac:dyDescent="0.25">
      <c r="P1094" s="719">
        <v>3924</v>
      </c>
      <c r="Q1094" s="719" t="str">
        <f t="shared" si="46"/>
        <v>3924</v>
      </c>
      <c r="R1094" s="719">
        <v>300</v>
      </c>
      <c r="S1094" s="720">
        <v>0.78</v>
      </c>
      <c r="T1094" s="720"/>
      <c r="U1094" s="724">
        <v>3900</v>
      </c>
      <c r="V1094" s="724" t="str">
        <f t="shared" si="47"/>
        <v>3900</v>
      </c>
      <c r="W1094" s="724">
        <v>254</v>
      </c>
      <c r="X1094" s="720">
        <v>31.25</v>
      </c>
    </row>
    <row r="1095" spans="16:24" ht="15" x14ac:dyDescent="0.25">
      <c r="P1095" s="719">
        <v>3931</v>
      </c>
      <c r="Q1095" s="719" t="str">
        <f t="shared" si="46"/>
        <v>3931</v>
      </c>
      <c r="R1095" s="719">
        <v>103</v>
      </c>
      <c r="S1095" s="720">
        <v>1.5</v>
      </c>
      <c r="T1095" s="720"/>
      <c r="U1095" s="724">
        <v>3900</v>
      </c>
      <c r="V1095" s="724" t="str">
        <f t="shared" si="47"/>
        <v>3900</v>
      </c>
      <c r="W1095" s="724">
        <v>255</v>
      </c>
      <c r="X1095" s="720">
        <v>17.75</v>
      </c>
    </row>
    <row r="1096" spans="16:24" ht="15" x14ac:dyDescent="0.25">
      <c r="P1096" s="719">
        <v>3931</v>
      </c>
      <c r="Q1096" s="719" t="str">
        <f t="shared" si="46"/>
        <v>3931</v>
      </c>
      <c r="R1096" s="719">
        <v>113</v>
      </c>
      <c r="S1096" s="720">
        <v>3.82</v>
      </c>
      <c r="T1096" s="720"/>
      <c r="U1096" s="724">
        <v>3924</v>
      </c>
      <c r="V1096" s="724" t="str">
        <f t="shared" si="47"/>
        <v>3924</v>
      </c>
      <c r="W1096" s="724">
        <v>102</v>
      </c>
      <c r="X1096" s="720">
        <v>92.91</v>
      </c>
    </row>
    <row r="1097" spans="16:24" ht="15" x14ac:dyDescent="0.25">
      <c r="P1097" s="719">
        <v>3931</v>
      </c>
      <c r="Q1097" s="719" t="str">
        <f t="shared" si="46"/>
        <v>3931</v>
      </c>
      <c r="R1097" s="719">
        <v>300</v>
      </c>
      <c r="S1097" s="720">
        <v>9.7200000000000006</v>
      </c>
      <c r="T1097" s="720"/>
      <c r="U1097" s="724">
        <v>3924</v>
      </c>
      <c r="V1097" s="724" t="str">
        <f t="shared" si="47"/>
        <v>3924</v>
      </c>
      <c r="W1097" s="724">
        <v>103</v>
      </c>
      <c r="X1097" s="720">
        <v>56.72</v>
      </c>
    </row>
    <row r="1098" spans="16:24" ht="15" x14ac:dyDescent="0.25">
      <c r="P1098" s="719">
        <v>3941</v>
      </c>
      <c r="Q1098" s="719" t="str">
        <f t="shared" si="46"/>
        <v>3941</v>
      </c>
      <c r="R1098" s="719">
        <v>101</v>
      </c>
      <c r="S1098" s="720">
        <v>55.05</v>
      </c>
      <c r="T1098" s="720"/>
      <c r="U1098" s="724">
        <v>3924</v>
      </c>
      <c r="V1098" s="724" t="str">
        <f t="shared" si="47"/>
        <v>3924</v>
      </c>
      <c r="W1098" s="724">
        <v>112</v>
      </c>
      <c r="X1098" s="720">
        <v>26</v>
      </c>
    </row>
    <row r="1099" spans="16:24" ht="15" x14ac:dyDescent="0.25">
      <c r="P1099" s="719">
        <v>3941</v>
      </c>
      <c r="Q1099" s="719" t="str">
        <f t="shared" si="46"/>
        <v>3941</v>
      </c>
      <c r="R1099" s="719">
        <v>102</v>
      </c>
      <c r="S1099" s="720">
        <v>29.57</v>
      </c>
      <c r="T1099" s="720"/>
      <c r="U1099" s="724">
        <v>3924</v>
      </c>
      <c r="V1099" s="724" t="str">
        <f t="shared" si="47"/>
        <v>3924</v>
      </c>
      <c r="W1099" s="724">
        <v>113</v>
      </c>
      <c r="X1099" s="720">
        <v>10.97</v>
      </c>
    </row>
    <row r="1100" spans="16:24" ht="15" x14ac:dyDescent="0.25">
      <c r="P1100" s="719">
        <v>3941</v>
      </c>
      <c r="Q1100" s="719" t="str">
        <f t="shared" si="46"/>
        <v>3941</v>
      </c>
      <c r="R1100" s="719">
        <v>111</v>
      </c>
      <c r="S1100" s="720">
        <v>10.51</v>
      </c>
      <c r="T1100" s="720"/>
      <c r="U1100" s="724">
        <v>3924</v>
      </c>
      <c r="V1100" s="724" t="str">
        <f t="shared" si="47"/>
        <v>3924</v>
      </c>
      <c r="W1100" s="724">
        <v>130</v>
      </c>
      <c r="X1100" s="720">
        <v>14.63</v>
      </c>
    </row>
    <row r="1101" spans="16:24" ht="15" x14ac:dyDescent="0.25">
      <c r="P1101" s="719">
        <v>3941</v>
      </c>
      <c r="Q1101" s="719" t="str">
        <f t="shared" si="46"/>
        <v>3941</v>
      </c>
      <c r="R1101" s="719">
        <v>112</v>
      </c>
      <c r="S1101" s="720">
        <v>6.03</v>
      </c>
      <c r="T1101" s="720"/>
      <c r="U1101" s="724">
        <v>3924</v>
      </c>
      <c r="V1101" s="724" t="str">
        <f t="shared" si="47"/>
        <v>3924</v>
      </c>
      <c r="W1101" s="724">
        <v>300</v>
      </c>
      <c r="X1101" s="720">
        <v>0.79</v>
      </c>
    </row>
    <row r="1102" spans="16:24" ht="15" x14ac:dyDescent="0.25">
      <c r="P1102" s="719">
        <v>3941</v>
      </c>
      <c r="Q1102" s="719" t="str">
        <f t="shared" si="46"/>
        <v>3941</v>
      </c>
      <c r="R1102" s="719">
        <v>130</v>
      </c>
      <c r="S1102" s="720">
        <v>12.98</v>
      </c>
      <c r="T1102" s="720"/>
      <c r="U1102" s="724">
        <v>3931</v>
      </c>
      <c r="V1102" s="724" t="str">
        <f t="shared" si="47"/>
        <v>3931</v>
      </c>
      <c r="W1102" s="724">
        <v>103</v>
      </c>
      <c r="X1102" s="720">
        <v>0</v>
      </c>
    </row>
    <row r="1103" spans="16:24" ht="15" x14ac:dyDescent="0.25">
      <c r="P1103" s="719">
        <v>3971</v>
      </c>
      <c r="Q1103" s="719" t="str">
        <f t="shared" si="46"/>
        <v>3971</v>
      </c>
      <c r="R1103" s="719">
        <v>103</v>
      </c>
      <c r="S1103" s="720">
        <v>223.06</v>
      </c>
      <c r="T1103" s="720"/>
      <c r="U1103" s="724">
        <v>3931</v>
      </c>
      <c r="V1103" s="724" t="str">
        <f t="shared" si="47"/>
        <v>3931</v>
      </c>
      <c r="W1103" s="724">
        <v>113</v>
      </c>
      <c r="X1103" s="720">
        <v>5.16</v>
      </c>
    </row>
    <row r="1104" spans="16:24" ht="15" x14ac:dyDescent="0.25">
      <c r="P1104" s="719">
        <v>3971</v>
      </c>
      <c r="Q1104" s="719" t="str">
        <f t="shared" si="46"/>
        <v>3971</v>
      </c>
      <c r="R1104" s="719">
        <v>113</v>
      </c>
      <c r="S1104" s="720">
        <v>57.81</v>
      </c>
      <c r="T1104" s="720"/>
      <c r="U1104" s="724">
        <v>3931</v>
      </c>
      <c r="V1104" s="724" t="str">
        <f t="shared" si="47"/>
        <v>3931</v>
      </c>
      <c r="W1104" s="724">
        <v>300</v>
      </c>
      <c r="X1104" s="720">
        <v>9.1999999999999993</v>
      </c>
    </row>
    <row r="1105" spans="16:24" ht="15" x14ac:dyDescent="0.25">
      <c r="P1105" s="719">
        <v>3971</v>
      </c>
      <c r="Q1105" s="719" t="str">
        <f t="shared" si="46"/>
        <v>3971</v>
      </c>
      <c r="R1105" s="719">
        <v>130</v>
      </c>
      <c r="S1105" s="720">
        <v>23.87</v>
      </c>
      <c r="T1105" s="720"/>
      <c r="U1105" s="724">
        <v>3941</v>
      </c>
      <c r="V1105" s="724" t="str">
        <f t="shared" si="47"/>
        <v>3941</v>
      </c>
      <c r="W1105" s="724">
        <v>101</v>
      </c>
      <c r="X1105" s="720">
        <v>52</v>
      </c>
    </row>
    <row r="1106" spans="16:24" ht="15" x14ac:dyDescent="0.25">
      <c r="P1106" s="719">
        <v>4001</v>
      </c>
      <c r="Q1106" s="719" t="str">
        <f t="shared" si="46"/>
        <v>4001</v>
      </c>
      <c r="R1106" s="719">
        <v>101</v>
      </c>
      <c r="S1106" s="720">
        <v>91.22</v>
      </c>
      <c r="T1106" s="720"/>
      <c r="U1106" s="724">
        <v>3941</v>
      </c>
      <c r="V1106" s="724" t="str">
        <f t="shared" si="47"/>
        <v>3941</v>
      </c>
      <c r="W1106" s="724">
        <v>102</v>
      </c>
      <c r="X1106" s="720">
        <v>29.56</v>
      </c>
    </row>
    <row r="1107" spans="16:24" ht="15" x14ac:dyDescent="0.25">
      <c r="P1107" s="719">
        <v>4001</v>
      </c>
      <c r="Q1107" s="719" t="str">
        <f t="shared" si="46"/>
        <v>4001</v>
      </c>
      <c r="R1107" s="719">
        <v>102</v>
      </c>
      <c r="S1107" s="720">
        <v>149.97</v>
      </c>
      <c r="T1107" s="720"/>
      <c r="U1107" s="724">
        <v>3941</v>
      </c>
      <c r="V1107" s="724" t="str">
        <f t="shared" si="47"/>
        <v>3941</v>
      </c>
      <c r="W1107" s="724">
        <v>111</v>
      </c>
      <c r="X1107" s="720">
        <v>11.01</v>
      </c>
    </row>
    <row r="1108" spans="16:24" ht="15" x14ac:dyDescent="0.25">
      <c r="P1108" s="719">
        <v>4001</v>
      </c>
      <c r="Q1108" s="719" t="str">
        <f t="shared" si="46"/>
        <v>4001</v>
      </c>
      <c r="R1108" s="719">
        <v>111</v>
      </c>
      <c r="S1108" s="720">
        <v>13.04</v>
      </c>
      <c r="T1108" s="720"/>
      <c r="U1108" s="724">
        <v>3941</v>
      </c>
      <c r="V1108" s="724" t="str">
        <f t="shared" si="47"/>
        <v>3941</v>
      </c>
      <c r="W1108" s="724">
        <v>112</v>
      </c>
      <c r="X1108" s="720">
        <v>5.52</v>
      </c>
    </row>
    <row r="1109" spans="16:24" ht="15" x14ac:dyDescent="0.25">
      <c r="P1109" s="719">
        <v>4001</v>
      </c>
      <c r="Q1109" s="719" t="str">
        <f t="shared" si="46"/>
        <v>4001</v>
      </c>
      <c r="R1109" s="719">
        <v>112</v>
      </c>
      <c r="S1109" s="720">
        <v>24.08</v>
      </c>
      <c r="T1109" s="720"/>
      <c r="U1109" s="724">
        <v>3941</v>
      </c>
      <c r="V1109" s="724" t="str">
        <f t="shared" si="47"/>
        <v>3941</v>
      </c>
      <c r="W1109" s="724">
        <v>130</v>
      </c>
      <c r="X1109" s="720">
        <v>12.21</v>
      </c>
    </row>
    <row r="1110" spans="16:24" ht="15" x14ac:dyDescent="0.25">
      <c r="P1110" s="719">
        <v>4001</v>
      </c>
      <c r="Q1110" s="719" t="str">
        <f t="shared" si="46"/>
        <v>4001</v>
      </c>
      <c r="R1110" s="719">
        <v>130</v>
      </c>
      <c r="S1110" s="720">
        <v>43.93</v>
      </c>
      <c r="T1110" s="720"/>
      <c r="U1110" s="724">
        <v>3971</v>
      </c>
      <c r="V1110" s="724" t="str">
        <f t="shared" si="47"/>
        <v>3971</v>
      </c>
      <c r="W1110" s="724">
        <v>103</v>
      </c>
      <c r="X1110" s="720">
        <v>229.33</v>
      </c>
    </row>
    <row r="1111" spans="16:24" ht="15" x14ac:dyDescent="0.25">
      <c r="P1111" s="719">
        <v>4002</v>
      </c>
      <c r="Q1111" s="719" t="str">
        <f t="shared" si="46"/>
        <v>4002</v>
      </c>
      <c r="R1111" s="719">
        <v>101</v>
      </c>
      <c r="S1111" s="720">
        <v>97.68</v>
      </c>
      <c r="T1111" s="720"/>
      <c r="U1111" s="724">
        <v>3971</v>
      </c>
      <c r="V1111" s="724" t="str">
        <f t="shared" si="47"/>
        <v>3971</v>
      </c>
      <c r="W1111" s="724">
        <v>113</v>
      </c>
      <c r="X1111" s="720">
        <v>68.64</v>
      </c>
    </row>
    <row r="1112" spans="16:24" ht="15" x14ac:dyDescent="0.25">
      <c r="P1112" s="719">
        <v>4002</v>
      </c>
      <c r="Q1112" s="719" t="str">
        <f t="shared" si="46"/>
        <v>4002</v>
      </c>
      <c r="R1112" s="719">
        <v>102</v>
      </c>
      <c r="S1112" s="720">
        <v>177.15</v>
      </c>
      <c r="T1112" s="720"/>
      <c r="U1112" s="724">
        <v>3971</v>
      </c>
      <c r="V1112" s="724" t="str">
        <f t="shared" si="47"/>
        <v>3971</v>
      </c>
      <c r="W1112" s="724">
        <v>130</v>
      </c>
      <c r="X1112" s="720">
        <v>24.66</v>
      </c>
    </row>
    <row r="1113" spans="16:24" ht="15" x14ac:dyDescent="0.25">
      <c r="P1113" s="719">
        <v>4002</v>
      </c>
      <c r="Q1113" s="719" t="str">
        <f t="shared" si="46"/>
        <v>4002</v>
      </c>
      <c r="R1113" s="719">
        <v>111</v>
      </c>
      <c r="S1113" s="720">
        <v>14.08</v>
      </c>
      <c r="T1113" s="720"/>
      <c r="U1113" s="724">
        <v>4001</v>
      </c>
      <c r="V1113" s="724" t="str">
        <f t="shared" si="47"/>
        <v>4001</v>
      </c>
      <c r="W1113" s="724">
        <v>101</v>
      </c>
      <c r="X1113" s="720">
        <v>88.04</v>
      </c>
    </row>
    <row r="1114" spans="16:24" ht="15" x14ac:dyDescent="0.25">
      <c r="P1114" s="719">
        <v>4002</v>
      </c>
      <c r="Q1114" s="719" t="str">
        <f t="shared" si="46"/>
        <v>4002</v>
      </c>
      <c r="R1114" s="719">
        <v>112</v>
      </c>
      <c r="S1114" s="720">
        <v>25.52</v>
      </c>
      <c r="T1114" s="720"/>
      <c r="U1114" s="724">
        <v>4001</v>
      </c>
      <c r="V1114" s="724" t="str">
        <f t="shared" si="47"/>
        <v>4001</v>
      </c>
      <c r="W1114" s="724">
        <v>102</v>
      </c>
      <c r="X1114" s="720">
        <v>148.94</v>
      </c>
    </row>
    <row r="1115" spans="16:24" ht="15" x14ac:dyDescent="0.25">
      <c r="P1115" s="719">
        <v>4002</v>
      </c>
      <c r="Q1115" s="719" t="str">
        <f t="shared" si="46"/>
        <v>4002</v>
      </c>
      <c r="R1115" s="719">
        <v>130</v>
      </c>
      <c r="S1115" s="720">
        <v>131.12</v>
      </c>
      <c r="T1115" s="720"/>
      <c r="U1115" s="724">
        <v>4001</v>
      </c>
      <c r="V1115" s="724" t="str">
        <f t="shared" si="47"/>
        <v>4001</v>
      </c>
      <c r="W1115" s="724">
        <v>111</v>
      </c>
      <c r="X1115" s="720">
        <v>15.06</v>
      </c>
    </row>
    <row r="1116" spans="16:24" ht="15" x14ac:dyDescent="0.25">
      <c r="P1116" s="719">
        <v>4012</v>
      </c>
      <c r="Q1116" s="719" t="str">
        <f t="shared" si="46"/>
        <v>4012</v>
      </c>
      <c r="R1116" s="719">
        <v>102</v>
      </c>
      <c r="S1116" s="720">
        <v>223.32</v>
      </c>
      <c r="T1116" s="720"/>
      <c r="U1116" s="724">
        <v>4001</v>
      </c>
      <c r="V1116" s="724" t="str">
        <f t="shared" si="47"/>
        <v>4001</v>
      </c>
      <c r="W1116" s="724">
        <v>112</v>
      </c>
      <c r="X1116" s="720">
        <v>23.5</v>
      </c>
    </row>
    <row r="1117" spans="16:24" ht="15" x14ac:dyDescent="0.25">
      <c r="P1117" s="719">
        <v>4012</v>
      </c>
      <c r="Q1117" s="719" t="str">
        <f t="shared" si="46"/>
        <v>4012</v>
      </c>
      <c r="R1117" s="719">
        <v>112</v>
      </c>
      <c r="S1117" s="720">
        <v>41.97</v>
      </c>
      <c r="T1117" s="720"/>
      <c r="U1117" s="724">
        <v>4001</v>
      </c>
      <c r="V1117" s="724" t="str">
        <f t="shared" si="47"/>
        <v>4001</v>
      </c>
      <c r="W1117" s="724">
        <v>130</v>
      </c>
      <c r="X1117" s="720">
        <v>41.74</v>
      </c>
    </row>
    <row r="1118" spans="16:24" ht="15" x14ac:dyDescent="0.25">
      <c r="P1118" s="719">
        <v>4012</v>
      </c>
      <c r="Q1118" s="719" t="str">
        <f t="shared" si="46"/>
        <v>4012</v>
      </c>
      <c r="R1118" s="719">
        <v>130</v>
      </c>
      <c r="S1118" s="720">
        <v>5.86</v>
      </c>
      <c r="T1118" s="720"/>
      <c r="U1118" s="724">
        <v>4002</v>
      </c>
      <c r="V1118" s="724" t="str">
        <f t="shared" si="47"/>
        <v>4002</v>
      </c>
      <c r="W1118" s="724">
        <v>101</v>
      </c>
      <c r="X1118" s="720">
        <v>93.34</v>
      </c>
    </row>
    <row r="1119" spans="16:24" ht="15" x14ac:dyDescent="0.25">
      <c r="P1119" s="719">
        <v>4013</v>
      </c>
      <c r="Q1119" s="719" t="str">
        <f t="shared" si="46"/>
        <v>4013</v>
      </c>
      <c r="R1119" s="719">
        <v>103</v>
      </c>
      <c r="S1119" s="720">
        <v>429.97</v>
      </c>
      <c r="T1119" s="720"/>
      <c r="U1119" s="724">
        <v>4002</v>
      </c>
      <c r="V1119" s="724" t="str">
        <f t="shared" si="47"/>
        <v>4002</v>
      </c>
      <c r="W1119" s="724">
        <v>102</v>
      </c>
      <c r="X1119" s="720">
        <v>173.72</v>
      </c>
    </row>
    <row r="1120" spans="16:24" ht="15" x14ac:dyDescent="0.25">
      <c r="P1120" s="719">
        <v>4013</v>
      </c>
      <c r="Q1120" s="719" t="str">
        <f t="shared" si="46"/>
        <v>4013</v>
      </c>
      <c r="R1120" s="719">
        <v>113</v>
      </c>
      <c r="S1120" s="720">
        <v>46.8</v>
      </c>
      <c r="T1120" s="720"/>
      <c r="U1120" s="724">
        <v>4002</v>
      </c>
      <c r="V1120" s="724" t="str">
        <f t="shared" si="47"/>
        <v>4002</v>
      </c>
      <c r="W1120" s="724">
        <v>111</v>
      </c>
      <c r="X1120" s="720">
        <v>13</v>
      </c>
    </row>
    <row r="1121" spans="16:25" ht="15" x14ac:dyDescent="0.25">
      <c r="P1121" s="719">
        <v>4013</v>
      </c>
      <c r="Q1121" s="719" t="str">
        <f t="shared" si="46"/>
        <v>4013</v>
      </c>
      <c r="R1121" s="719">
        <v>130</v>
      </c>
      <c r="S1121" s="720">
        <v>6.08</v>
      </c>
      <c r="T1121" s="720"/>
      <c r="U1121" s="724">
        <v>4002</v>
      </c>
      <c r="V1121" s="724" t="str">
        <f t="shared" si="47"/>
        <v>4002</v>
      </c>
      <c r="W1121" s="724">
        <v>112</v>
      </c>
      <c r="X1121" s="720">
        <v>23.94</v>
      </c>
    </row>
    <row r="1122" spans="16:25" ht="15" x14ac:dyDescent="0.25">
      <c r="P1122" s="719">
        <v>4013</v>
      </c>
      <c r="Q1122" s="719" t="str">
        <f t="shared" si="46"/>
        <v>4013</v>
      </c>
      <c r="R1122" s="719">
        <v>300</v>
      </c>
      <c r="S1122" s="720">
        <v>22.46</v>
      </c>
      <c r="T1122" s="720"/>
      <c r="U1122" s="724">
        <v>4002</v>
      </c>
      <c r="V1122" s="724" t="str">
        <f t="shared" si="47"/>
        <v>4002</v>
      </c>
      <c r="W1122" s="724">
        <v>130</v>
      </c>
      <c r="X1122" s="720">
        <v>125.47</v>
      </c>
    </row>
    <row r="1123" spans="16:25" ht="15" x14ac:dyDescent="0.25">
      <c r="P1123" s="719">
        <v>4020</v>
      </c>
      <c r="Q1123" s="719" t="str">
        <f t="shared" si="46"/>
        <v>4020</v>
      </c>
      <c r="R1123" s="719">
        <v>101</v>
      </c>
      <c r="S1123" s="720">
        <v>234.32</v>
      </c>
      <c r="T1123" s="720"/>
      <c r="U1123" s="724">
        <v>4012</v>
      </c>
      <c r="V1123" s="724" t="str">
        <f t="shared" si="47"/>
        <v>4012</v>
      </c>
      <c r="W1123" s="724">
        <v>102</v>
      </c>
      <c r="X1123" s="720">
        <v>216.48</v>
      </c>
    </row>
    <row r="1124" spans="16:25" ht="15" x14ac:dyDescent="0.25">
      <c r="P1124" s="719">
        <v>4020</v>
      </c>
      <c r="Q1124" s="719" t="str">
        <f t="shared" si="46"/>
        <v>4020</v>
      </c>
      <c r="R1124" s="719">
        <v>102</v>
      </c>
      <c r="S1124" s="720">
        <v>273.08999999999997</v>
      </c>
      <c r="T1124" s="720"/>
      <c r="U1124" s="724">
        <v>4012</v>
      </c>
      <c r="V1124" s="724" t="str">
        <f t="shared" si="47"/>
        <v>4012</v>
      </c>
      <c r="W1124" s="724">
        <v>112</v>
      </c>
      <c r="X1124" s="720">
        <v>38.44</v>
      </c>
    </row>
    <row r="1125" spans="16:25" ht="15" x14ac:dyDescent="0.25">
      <c r="P1125" s="719">
        <v>4020</v>
      </c>
      <c r="Q1125" s="719" t="str">
        <f t="shared" si="46"/>
        <v>4020</v>
      </c>
      <c r="R1125" s="719">
        <v>111</v>
      </c>
      <c r="S1125" s="720">
        <v>30.13</v>
      </c>
      <c r="T1125" s="720"/>
      <c r="U1125" s="724">
        <v>4012</v>
      </c>
      <c r="V1125" s="724" t="str">
        <f t="shared" si="47"/>
        <v>4012</v>
      </c>
      <c r="W1125" s="724">
        <v>130</v>
      </c>
      <c r="X1125" s="720">
        <v>4.99</v>
      </c>
    </row>
    <row r="1126" spans="16:25" ht="15" x14ac:dyDescent="0.25">
      <c r="P1126" s="719">
        <v>4020</v>
      </c>
      <c r="Q1126" s="719" t="str">
        <f t="shared" si="46"/>
        <v>4020</v>
      </c>
      <c r="R1126" s="719">
        <v>112</v>
      </c>
      <c r="S1126" s="720">
        <v>47.53</v>
      </c>
      <c r="T1126" s="720"/>
      <c r="U1126" s="724">
        <v>4013</v>
      </c>
      <c r="V1126" s="724" t="str">
        <f t="shared" si="47"/>
        <v>4013</v>
      </c>
      <c r="W1126" s="724">
        <v>103</v>
      </c>
      <c r="X1126" s="720">
        <v>417.08</v>
      </c>
    </row>
    <row r="1127" spans="16:25" ht="15" x14ac:dyDescent="0.25">
      <c r="P1127" s="719">
        <v>4020</v>
      </c>
      <c r="Q1127" s="719" t="str">
        <f t="shared" si="46"/>
        <v>4020</v>
      </c>
      <c r="R1127" s="719">
        <v>130</v>
      </c>
      <c r="S1127" s="720">
        <v>37.94</v>
      </c>
      <c r="T1127" s="720"/>
      <c r="U1127" s="724">
        <v>4013</v>
      </c>
      <c r="V1127" s="724" t="str">
        <f t="shared" si="47"/>
        <v>4013</v>
      </c>
      <c r="W1127" s="724">
        <v>113</v>
      </c>
      <c r="X1127" s="720">
        <v>42.15</v>
      </c>
    </row>
    <row r="1128" spans="16:25" ht="15" x14ac:dyDescent="0.25">
      <c r="P1128" s="719">
        <v>4030</v>
      </c>
      <c r="Q1128" s="719" t="str">
        <f t="shared" si="46"/>
        <v>4030</v>
      </c>
      <c r="R1128" s="719">
        <v>101</v>
      </c>
      <c r="S1128" s="751"/>
      <c r="T1128" s="720"/>
      <c r="U1128" s="724">
        <v>4013</v>
      </c>
      <c r="V1128" s="724" t="str">
        <f t="shared" si="47"/>
        <v>4013</v>
      </c>
      <c r="W1128" s="724">
        <v>130</v>
      </c>
      <c r="X1128" s="720">
        <v>5.14</v>
      </c>
    </row>
    <row r="1129" spans="16:25" ht="15" x14ac:dyDescent="0.25">
      <c r="P1129" s="719">
        <v>4030</v>
      </c>
      <c r="Q1129" s="719" t="str">
        <f t="shared" si="46"/>
        <v>4030</v>
      </c>
      <c r="R1129" s="719">
        <v>102</v>
      </c>
      <c r="S1129" s="751"/>
      <c r="T1129" s="720"/>
      <c r="U1129" s="724">
        <v>4013</v>
      </c>
      <c r="V1129" s="724" t="str">
        <f t="shared" si="47"/>
        <v>4013</v>
      </c>
      <c r="W1129" s="724">
        <v>300</v>
      </c>
      <c r="X1129" s="720">
        <v>22.08</v>
      </c>
    </row>
    <row r="1130" spans="16:25" ht="15" x14ac:dyDescent="0.25">
      <c r="P1130" s="719">
        <v>4030</v>
      </c>
      <c r="Q1130" s="719" t="str">
        <f t="shared" si="46"/>
        <v>4030</v>
      </c>
      <c r="R1130" s="719">
        <v>111</v>
      </c>
      <c r="S1130" s="751"/>
      <c r="T1130" s="720"/>
      <c r="U1130" s="724">
        <v>4020</v>
      </c>
      <c r="V1130" s="724" t="str">
        <f t="shared" si="47"/>
        <v>4020</v>
      </c>
      <c r="W1130" s="724">
        <v>101</v>
      </c>
      <c r="X1130" s="720">
        <v>226.73</v>
      </c>
    </row>
    <row r="1131" spans="16:25" ht="15" x14ac:dyDescent="0.25">
      <c r="P1131" s="719">
        <v>4030</v>
      </c>
      <c r="Q1131" s="719" t="str">
        <f t="shared" si="46"/>
        <v>4030</v>
      </c>
      <c r="R1131" s="719">
        <v>112</v>
      </c>
      <c r="S1131" s="751"/>
      <c r="T1131" s="720"/>
      <c r="U1131" s="724">
        <v>4020</v>
      </c>
      <c r="V1131" s="724" t="str">
        <f t="shared" si="47"/>
        <v>4020</v>
      </c>
      <c r="W1131" s="724">
        <v>102</v>
      </c>
      <c r="X1131" s="720">
        <v>268.62</v>
      </c>
    </row>
    <row r="1132" spans="16:25" ht="15" x14ac:dyDescent="0.25">
      <c r="P1132" s="719">
        <v>4030</v>
      </c>
      <c r="Q1132" s="719" t="str">
        <f t="shared" si="46"/>
        <v>4030</v>
      </c>
      <c r="R1132" s="719">
        <v>130</v>
      </c>
      <c r="S1132" s="751"/>
      <c r="T1132" s="720"/>
      <c r="U1132" s="724">
        <v>4020</v>
      </c>
      <c r="V1132" s="724" t="str">
        <f t="shared" si="47"/>
        <v>4020</v>
      </c>
      <c r="W1132" s="724">
        <v>111</v>
      </c>
      <c r="X1132" s="720">
        <v>33</v>
      </c>
    </row>
    <row r="1133" spans="16:25" ht="15" x14ac:dyDescent="0.25">
      <c r="P1133" s="719">
        <v>4031</v>
      </c>
      <c r="Q1133" s="719" t="str">
        <f t="shared" si="46"/>
        <v>4031</v>
      </c>
      <c r="R1133" s="719">
        <v>101</v>
      </c>
      <c r="S1133" s="720">
        <v>51.96</v>
      </c>
      <c r="T1133" s="720"/>
      <c r="U1133" s="724">
        <v>4020</v>
      </c>
      <c r="V1133" s="724" t="str">
        <f t="shared" si="47"/>
        <v>4020</v>
      </c>
      <c r="W1133" s="724">
        <v>112</v>
      </c>
      <c r="X1133" s="720">
        <v>47.72</v>
      </c>
    </row>
    <row r="1134" spans="16:25" ht="15" x14ac:dyDescent="0.25">
      <c r="P1134" s="719">
        <v>4031</v>
      </c>
      <c r="Q1134" s="719" t="str">
        <f t="shared" si="46"/>
        <v>4031</v>
      </c>
      <c r="R1134" s="719">
        <v>102</v>
      </c>
      <c r="S1134" s="720">
        <v>89.52</v>
      </c>
      <c r="T1134" s="720"/>
      <c r="U1134" s="724">
        <v>4020</v>
      </c>
      <c r="V1134" s="724" t="str">
        <f t="shared" si="47"/>
        <v>4020</v>
      </c>
      <c r="W1134" s="724">
        <v>130</v>
      </c>
      <c r="X1134" s="720">
        <v>36.520000000000003</v>
      </c>
      <c r="Y1134" s="720" t="s">
        <v>663</v>
      </c>
    </row>
    <row r="1135" spans="16:25" ht="15" x14ac:dyDescent="0.25">
      <c r="P1135" s="719">
        <v>4031</v>
      </c>
      <c r="Q1135" s="719" t="str">
        <f t="shared" si="46"/>
        <v>4031</v>
      </c>
      <c r="R1135" s="719">
        <v>111</v>
      </c>
      <c r="S1135" s="720">
        <v>5.99</v>
      </c>
      <c r="T1135" s="720"/>
      <c r="U1135" s="724">
        <v>4030</v>
      </c>
      <c r="V1135" s="724" t="str">
        <f t="shared" si="47"/>
        <v>4030</v>
      </c>
      <c r="W1135" s="724">
        <v>101</v>
      </c>
      <c r="X1135" s="751"/>
      <c r="Y1135" s="718">
        <v>23.92</v>
      </c>
    </row>
    <row r="1136" spans="16:25" ht="15" x14ac:dyDescent="0.25">
      <c r="P1136" s="719">
        <v>4031</v>
      </c>
      <c r="Q1136" s="719" t="str">
        <f t="shared" si="46"/>
        <v>4031</v>
      </c>
      <c r="R1136" s="719">
        <v>112</v>
      </c>
      <c r="S1136" s="720">
        <v>18.55</v>
      </c>
      <c r="T1136" s="720"/>
      <c r="U1136" s="724">
        <v>4030</v>
      </c>
      <c r="V1136" s="724" t="str">
        <f t="shared" si="47"/>
        <v>4030</v>
      </c>
      <c r="W1136" s="724">
        <v>102</v>
      </c>
      <c r="X1136" s="751"/>
      <c r="Y1136" s="718">
        <v>34.229999999999997</v>
      </c>
    </row>
    <row r="1137" spans="16:25" ht="15" x14ac:dyDescent="0.25">
      <c r="P1137" s="719">
        <v>4031</v>
      </c>
      <c r="Q1137" s="719" t="str">
        <f t="shared" si="46"/>
        <v>4031</v>
      </c>
      <c r="R1137" s="719">
        <v>130</v>
      </c>
      <c r="S1137" s="720">
        <v>34.32</v>
      </c>
      <c r="T1137" s="720"/>
      <c r="U1137" s="724">
        <v>4030</v>
      </c>
      <c r="V1137" s="724" t="str">
        <f t="shared" si="47"/>
        <v>4030</v>
      </c>
      <c r="W1137" s="724">
        <v>111</v>
      </c>
      <c r="X1137" s="751"/>
      <c r="Y1137" s="718">
        <v>0.96</v>
      </c>
    </row>
    <row r="1138" spans="16:25" ht="15" x14ac:dyDescent="0.25">
      <c r="P1138" s="719">
        <v>4041</v>
      </c>
      <c r="Q1138" s="719" t="str">
        <f t="shared" si="46"/>
        <v>4041</v>
      </c>
      <c r="R1138" s="719">
        <v>102</v>
      </c>
      <c r="S1138" s="720">
        <v>35.5</v>
      </c>
      <c r="T1138" s="720"/>
      <c r="U1138" s="724">
        <v>4030</v>
      </c>
      <c r="V1138" s="724" t="str">
        <f t="shared" si="47"/>
        <v>4030</v>
      </c>
      <c r="W1138" s="724">
        <v>112</v>
      </c>
      <c r="X1138" s="751"/>
      <c r="Y1138" s="718">
        <v>3.87</v>
      </c>
    </row>
    <row r="1139" spans="16:25" ht="15" x14ac:dyDescent="0.25">
      <c r="P1139" s="719">
        <v>4041</v>
      </c>
      <c r="Q1139" s="719" t="str">
        <f t="shared" si="46"/>
        <v>4041</v>
      </c>
      <c r="R1139" s="719">
        <v>112</v>
      </c>
      <c r="S1139" s="720">
        <v>9.5500000000000007</v>
      </c>
      <c r="T1139" s="720"/>
      <c r="U1139" s="724">
        <v>4030</v>
      </c>
      <c r="V1139" s="724" t="str">
        <f t="shared" si="47"/>
        <v>4030</v>
      </c>
      <c r="W1139" s="724">
        <v>130</v>
      </c>
      <c r="X1139" s="751"/>
      <c r="Y1139" s="718">
        <v>56.7</v>
      </c>
    </row>
    <row r="1140" spans="16:25" ht="15" x14ac:dyDescent="0.25">
      <c r="P1140" s="719">
        <v>4041</v>
      </c>
      <c r="Q1140" s="719" t="str">
        <f t="shared" si="46"/>
        <v>4041</v>
      </c>
      <c r="R1140" s="719">
        <v>130</v>
      </c>
      <c r="S1140" s="720">
        <v>2.79</v>
      </c>
      <c r="T1140" s="720"/>
      <c r="U1140" s="724">
        <v>4031</v>
      </c>
      <c r="V1140" s="724" t="str">
        <f t="shared" si="47"/>
        <v>4031</v>
      </c>
      <c r="W1140" s="724">
        <v>101</v>
      </c>
      <c r="X1140" s="720">
        <v>49.23</v>
      </c>
    </row>
    <row r="1141" spans="16:25" ht="15" x14ac:dyDescent="0.25">
      <c r="P1141" s="719">
        <v>4050</v>
      </c>
      <c r="Q1141" s="719" t="str">
        <f t="shared" si="46"/>
        <v>4050</v>
      </c>
      <c r="R1141" s="719">
        <v>101</v>
      </c>
      <c r="S1141" s="720">
        <v>114.87</v>
      </c>
      <c r="T1141" s="720"/>
      <c r="U1141" s="724">
        <v>4031</v>
      </c>
      <c r="V1141" s="724" t="str">
        <f t="shared" si="47"/>
        <v>4031</v>
      </c>
      <c r="W1141" s="724">
        <v>102</v>
      </c>
      <c r="X1141" s="720">
        <v>90.48</v>
      </c>
    </row>
    <row r="1142" spans="16:25" ht="15" x14ac:dyDescent="0.25">
      <c r="P1142" s="719">
        <v>4050</v>
      </c>
      <c r="Q1142" s="719" t="str">
        <f t="shared" si="46"/>
        <v>4050</v>
      </c>
      <c r="R1142" s="719">
        <v>102</v>
      </c>
      <c r="S1142" s="720">
        <v>133.94999999999999</v>
      </c>
      <c r="T1142" s="720"/>
      <c r="U1142" s="724">
        <v>4031</v>
      </c>
      <c r="V1142" s="724" t="str">
        <f t="shared" si="47"/>
        <v>4031</v>
      </c>
      <c r="W1142" s="724">
        <v>111</v>
      </c>
      <c r="X1142" s="720">
        <v>8.0399999999999991</v>
      </c>
    </row>
    <row r="1143" spans="16:25" ht="15" x14ac:dyDescent="0.25">
      <c r="P1143" s="719">
        <v>4050</v>
      </c>
      <c r="Q1143" s="719" t="str">
        <f t="shared" si="46"/>
        <v>4050</v>
      </c>
      <c r="R1143" s="719">
        <v>111</v>
      </c>
      <c r="S1143" s="720">
        <v>11.5</v>
      </c>
      <c r="T1143" s="720"/>
      <c r="U1143" s="724">
        <v>4031</v>
      </c>
      <c r="V1143" s="724" t="str">
        <f t="shared" si="47"/>
        <v>4031</v>
      </c>
      <c r="W1143" s="724">
        <v>112</v>
      </c>
      <c r="X1143" s="720">
        <v>18.07</v>
      </c>
    </row>
    <row r="1144" spans="16:25" ht="15" x14ac:dyDescent="0.25">
      <c r="P1144" s="719">
        <v>4050</v>
      </c>
      <c r="Q1144" s="719" t="str">
        <f t="shared" si="46"/>
        <v>4050</v>
      </c>
      <c r="R1144" s="719">
        <v>112</v>
      </c>
      <c r="S1144" s="720">
        <v>21.57</v>
      </c>
      <c r="T1144" s="720"/>
      <c r="U1144" s="724">
        <v>4031</v>
      </c>
      <c r="V1144" s="724" t="str">
        <f t="shared" si="47"/>
        <v>4031</v>
      </c>
      <c r="W1144" s="724">
        <v>130</v>
      </c>
      <c r="X1144" s="720">
        <v>31.93</v>
      </c>
    </row>
    <row r="1145" spans="16:25" ht="15" x14ac:dyDescent="0.25">
      <c r="P1145" s="719">
        <v>4050</v>
      </c>
      <c r="Q1145" s="719" t="str">
        <f t="shared" si="46"/>
        <v>4050</v>
      </c>
      <c r="R1145" s="719">
        <v>130</v>
      </c>
      <c r="S1145" s="720">
        <v>37.39</v>
      </c>
      <c r="T1145" s="720"/>
      <c r="U1145" s="724">
        <v>4041</v>
      </c>
      <c r="V1145" s="724" t="str">
        <f t="shared" si="47"/>
        <v>4041</v>
      </c>
      <c r="W1145" s="724">
        <v>102</v>
      </c>
      <c r="X1145" s="720">
        <v>35.36</v>
      </c>
    </row>
    <row r="1146" spans="16:25" ht="15" x14ac:dyDescent="0.25">
      <c r="P1146" s="719">
        <v>4051</v>
      </c>
      <c r="Q1146" s="719" t="str">
        <f t="shared" si="46"/>
        <v>4051</v>
      </c>
      <c r="R1146" s="719">
        <v>101</v>
      </c>
      <c r="S1146" s="720">
        <v>110.47</v>
      </c>
      <c r="T1146" s="720"/>
      <c r="U1146" s="724">
        <v>4041</v>
      </c>
      <c r="V1146" s="724" t="str">
        <f t="shared" si="47"/>
        <v>4041</v>
      </c>
      <c r="W1146" s="724">
        <v>112</v>
      </c>
      <c r="X1146" s="720">
        <v>9.57</v>
      </c>
    </row>
    <row r="1147" spans="16:25" ht="15" x14ac:dyDescent="0.25">
      <c r="P1147" s="719">
        <v>4051</v>
      </c>
      <c r="Q1147" s="719" t="str">
        <f t="shared" si="46"/>
        <v>4051</v>
      </c>
      <c r="R1147" s="719">
        <v>102</v>
      </c>
      <c r="S1147" s="720">
        <v>122.16</v>
      </c>
      <c r="T1147" s="720"/>
      <c r="U1147" s="724">
        <v>4041</v>
      </c>
      <c r="V1147" s="724" t="str">
        <f t="shared" si="47"/>
        <v>4041</v>
      </c>
      <c r="W1147" s="724">
        <v>130</v>
      </c>
      <c r="X1147" s="720">
        <v>2.29</v>
      </c>
    </row>
    <row r="1148" spans="16:25" ht="15" x14ac:dyDescent="0.25">
      <c r="P1148" s="719">
        <v>4051</v>
      </c>
      <c r="Q1148" s="719" t="str">
        <f t="shared" si="46"/>
        <v>4051</v>
      </c>
      <c r="R1148" s="719">
        <v>111</v>
      </c>
      <c r="S1148" s="720">
        <v>13.51</v>
      </c>
      <c r="T1148" s="720"/>
      <c r="U1148" s="724">
        <v>4050</v>
      </c>
      <c r="V1148" s="724" t="str">
        <f t="shared" si="47"/>
        <v>4050</v>
      </c>
      <c r="W1148" s="724">
        <v>101</v>
      </c>
      <c r="X1148" s="720">
        <v>111.91</v>
      </c>
    </row>
    <row r="1149" spans="16:25" ht="15" x14ac:dyDescent="0.25">
      <c r="P1149" s="719">
        <v>4051</v>
      </c>
      <c r="Q1149" s="719" t="str">
        <f t="shared" si="46"/>
        <v>4051</v>
      </c>
      <c r="R1149" s="719">
        <v>112</v>
      </c>
      <c r="S1149" s="720">
        <v>19.59</v>
      </c>
      <c r="T1149" s="720"/>
      <c r="U1149" s="724">
        <v>4050</v>
      </c>
      <c r="V1149" s="724" t="str">
        <f t="shared" si="47"/>
        <v>4050</v>
      </c>
      <c r="W1149" s="724">
        <v>102</v>
      </c>
      <c r="X1149" s="720">
        <v>133.57</v>
      </c>
    </row>
    <row r="1150" spans="16:25" ht="15" x14ac:dyDescent="0.25">
      <c r="P1150" s="719">
        <v>4051</v>
      </c>
      <c r="Q1150" s="719" t="str">
        <f t="shared" si="46"/>
        <v>4051</v>
      </c>
      <c r="R1150" s="719">
        <v>130</v>
      </c>
      <c r="S1150" s="720">
        <v>48.96</v>
      </c>
      <c r="T1150" s="720"/>
      <c r="U1150" s="724">
        <v>4050</v>
      </c>
      <c r="V1150" s="724" t="str">
        <f t="shared" si="47"/>
        <v>4050</v>
      </c>
      <c r="W1150" s="724">
        <v>111</v>
      </c>
      <c r="X1150" s="720">
        <v>11.5</v>
      </c>
    </row>
    <row r="1151" spans="16:25" ht="15" x14ac:dyDescent="0.25">
      <c r="P1151" s="719">
        <v>4061</v>
      </c>
      <c r="Q1151" s="719" t="str">
        <f t="shared" si="46"/>
        <v>4061</v>
      </c>
      <c r="R1151" s="719">
        <v>101</v>
      </c>
      <c r="S1151" s="720">
        <v>164.91</v>
      </c>
      <c r="T1151" s="720"/>
      <c r="U1151" s="724">
        <v>4050</v>
      </c>
      <c r="V1151" s="724" t="str">
        <f t="shared" si="47"/>
        <v>4050</v>
      </c>
      <c r="W1151" s="724">
        <v>112</v>
      </c>
      <c r="X1151" s="720">
        <v>21</v>
      </c>
    </row>
    <row r="1152" spans="16:25" ht="15" x14ac:dyDescent="0.25">
      <c r="P1152" s="719">
        <v>4061</v>
      </c>
      <c r="Q1152" s="719" t="str">
        <f t="shared" si="46"/>
        <v>4061</v>
      </c>
      <c r="R1152" s="719">
        <v>102</v>
      </c>
      <c r="S1152" s="720">
        <v>235.58</v>
      </c>
      <c r="T1152" s="720"/>
      <c r="U1152" s="724">
        <v>4050</v>
      </c>
      <c r="V1152" s="724" t="str">
        <f t="shared" si="47"/>
        <v>4050</v>
      </c>
      <c r="W1152" s="724">
        <v>130</v>
      </c>
      <c r="X1152" s="720">
        <v>36.74</v>
      </c>
    </row>
    <row r="1153" spans="16:24" ht="15" x14ac:dyDescent="0.25">
      <c r="P1153" s="719">
        <v>4061</v>
      </c>
      <c r="Q1153" s="719" t="str">
        <f t="shared" si="46"/>
        <v>4061</v>
      </c>
      <c r="R1153" s="719">
        <v>111</v>
      </c>
      <c r="S1153" s="720">
        <v>14.5</v>
      </c>
      <c r="T1153" s="720"/>
      <c r="U1153" s="724">
        <v>4051</v>
      </c>
      <c r="V1153" s="724" t="str">
        <f t="shared" si="47"/>
        <v>4051</v>
      </c>
      <c r="W1153" s="724">
        <v>101</v>
      </c>
      <c r="X1153" s="720">
        <v>105.96</v>
      </c>
    </row>
    <row r="1154" spans="16:24" ht="15" x14ac:dyDescent="0.25">
      <c r="P1154" s="719">
        <v>4061</v>
      </c>
      <c r="Q1154" s="719" t="str">
        <f t="shared" si="46"/>
        <v>4061</v>
      </c>
      <c r="R1154" s="719">
        <v>112</v>
      </c>
      <c r="S1154" s="720">
        <v>25.01</v>
      </c>
      <c r="T1154" s="720"/>
      <c r="U1154" s="724">
        <v>4051</v>
      </c>
      <c r="V1154" s="724" t="str">
        <f t="shared" si="47"/>
        <v>4051</v>
      </c>
      <c r="W1154" s="724">
        <v>102</v>
      </c>
      <c r="X1154" s="720">
        <v>118</v>
      </c>
    </row>
    <row r="1155" spans="16:24" ht="15" x14ac:dyDescent="0.25">
      <c r="P1155" s="719">
        <v>4061</v>
      </c>
      <c r="Q1155" s="719" t="str">
        <f t="shared" ref="Q1155:Q1208" si="48">TEXT(P1155,"0000")</f>
        <v>4061</v>
      </c>
      <c r="R1155" s="719">
        <v>130</v>
      </c>
      <c r="S1155" s="720">
        <v>30.17</v>
      </c>
      <c r="T1155" s="720"/>
      <c r="U1155" s="724">
        <v>4051</v>
      </c>
      <c r="V1155" s="724" t="str">
        <f t="shared" si="47"/>
        <v>4051</v>
      </c>
      <c r="W1155" s="724">
        <v>111</v>
      </c>
      <c r="X1155" s="720">
        <v>14.5</v>
      </c>
    </row>
    <row r="1156" spans="16:24" ht="15" x14ac:dyDescent="0.25">
      <c r="P1156" s="719">
        <v>4081</v>
      </c>
      <c r="Q1156" s="719" t="str">
        <f t="shared" si="48"/>
        <v>4081</v>
      </c>
      <c r="R1156" s="719">
        <v>103</v>
      </c>
      <c r="S1156" s="720">
        <v>44.66</v>
      </c>
      <c r="T1156" s="720"/>
      <c r="U1156" s="724">
        <v>4051</v>
      </c>
      <c r="V1156" s="724" t="str">
        <f t="shared" ref="V1156:V1215" si="49">TEXT(U1156,"0000")</f>
        <v>4051</v>
      </c>
      <c r="W1156" s="724">
        <v>112</v>
      </c>
      <c r="X1156" s="720">
        <v>17</v>
      </c>
    </row>
    <row r="1157" spans="16:24" ht="15" x14ac:dyDescent="0.25">
      <c r="P1157" s="719">
        <v>4081</v>
      </c>
      <c r="Q1157" s="719" t="str">
        <f t="shared" si="48"/>
        <v>4081</v>
      </c>
      <c r="R1157" s="719">
        <v>113</v>
      </c>
      <c r="S1157" s="720">
        <v>10.5</v>
      </c>
      <c r="T1157" s="720"/>
      <c r="U1157" s="724">
        <v>4051</v>
      </c>
      <c r="V1157" s="724" t="str">
        <f t="shared" si="49"/>
        <v>4051</v>
      </c>
      <c r="W1157" s="724">
        <v>130</v>
      </c>
      <c r="X1157" s="720">
        <v>52.03</v>
      </c>
    </row>
    <row r="1158" spans="16:24" ht="15" x14ac:dyDescent="0.25">
      <c r="P1158" s="719">
        <v>4081</v>
      </c>
      <c r="Q1158" s="719" t="str">
        <f t="shared" si="48"/>
        <v>4081</v>
      </c>
      <c r="R1158" s="719">
        <v>130</v>
      </c>
      <c r="S1158" s="720">
        <v>4.72</v>
      </c>
      <c r="T1158" s="720"/>
      <c r="U1158" s="724">
        <v>4061</v>
      </c>
      <c r="V1158" s="724" t="str">
        <f t="shared" si="49"/>
        <v>4061</v>
      </c>
      <c r="W1158" s="724">
        <v>101</v>
      </c>
      <c r="X1158" s="720">
        <v>159.96</v>
      </c>
    </row>
    <row r="1159" spans="16:24" ht="15" x14ac:dyDescent="0.25">
      <c r="P1159" s="719">
        <v>4090</v>
      </c>
      <c r="Q1159" s="719" t="str">
        <f t="shared" si="48"/>
        <v>4090</v>
      </c>
      <c r="R1159" s="719">
        <v>102</v>
      </c>
      <c r="S1159" s="720">
        <v>122.53</v>
      </c>
      <c r="T1159" s="720"/>
      <c r="U1159" s="724">
        <v>4061</v>
      </c>
      <c r="V1159" s="724" t="str">
        <f t="shared" si="49"/>
        <v>4061</v>
      </c>
      <c r="W1159" s="724">
        <v>102</v>
      </c>
      <c r="X1159" s="720">
        <v>232.17</v>
      </c>
    </row>
    <row r="1160" spans="16:24" ht="15" x14ac:dyDescent="0.25">
      <c r="P1160" s="719">
        <v>4090</v>
      </c>
      <c r="Q1160" s="719" t="str">
        <f t="shared" si="48"/>
        <v>4090</v>
      </c>
      <c r="R1160" s="719">
        <v>112</v>
      </c>
      <c r="S1160" s="720">
        <v>19.25</v>
      </c>
      <c r="T1160" s="720"/>
      <c r="U1160" s="724">
        <v>4061</v>
      </c>
      <c r="V1160" s="724" t="str">
        <f t="shared" si="49"/>
        <v>4061</v>
      </c>
      <c r="W1160" s="724">
        <v>111</v>
      </c>
      <c r="X1160" s="720">
        <v>15.5</v>
      </c>
    </row>
    <row r="1161" spans="16:24" ht="15" x14ac:dyDescent="0.25">
      <c r="P1161" s="719">
        <v>4090</v>
      </c>
      <c r="Q1161" s="719" t="str">
        <f t="shared" si="48"/>
        <v>4090</v>
      </c>
      <c r="R1161" s="719">
        <v>130</v>
      </c>
      <c r="S1161" s="720">
        <v>7.8</v>
      </c>
      <c r="T1161" s="720"/>
      <c r="U1161" s="724">
        <v>4061</v>
      </c>
      <c r="V1161" s="724" t="str">
        <f t="shared" si="49"/>
        <v>4061</v>
      </c>
      <c r="W1161" s="724">
        <v>112</v>
      </c>
      <c r="X1161" s="720">
        <v>20.5</v>
      </c>
    </row>
    <row r="1162" spans="16:24" ht="15" x14ac:dyDescent="0.25">
      <c r="P1162" s="719">
        <v>4091</v>
      </c>
      <c r="Q1162" s="719" t="str">
        <f t="shared" si="48"/>
        <v>4091</v>
      </c>
      <c r="R1162" s="719">
        <v>101</v>
      </c>
      <c r="S1162" s="720">
        <v>80.569999999999993</v>
      </c>
      <c r="T1162" s="720"/>
      <c r="U1162" s="724">
        <v>4061</v>
      </c>
      <c r="V1162" s="724" t="str">
        <f t="shared" si="49"/>
        <v>4061</v>
      </c>
      <c r="W1162" s="724">
        <v>130</v>
      </c>
      <c r="X1162" s="720">
        <v>27.69</v>
      </c>
    </row>
    <row r="1163" spans="16:24" ht="15" x14ac:dyDescent="0.25">
      <c r="P1163" s="719">
        <v>4091</v>
      </c>
      <c r="Q1163" s="719" t="str">
        <f t="shared" si="48"/>
        <v>4091</v>
      </c>
      <c r="R1163" s="719">
        <v>102</v>
      </c>
      <c r="S1163" s="720">
        <v>41</v>
      </c>
      <c r="T1163" s="720"/>
      <c r="U1163" s="724">
        <v>4081</v>
      </c>
      <c r="V1163" s="724" t="str">
        <f t="shared" si="49"/>
        <v>4081</v>
      </c>
      <c r="W1163" s="724">
        <v>103</v>
      </c>
      <c r="X1163" s="720">
        <v>46.68</v>
      </c>
    </row>
    <row r="1164" spans="16:24" ht="15" x14ac:dyDescent="0.25">
      <c r="P1164" s="719">
        <v>4091</v>
      </c>
      <c r="Q1164" s="719" t="str">
        <f t="shared" si="48"/>
        <v>4091</v>
      </c>
      <c r="R1164" s="719">
        <v>111</v>
      </c>
      <c r="S1164" s="720">
        <v>13</v>
      </c>
      <c r="T1164" s="720"/>
      <c r="U1164" s="724">
        <v>4081</v>
      </c>
      <c r="V1164" s="724" t="str">
        <f t="shared" si="49"/>
        <v>4081</v>
      </c>
      <c r="W1164" s="724">
        <v>113</v>
      </c>
      <c r="X1164" s="720">
        <v>10.96</v>
      </c>
    </row>
    <row r="1165" spans="16:24" ht="15" x14ac:dyDescent="0.25">
      <c r="P1165" s="719">
        <v>4091</v>
      </c>
      <c r="Q1165" s="719" t="str">
        <f t="shared" si="48"/>
        <v>4091</v>
      </c>
      <c r="R1165" s="719">
        <v>112</v>
      </c>
      <c r="S1165" s="720">
        <v>6.95</v>
      </c>
      <c r="T1165" s="720"/>
      <c r="U1165" s="724">
        <v>4081</v>
      </c>
      <c r="V1165" s="724" t="str">
        <f t="shared" si="49"/>
        <v>4081</v>
      </c>
      <c r="W1165" s="724">
        <v>130</v>
      </c>
      <c r="X1165" s="720">
        <v>5.68</v>
      </c>
    </row>
    <row r="1166" spans="16:24" ht="15" x14ac:dyDescent="0.25">
      <c r="P1166" s="719">
        <v>4091</v>
      </c>
      <c r="Q1166" s="719" t="str">
        <f t="shared" si="48"/>
        <v>4091</v>
      </c>
      <c r="R1166" s="719">
        <v>130</v>
      </c>
      <c r="S1166" s="720">
        <v>53.74</v>
      </c>
      <c r="T1166" s="720"/>
      <c r="U1166" s="724">
        <v>4090</v>
      </c>
      <c r="V1166" s="724" t="str">
        <f t="shared" si="49"/>
        <v>4090</v>
      </c>
      <c r="W1166" s="724">
        <v>102</v>
      </c>
      <c r="X1166" s="720">
        <v>126.46</v>
      </c>
    </row>
    <row r="1167" spans="16:24" ht="15" x14ac:dyDescent="0.25">
      <c r="P1167" s="719">
        <v>4100</v>
      </c>
      <c r="Q1167" s="804" t="str">
        <f t="shared" si="48"/>
        <v>4100</v>
      </c>
      <c r="R1167" s="719">
        <v>111</v>
      </c>
      <c r="S1167" s="803">
        <v>1</v>
      </c>
      <c r="T1167" s="720"/>
      <c r="U1167" s="724">
        <v>4090</v>
      </c>
      <c r="V1167" s="724" t="str">
        <f t="shared" si="49"/>
        <v>4090</v>
      </c>
      <c r="W1167" s="724">
        <v>112</v>
      </c>
      <c r="X1167" s="720">
        <v>22.91</v>
      </c>
    </row>
    <row r="1168" spans="16:24" ht="15" x14ac:dyDescent="0.25">
      <c r="P1168" s="719">
        <v>4100</v>
      </c>
      <c r="Q1168" s="804" t="str">
        <f t="shared" si="48"/>
        <v>4100</v>
      </c>
      <c r="R1168" s="719">
        <v>112</v>
      </c>
      <c r="S1168" s="803">
        <v>1</v>
      </c>
      <c r="T1168" s="720"/>
      <c r="U1168" s="724">
        <v>4090</v>
      </c>
      <c r="V1168" s="724" t="str">
        <f t="shared" si="49"/>
        <v>4090</v>
      </c>
      <c r="W1168" s="724">
        <v>130</v>
      </c>
      <c r="X1168" s="720">
        <v>18.350000000000001</v>
      </c>
    </row>
    <row r="1169" spans="16:24" ht="15" x14ac:dyDescent="0.25">
      <c r="P1169" s="719">
        <v>4100</v>
      </c>
      <c r="Q1169" s="804" t="str">
        <f t="shared" si="48"/>
        <v>4100</v>
      </c>
      <c r="R1169" s="719">
        <v>254</v>
      </c>
      <c r="S1169" s="803">
        <v>19.5</v>
      </c>
      <c r="T1169" s="720"/>
      <c r="U1169" s="724">
        <v>4091</v>
      </c>
      <c r="V1169" s="724" t="str">
        <f t="shared" si="49"/>
        <v>4091</v>
      </c>
      <c r="W1169" s="724">
        <v>101</v>
      </c>
      <c r="X1169" s="720">
        <v>76.97</v>
      </c>
    </row>
    <row r="1170" spans="16:24" ht="15" x14ac:dyDescent="0.25">
      <c r="P1170" s="719">
        <v>4100</v>
      </c>
      <c r="Q1170" s="804" t="str">
        <f t="shared" si="48"/>
        <v>4100</v>
      </c>
      <c r="R1170" s="719">
        <v>255</v>
      </c>
      <c r="S1170" s="803">
        <v>34</v>
      </c>
      <c r="T1170" s="720"/>
      <c r="U1170" s="724">
        <v>4091</v>
      </c>
      <c r="V1170" s="724" t="str">
        <f t="shared" si="49"/>
        <v>4091</v>
      </c>
      <c r="W1170" s="724">
        <v>102</v>
      </c>
      <c r="X1170" s="720">
        <v>41.86</v>
      </c>
    </row>
    <row r="1171" spans="16:24" ht="15" x14ac:dyDescent="0.25">
      <c r="P1171" s="719">
        <v>4102</v>
      </c>
      <c r="Q1171" s="719" t="str">
        <f t="shared" si="48"/>
        <v>4102</v>
      </c>
      <c r="R1171" s="719">
        <v>101</v>
      </c>
      <c r="S1171" s="720">
        <v>44.6</v>
      </c>
      <c r="T1171" s="720"/>
      <c r="U1171" s="724">
        <v>4091</v>
      </c>
      <c r="V1171" s="724" t="str">
        <f t="shared" si="49"/>
        <v>4091</v>
      </c>
      <c r="W1171" s="724">
        <v>111</v>
      </c>
      <c r="X1171" s="720">
        <v>14</v>
      </c>
    </row>
    <row r="1172" spans="16:24" ht="15" x14ac:dyDescent="0.25">
      <c r="P1172" s="719">
        <v>4102</v>
      </c>
      <c r="Q1172" s="719" t="str">
        <f t="shared" si="48"/>
        <v>4102</v>
      </c>
      <c r="R1172" s="719">
        <v>102</v>
      </c>
      <c r="S1172" s="720">
        <v>24.93</v>
      </c>
      <c r="T1172" s="720"/>
      <c r="U1172" s="724">
        <v>4091</v>
      </c>
      <c r="V1172" s="724" t="str">
        <f t="shared" si="49"/>
        <v>4091</v>
      </c>
      <c r="W1172" s="724">
        <v>112</v>
      </c>
      <c r="X1172" s="720">
        <v>9</v>
      </c>
    </row>
    <row r="1173" spans="16:24" ht="15" x14ac:dyDescent="0.25">
      <c r="P1173" s="719">
        <v>4102</v>
      </c>
      <c r="Q1173" s="719" t="str">
        <f t="shared" si="48"/>
        <v>4102</v>
      </c>
      <c r="R1173" s="719">
        <v>111</v>
      </c>
      <c r="S1173" s="720">
        <v>4</v>
      </c>
      <c r="T1173" s="720"/>
      <c r="U1173" s="724">
        <v>4091</v>
      </c>
      <c r="V1173" s="724" t="str">
        <f t="shared" si="49"/>
        <v>4091</v>
      </c>
      <c r="W1173" s="724">
        <v>130</v>
      </c>
      <c r="X1173" s="720">
        <v>56.88</v>
      </c>
    </row>
    <row r="1174" spans="16:24" ht="15" x14ac:dyDescent="0.25">
      <c r="P1174" s="719">
        <v>4102</v>
      </c>
      <c r="Q1174" s="719" t="str">
        <f t="shared" si="48"/>
        <v>4102</v>
      </c>
      <c r="R1174" s="719">
        <v>112</v>
      </c>
      <c r="S1174" s="720">
        <v>5.4</v>
      </c>
      <c r="T1174" s="720"/>
      <c r="U1174" s="724">
        <v>4100</v>
      </c>
      <c r="V1174" s="801" t="str">
        <f t="shared" si="49"/>
        <v>4100</v>
      </c>
      <c r="W1174" s="801">
        <v>111</v>
      </c>
      <c r="X1174" s="802">
        <v>0</v>
      </c>
    </row>
    <row r="1175" spans="16:24" ht="15" x14ac:dyDescent="0.25">
      <c r="P1175" s="719">
        <v>4102</v>
      </c>
      <c r="Q1175" s="719" t="str">
        <f t="shared" si="48"/>
        <v>4102</v>
      </c>
      <c r="R1175" s="719">
        <v>130</v>
      </c>
      <c r="S1175" s="720">
        <v>13.33</v>
      </c>
      <c r="T1175" s="720"/>
      <c r="U1175" s="724">
        <v>4100</v>
      </c>
      <c r="V1175" s="801" t="str">
        <f t="shared" si="49"/>
        <v>4100</v>
      </c>
      <c r="W1175" s="801">
        <v>112</v>
      </c>
      <c r="X1175" s="802">
        <v>0</v>
      </c>
    </row>
    <row r="1176" spans="16:24" ht="15" x14ac:dyDescent="0.25">
      <c r="P1176" s="719">
        <v>4103</v>
      </c>
      <c r="Q1176" s="719" t="str">
        <f t="shared" si="48"/>
        <v>4103</v>
      </c>
      <c r="R1176" s="719">
        <v>102</v>
      </c>
      <c r="S1176" s="720">
        <v>148.63999999999999</v>
      </c>
      <c r="T1176" s="720"/>
      <c r="U1176" s="724">
        <v>4100</v>
      </c>
      <c r="V1176" s="801" t="str">
        <f t="shared" si="49"/>
        <v>4100</v>
      </c>
      <c r="W1176" s="801">
        <v>254</v>
      </c>
      <c r="X1176" s="802">
        <v>0</v>
      </c>
    </row>
    <row r="1177" spans="16:24" ht="15" x14ac:dyDescent="0.25">
      <c r="P1177" s="719">
        <v>4103</v>
      </c>
      <c r="Q1177" s="719" t="str">
        <f t="shared" si="48"/>
        <v>4103</v>
      </c>
      <c r="R1177" s="719">
        <v>103</v>
      </c>
      <c r="S1177" s="720">
        <v>180.2</v>
      </c>
      <c r="T1177" s="720"/>
      <c r="U1177" s="724">
        <v>4100</v>
      </c>
      <c r="V1177" s="801" t="str">
        <f t="shared" si="49"/>
        <v>4100</v>
      </c>
      <c r="W1177" s="801">
        <v>255</v>
      </c>
      <c r="X1177" s="802">
        <v>0</v>
      </c>
    </row>
    <row r="1178" spans="16:24" ht="15" x14ac:dyDescent="0.25">
      <c r="P1178" s="719">
        <v>4103</v>
      </c>
      <c r="Q1178" s="719" t="str">
        <f t="shared" si="48"/>
        <v>4103</v>
      </c>
      <c r="R1178" s="719">
        <v>112</v>
      </c>
      <c r="S1178" s="720">
        <v>24.47</v>
      </c>
      <c r="T1178" s="720"/>
      <c r="U1178" s="724">
        <v>4102</v>
      </c>
      <c r="V1178" s="724" t="str">
        <f t="shared" si="49"/>
        <v>4102</v>
      </c>
      <c r="W1178" s="724">
        <v>101</v>
      </c>
      <c r="X1178" s="720">
        <v>40.799999999999997</v>
      </c>
    </row>
    <row r="1179" spans="16:24" ht="15" x14ac:dyDescent="0.25">
      <c r="P1179" s="719">
        <v>4103</v>
      </c>
      <c r="Q1179" s="719" t="str">
        <f t="shared" si="48"/>
        <v>4103</v>
      </c>
      <c r="R1179" s="719">
        <v>113</v>
      </c>
      <c r="S1179" s="720">
        <v>31.21</v>
      </c>
      <c r="T1179" s="720"/>
      <c r="U1179" s="724">
        <v>4102</v>
      </c>
      <c r="V1179" s="724" t="str">
        <f t="shared" si="49"/>
        <v>4102</v>
      </c>
      <c r="W1179" s="724">
        <v>102</v>
      </c>
      <c r="X1179" s="720">
        <v>25.36</v>
      </c>
    </row>
    <row r="1180" spans="16:24" ht="15" x14ac:dyDescent="0.25">
      <c r="P1180" s="719">
        <v>4103</v>
      </c>
      <c r="Q1180" s="719" t="str">
        <f t="shared" si="48"/>
        <v>4103</v>
      </c>
      <c r="R1180" s="719">
        <v>130</v>
      </c>
      <c r="S1180" s="720">
        <v>71.94</v>
      </c>
      <c r="T1180" s="720"/>
      <c r="U1180" s="724">
        <v>4102</v>
      </c>
      <c r="V1180" s="724" t="str">
        <f t="shared" si="49"/>
        <v>4102</v>
      </c>
      <c r="W1180" s="724">
        <v>111</v>
      </c>
      <c r="X1180" s="720">
        <v>5.54</v>
      </c>
    </row>
    <row r="1181" spans="16:24" ht="15" x14ac:dyDescent="0.25">
      <c r="P1181" s="719">
        <v>4103</v>
      </c>
      <c r="Q1181" s="719" t="str">
        <f t="shared" si="48"/>
        <v>4103</v>
      </c>
      <c r="R1181" s="719">
        <v>300</v>
      </c>
      <c r="S1181" s="720">
        <v>21.64</v>
      </c>
      <c r="T1181" s="720"/>
      <c r="U1181" s="724">
        <v>4102</v>
      </c>
      <c r="V1181" s="724" t="str">
        <f t="shared" si="49"/>
        <v>4102</v>
      </c>
      <c r="W1181" s="724">
        <v>112</v>
      </c>
      <c r="X1181" s="720">
        <v>3.8</v>
      </c>
    </row>
    <row r="1182" spans="16:24" ht="15" x14ac:dyDescent="0.25">
      <c r="P1182" s="719">
        <v>4111</v>
      </c>
      <c r="Q1182" s="719" t="str">
        <f t="shared" si="48"/>
        <v>4111</v>
      </c>
      <c r="R1182" s="719">
        <v>103</v>
      </c>
      <c r="S1182" s="720">
        <v>109.82</v>
      </c>
      <c r="T1182" s="720"/>
      <c r="U1182" s="724">
        <v>4102</v>
      </c>
      <c r="V1182" s="724" t="str">
        <f t="shared" si="49"/>
        <v>4102</v>
      </c>
      <c r="W1182" s="724">
        <v>130</v>
      </c>
      <c r="X1182" s="720">
        <v>11.68</v>
      </c>
    </row>
    <row r="1183" spans="16:24" ht="15" x14ac:dyDescent="0.25">
      <c r="P1183" s="719">
        <v>4111</v>
      </c>
      <c r="Q1183" s="719" t="str">
        <f t="shared" si="48"/>
        <v>4111</v>
      </c>
      <c r="R1183" s="719">
        <v>113</v>
      </c>
      <c r="S1183" s="720">
        <v>18.440000000000001</v>
      </c>
      <c r="T1183" s="720"/>
      <c r="U1183" s="724">
        <v>4103</v>
      </c>
      <c r="V1183" s="724" t="str">
        <f t="shared" si="49"/>
        <v>4103</v>
      </c>
      <c r="W1183" s="724">
        <v>102</v>
      </c>
      <c r="X1183" s="720">
        <v>149.76</v>
      </c>
    </row>
    <row r="1184" spans="16:24" ht="15" x14ac:dyDescent="0.25">
      <c r="P1184" s="719">
        <v>4111</v>
      </c>
      <c r="Q1184" s="719" t="str">
        <f t="shared" si="48"/>
        <v>4111</v>
      </c>
      <c r="R1184" s="719">
        <v>130</v>
      </c>
      <c r="S1184" s="720">
        <v>19.34</v>
      </c>
      <c r="T1184" s="720"/>
      <c r="U1184" s="724">
        <v>4103</v>
      </c>
      <c r="V1184" s="724" t="str">
        <f t="shared" si="49"/>
        <v>4103</v>
      </c>
      <c r="W1184" s="724">
        <v>103</v>
      </c>
      <c r="X1184" s="720">
        <v>182.06</v>
      </c>
    </row>
    <row r="1185" spans="16:24" ht="15" x14ac:dyDescent="0.25">
      <c r="P1185" s="719">
        <v>4111</v>
      </c>
      <c r="Q1185" s="719" t="str">
        <f t="shared" si="48"/>
        <v>4111</v>
      </c>
      <c r="R1185" s="719">
        <v>300</v>
      </c>
      <c r="S1185" s="720">
        <v>12.13</v>
      </c>
      <c r="T1185" s="720"/>
      <c r="U1185" s="724">
        <v>4103</v>
      </c>
      <c r="V1185" s="724" t="str">
        <f t="shared" si="49"/>
        <v>4103</v>
      </c>
      <c r="W1185" s="724">
        <v>112</v>
      </c>
      <c r="X1185" s="720">
        <v>25.52</v>
      </c>
    </row>
    <row r="1186" spans="16:24" ht="15" x14ac:dyDescent="0.25">
      <c r="P1186" s="719">
        <v>4131</v>
      </c>
      <c r="Q1186" s="719" t="str">
        <f t="shared" si="48"/>
        <v>4131</v>
      </c>
      <c r="R1186" s="719">
        <v>103</v>
      </c>
      <c r="S1186" s="720">
        <v>45.03</v>
      </c>
      <c r="T1186" s="720"/>
      <c r="U1186" s="724">
        <v>4103</v>
      </c>
      <c r="V1186" s="724" t="str">
        <f t="shared" si="49"/>
        <v>4103</v>
      </c>
      <c r="W1186" s="724">
        <v>113</v>
      </c>
      <c r="X1186" s="720">
        <v>31.16</v>
      </c>
    </row>
    <row r="1187" spans="16:24" ht="15" x14ac:dyDescent="0.25">
      <c r="P1187" s="719">
        <v>4131</v>
      </c>
      <c r="Q1187" s="719" t="str">
        <f t="shared" si="48"/>
        <v>4131</v>
      </c>
      <c r="R1187" s="719">
        <v>113</v>
      </c>
      <c r="S1187" s="720">
        <v>7.07</v>
      </c>
      <c r="T1187" s="720"/>
      <c r="U1187" s="724">
        <v>4103</v>
      </c>
      <c r="V1187" s="724" t="str">
        <f t="shared" si="49"/>
        <v>4103</v>
      </c>
      <c r="W1187" s="724">
        <v>130</v>
      </c>
      <c r="X1187" s="720">
        <v>68.17</v>
      </c>
    </row>
    <row r="1188" spans="16:24" ht="15" x14ac:dyDescent="0.25">
      <c r="P1188" s="719">
        <v>4131</v>
      </c>
      <c r="Q1188" s="719" t="str">
        <f t="shared" si="48"/>
        <v>4131</v>
      </c>
      <c r="R1188" s="719">
        <v>130</v>
      </c>
      <c r="S1188" s="720">
        <v>7.96</v>
      </c>
      <c r="T1188" s="720"/>
      <c r="U1188" s="724">
        <v>4103</v>
      </c>
      <c r="V1188" s="724" t="str">
        <f t="shared" si="49"/>
        <v>4103</v>
      </c>
      <c r="W1188" s="724">
        <v>300</v>
      </c>
      <c r="X1188" s="720">
        <v>23.03</v>
      </c>
    </row>
    <row r="1189" spans="16:24" ht="15" x14ac:dyDescent="0.25">
      <c r="P1189" s="719">
        <v>4131</v>
      </c>
      <c r="Q1189" s="719" t="str">
        <f t="shared" si="48"/>
        <v>4131</v>
      </c>
      <c r="R1189" s="719">
        <v>300</v>
      </c>
      <c r="S1189" s="720">
        <v>3.9</v>
      </c>
      <c r="T1189" s="720"/>
      <c r="U1189" s="724">
        <v>4111</v>
      </c>
      <c r="V1189" s="724" t="str">
        <f t="shared" si="49"/>
        <v>4111</v>
      </c>
      <c r="W1189" s="724">
        <v>103</v>
      </c>
      <c r="X1189" s="720">
        <v>114.36</v>
      </c>
    </row>
    <row r="1190" spans="16:24" ht="15" x14ac:dyDescent="0.25">
      <c r="P1190" s="719">
        <v>7001</v>
      </c>
      <c r="Q1190" s="719" t="str">
        <f t="shared" si="48"/>
        <v>7001</v>
      </c>
      <c r="R1190" s="719">
        <v>101</v>
      </c>
      <c r="S1190" s="720">
        <v>7.58</v>
      </c>
      <c r="T1190" s="720"/>
      <c r="U1190" s="724">
        <v>4111</v>
      </c>
      <c r="V1190" s="724" t="str">
        <f t="shared" si="49"/>
        <v>4111</v>
      </c>
      <c r="W1190" s="724">
        <v>113</v>
      </c>
      <c r="X1190" s="720">
        <v>18.57</v>
      </c>
    </row>
    <row r="1191" spans="16:24" ht="15" x14ac:dyDescent="0.25">
      <c r="P1191" s="719">
        <v>7001</v>
      </c>
      <c r="Q1191" s="719" t="str">
        <f t="shared" si="48"/>
        <v>7001</v>
      </c>
      <c r="R1191" s="719">
        <v>102</v>
      </c>
      <c r="S1191" s="720">
        <v>22.81</v>
      </c>
      <c r="T1191" s="720"/>
      <c r="U1191" s="724">
        <v>4111</v>
      </c>
      <c r="V1191" s="724" t="str">
        <f t="shared" si="49"/>
        <v>4111</v>
      </c>
      <c r="W1191" s="724">
        <v>130</v>
      </c>
      <c r="X1191" s="720">
        <v>20.05</v>
      </c>
    </row>
    <row r="1192" spans="16:24" ht="15" x14ac:dyDescent="0.25">
      <c r="P1192" s="719">
        <v>7001</v>
      </c>
      <c r="Q1192" s="719" t="str">
        <f t="shared" si="48"/>
        <v>7001</v>
      </c>
      <c r="R1192" s="719">
        <v>103</v>
      </c>
      <c r="S1192" s="720">
        <v>48.37</v>
      </c>
      <c r="T1192" s="720"/>
      <c r="U1192" s="724">
        <v>4111</v>
      </c>
      <c r="V1192" s="724" t="str">
        <f t="shared" si="49"/>
        <v>4111</v>
      </c>
      <c r="W1192" s="724">
        <v>300</v>
      </c>
      <c r="X1192" s="720">
        <v>12.43</v>
      </c>
    </row>
    <row r="1193" spans="16:24" ht="15" x14ac:dyDescent="0.25">
      <c r="P1193" s="719">
        <v>7001</v>
      </c>
      <c r="Q1193" s="719" t="str">
        <f t="shared" si="48"/>
        <v>7001</v>
      </c>
      <c r="R1193" s="719">
        <v>111</v>
      </c>
      <c r="S1193" s="720">
        <v>1</v>
      </c>
      <c r="T1193" s="720"/>
      <c r="U1193" s="724">
        <v>4131</v>
      </c>
      <c r="V1193" s="724" t="str">
        <f t="shared" si="49"/>
        <v>4131</v>
      </c>
      <c r="W1193" s="724">
        <v>103</v>
      </c>
      <c r="X1193" s="720">
        <v>42.11</v>
      </c>
    </row>
    <row r="1194" spans="16:24" ht="15" x14ac:dyDescent="0.25">
      <c r="P1194" s="719">
        <v>7001</v>
      </c>
      <c r="Q1194" s="719" t="str">
        <f t="shared" si="48"/>
        <v>7001</v>
      </c>
      <c r="R1194" s="719">
        <v>112</v>
      </c>
      <c r="S1194" s="720">
        <v>1.33</v>
      </c>
      <c r="T1194" s="720"/>
      <c r="U1194" s="724">
        <v>4131</v>
      </c>
      <c r="V1194" s="724" t="str">
        <f t="shared" si="49"/>
        <v>4131</v>
      </c>
      <c r="W1194" s="724">
        <v>113</v>
      </c>
      <c r="X1194" s="720">
        <v>4.97</v>
      </c>
    </row>
    <row r="1195" spans="16:24" ht="15" x14ac:dyDescent="0.25">
      <c r="P1195" s="719">
        <v>7001</v>
      </c>
      <c r="Q1195" s="719" t="str">
        <f t="shared" si="48"/>
        <v>7001</v>
      </c>
      <c r="R1195" s="719">
        <v>113</v>
      </c>
      <c r="S1195" s="720">
        <v>6.95</v>
      </c>
      <c r="T1195" s="720"/>
      <c r="U1195" s="724">
        <v>4131</v>
      </c>
      <c r="V1195" s="724" t="str">
        <f t="shared" si="49"/>
        <v>4131</v>
      </c>
      <c r="W1195" s="724">
        <v>130</v>
      </c>
      <c r="X1195" s="720">
        <v>7.31</v>
      </c>
    </row>
    <row r="1196" spans="16:24" ht="15" x14ac:dyDescent="0.25">
      <c r="P1196" s="719">
        <v>7001</v>
      </c>
      <c r="Q1196" s="719" t="str">
        <f t="shared" si="48"/>
        <v>7001</v>
      </c>
      <c r="R1196" s="719">
        <v>130</v>
      </c>
      <c r="S1196" s="720">
        <v>0.3</v>
      </c>
      <c r="T1196" s="720"/>
      <c r="U1196" s="724">
        <v>4131</v>
      </c>
      <c r="V1196" s="724" t="str">
        <f t="shared" si="49"/>
        <v>4131</v>
      </c>
      <c r="W1196" s="724">
        <v>300</v>
      </c>
      <c r="X1196" s="720">
        <v>3.77</v>
      </c>
    </row>
    <row r="1197" spans="16:24" ht="15" x14ac:dyDescent="0.25">
      <c r="P1197" s="719">
        <v>7001</v>
      </c>
      <c r="Q1197" s="719" t="str">
        <f t="shared" si="48"/>
        <v>7001</v>
      </c>
      <c r="R1197" s="719">
        <v>300</v>
      </c>
      <c r="S1197" s="720">
        <v>1.07</v>
      </c>
      <c r="T1197" s="720"/>
      <c r="U1197" s="724">
        <v>7001</v>
      </c>
      <c r="V1197" s="724" t="str">
        <f t="shared" si="49"/>
        <v>7001</v>
      </c>
      <c r="W1197" s="724">
        <v>101</v>
      </c>
      <c r="X1197" s="720">
        <v>6.92</v>
      </c>
    </row>
    <row r="1198" spans="16:24" ht="15" x14ac:dyDescent="0.25">
      <c r="P1198" s="719">
        <v>7004</v>
      </c>
      <c r="Q1198" s="719" t="str">
        <f t="shared" si="48"/>
        <v>7004</v>
      </c>
      <c r="R1198" s="719">
        <v>102</v>
      </c>
      <c r="S1198" s="720">
        <v>19.350000000000001</v>
      </c>
      <c r="T1198" s="720"/>
      <c r="U1198" s="724">
        <v>7001</v>
      </c>
      <c r="V1198" s="724" t="str">
        <f t="shared" si="49"/>
        <v>7001</v>
      </c>
      <c r="W1198" s="724">
        <v>102</v>
      </c>
      <c r="X1198" s="720">
        <v>23.71</v>
      </c>
    </row>
    <row r="1199" spans="16:24" ht="15" x14ac:dyDescent="0.25">
      <c r="P1199" s="719">
        <v>7004</v>
      </c>
      <c r="Q1199" s="719" t="str">
        <f t="shared" si="48"/>
        <v>7004</v>
      </c>
      <c r="R1199" s="719">
        <v>103</v>
      </c>
      <c r="S1199" s="720">
        <v>43.28</v>
      </c>
      <c r="T1199" s="720"/>
      <c r="U1199" s="724">
        <v>7001</v>
      </c>
      <c r="V1199" s="724" t="str">
        <f t="shared" si="49"/>
        <v>7001</v>
      </c>
      <c r="W1199" s="724">
        <v>103</v>
      </c>
      <c r="X1199" s="720">
        <v>58.3</v>
      </c>
    </row>
    <row r="1200" spans="16:24" ht="15" x14ac:dyDescent="0.25">
      <c r="P1200" s="719">
        <v>7004</v>
      </c>
      <c r="Q1200" s="719" t="str">
        <f t="shared" si="48"/>
        <v>7004</v>
      </c>
      <c r="R1200" s="719">
        <v>112</v>
      </c>
      <c r="S1200" s="720">
        <v>3.35</v>
      </c>
      <c r="T1200" s="720"/>
      <c r="U1200" s="724">
        <v>7001</v>
      </c>
      <c r="V1200" s="724" t="str">
        <f t="shared" si="49"/>
        <v>7001</v>
      </c>
      <c r="W1200" s="724">
        <v>111</v>
      </c>
      <c r="X1200" s="720">
        <v>1</v>
      </c>
    </row>
    <row r="1201" spans="16:24" ht="15" x14ac:dyDescent="0.25">
      <c r="P1201" s="719">
        <v>7004</v>
      </c>
      <c r="Q1201" s="719" t="str">
        <f t="shared" si="48"/>
        <v>7004</v>
      </c>
      <c r="R1201" s="719">
        <v>113</v>
      </c>
      <c r="S1201" s="720">
        <v>4.8899999999999997</v>
      </c>
      <c r="T1201" s="720"/>
      <c r="U1201" s="724">
        <v>7001</v>
      </c>
      <c r="V1201" s="724" t="str">
        <f t="shared" si="49"/>
        <v>7001</v>
      </c>
      <c r="W1201" s="724">
        <v>112</v>
      </c>
      <c r="X1201" s="720">
        <v>1.3</v>
      </c>
    </row>
    <row r="1202" spans="16:24" ht="15" x14ac:dyDescent="0.25">
      <c r="P1202" s="719">
        <v>9034</v>
      </c>
      <c r="Q1202" s="719" t="str">
        <f t="shared" si="48"/>
        <v>9034</v>
      </c>
      <c r="R1202" s="719">
        <v>111</v>
      </c>
      <c r="S1202" s="720">
        <v>3.05</v>
      </c>
      <c r="T1202" s="720"/>
      <c r="U1202" s="724">
        <v>7001</v>
      </c>
      <c r="V1202" s="724" t="str">
        <f t="shared" si="49"/>
        <v>7001</v>
      </c>
      <c r="W1202" s="724">
        <v>113</v>
      </c>
      <c r="X1202" s="720">
        <v>8.58</v>
      </c>
    </row>
    <row r="1203" spans="16:24" ht="15" x14ac:dyDescent="0.25">
      <c r="P1203" s="719">
        <v>9034</v>
      </c>
      <c r="Q1203" s="719" t="str">
        <f t="shared" si="48"/>
        <v>9034</v>
      </c>
      <c r="R1203" s="719">
        <v>113</v>
      </c>
      <c r="S1203" s="720">
        <v>4</v>
      </c>
      <c r="T1203" s="720"/>
      <c r="U1203" s="724">
        <v>7001</v>
      </c>
      <c r="V1203" s="724" t="str">
        <f t="shared" si="49"/>
        <v>7001</v>
      </c>
      <c r="W1203" s="724">
        <v>130</v>
      </c>
      <c r="X1203" s="720">
        <v>0.3</v>
      </c>
    </row>
    <row r="1204" spans="16:24" ht="15" x14ac:dyDescent="0.25">
      <c r="P1204" s="719">
        <v>9034</v>
      </c>
      <c r="Q1204" s="719" t="str">
        <f t="shared" si="48"/>
        <v>9034</v>
      </c>
      <c r="R1204" s="719">
        <v>255</v>
      </c>
      <c r="S1204" s="720">
        <v>1.97</v>
      </c>
      <c r="T1204" s="720"/>
      <c r="U1204" s="724">
        <v>7001</v>
      </c>
      <c r="V1204" s="724" t="str">
        <f t="shared" si="49"/>
        <v>7001</v>
      </c>
      <c r="W1204" s="724">
        <v>300</v>
      </c>
      <c r="X1204" s="720">
        <v>0.9</v>
      </c>
    </row>
    <row r="1205" spans="16:24" ht="15" x14ac:dyDescent="0.25">
      <c r="P1205" s="719">
        <v>9063</v>
      </c>
      <c r="Q1205" s="719" t="str">
        <f t="shared" si="48"/>
        <v>9063</v>
      </c>
      <c r="R1205" s="719">
        <v>111</v>
      </c>
      <c r="S1205" s="720">
        <v>1.67</v>
      </c>
      <c r="T1205" s="720"/>
      <c r="U1205" s="724">
        <v>7004</v>
      </c>
      <c r="V1205" s="724" t="str">
        <f t="shared" si="49"/>
        <v>7004</v>
      </c>
      <c r="W1205" s="724">
        <v>102</v>
      </c>
      <c r="X1205" s="720">
        <v>15.29</v>
      </c>
    </row>
    <row r="1206" spans="16:24" ht="15" x14ac:dyDescent="0.25">
      <c r="P1206" s="719">
        <v>9063</v>
      </c>
      <c r="Q1206" s="719" t="str">
        <f t="shared" si="48"/>
        <v>9063</v>
      </c>
      <c r="R1206" s="719">
        <v>112</v>
      </c>
      <c r="S1206" s="720">
        <v>3.66</v>
      </c>
      <c r="T1206" s="720"/>
      <c r="U1206" s="724">
        <v>7004</v>
      </c>
      <c r="V1206" s="724" t="str">
        <f t="shared" si="49"/>
        <v>7004</v>
      </c>
      <c r="W1206" s="724">
        <v>103</v>
      </c>
      <c r="X1206" s="720">
        <v>52.5</v>
      </c>
    </row>
    <row r="1207" spans="16:24" ht="15" x14ac:dyDescent="0.25">
      <c r="P1207" s="719">
        <v>9063</v>
      </c>
      <c r="Q1207" s="719" t="str">
        <f t="shared" si="48"/>
        <v>9063</v>
      </c>
      <c r="R1207" s="719">
        <v>113</v>
      </c>
      <c r="S1207" s="720">
        <v>9.61</v>
      </c>
      <c r="T1207" s="720"/>
      <c r="U1207" s="724">
        <v>7004</v>
      </c>
      <c r="V1207" s="724" t="str">
        <f t="shared" si="49"/>
        <v>7004</v>
      </c>
      <c r="W1207" s="724">
        <v>112</v>
      </c>
      <c r="X1207" s="720">
        <v>3.49</v>
      </c>
    </row>
    <row r="1208" spans="16:24" ht="15" x14ac:dyDescent="0.25">
      <c r="P1208" s="719">
        <v>9063</v>
      </c>
      <c r="Q1208" s="719" t="str">
        <f t="shared" si="48"/>
        <v>9063</v>
      </c>
      <c r="R1208" s="719">
        <v>255</v>
      </c>
      <c r="S1208" s="720">
        <v>7.86</v>
      </c>
      <c r="T1208" s="720"/>
      <c r="U1208" s="724">
        <v>7004</v>
      </c>
      <c r="V1208" s="724" t="str">
        <f t="shared" si="49"/>
        <v>7004</v>
      </c>
      <c r="W1208" s="724">
        <v>113</v>
      </c>
      <c r="X1208" s="720">
        <v>6.53</v>
      </c>
    </row>
    <row r="1209" spans="16:24" ht="15" x14ac:dyDescent="0.25">
      <c r="U1209" s="724">
        <v>9034</v>
      </c>
      <c r="V1209" s="724" t="str">
        <f t="shared" si="49"/>
        <v>9034</v>
      </c>
      <c r="W1209" s="724">
        <v>111</v>
      </c>
      <c r="X1209" s="720">
        <v>4.1900000000000004</v>
      </c>
    </row>
    <row r="1210" spans="16:24" ht="15" x14ac:dyDescent="0.25">
      <c r="U1210" s="724">
        <v>9034</v>
      </c>
      <c r="V1210" s="724" t="str">
        <f t="shared" si="49"/>
        <v>9034</v>
      </c>
      <c r="W1210" s="724">
        <v>113</v>
      </c>
      <c r="X1210" s="720">
        <v>4</v>
      </c>
    </row>
    <row r="1211" spans="16:24" ht="15" x14ac:dyDescent="0.25">
      <c r="U1211" s="724">
        <v>9034</v>
      </c>
      <c r="V1211" s="724" t="str">
        <f t="shared" si="49"/>
        <v>9034</v>
      </c>
      <c r="W1211" s="724">
        <v>255</v>
      </c>
      <c r="X1211" s="720">
        <v>2.48</v>
      </c>
    </row>
    <row r="1212" spans="16:24" ht="15" x14ac:dyDescent="0.25">
      <c r="U1212" s="724">
        <v>9063</v>
      </c>
      <c r="V1212" s="724" t="str">
        <f t="shared" si="49"/>
        <v>9063</v>
      </c>
      <c r="W1212" s="724">
        <v>111</v>
      </c>
      <c r="X1212" s="720">
        <v>0.83</v>
      </c>
    </row>
    <row r="1213" spans="16:24" ht="15" x14ac:dyDescent="0.25">
      <c r="U1213" s="724">
        <v>9063</v>
      </c>
      <c r="V1213" s="724" t="str">
        <f t="shared" si="49"/>
        <v>9063</v>
      </c>
      <c r="W1213" s="724">
        <v>112</v>
      </c>
      <c r="X1213" s="720">
        <v>4.7300000000000004</v>
      </c>
    </row>
    <row r="1214" spans="16:24" ht="15" x14ac:dyDescent="0.25">
      <c r="U1214" s="724">
        <v>9063</v>
      </c>
      <c r="V1214" s="724" t="str">
        <f t="shared" si="49"/>
        <v>9063</v>
      </c>
      <c r="W1214" s="724">
        <v>113</v>
      </c>
      <c r="X1214" s="720">
        <v>9.11</v>
      </c>
    </row>
    <row r="1215" spans="16:24" ht="15" x14ac:dyDescent="0.25">
      <c r="U1215" s="724">
        <v>9063</v>
      </c>
      <c r="V1215" s="724" t="str">
        <f t="shared" si="49"/>
        <v>9063</v>
      </c>
      <c r="W1215" s="724">
        <v>255</v>
      </c>
      <c r="X1215" s="720">
        <v>8.0299999999999994</v>
      </c>
    </row>
    <row r="1218" spans="24:24" ht="15.75" customHeight="1" x14ac:dyDescent="0.25">
      <c r="X1218" s="720">
        <v>-96277.7</v>
      </c>
    </row>
    <row r="1219" spans="24:24" ht="15.75" customHeight="1" x14ac:dyDescent="0.25">
      <c r="X1219" s="727">
        <f>+X1216+X1218</f>
        <v>-96277.7</v>
      </c>
    </row>
  </sheetData>
  <autoFilter ref="Z2:AA54" xr:uid="{2D10092D-181A-4F79-8F72-F64CF179C59D}"/>
  <pageMargins left="0.7" right="0.7" top="0.75" bottom="0.75" header="0.3" footer="0.3"/>
  <ignoredErrors>
    <ignoredError sqref="Z3:Z34" numberStoredAsText="1"/>
    <ignoredError sqref="C219:F219 J219:M219"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096A1-A4AE-4243-8173-962553824AFB}">
  <dimension ref="A1:Z207"/>
  <sheetViews>
    <sheetView topLeftCell="A88" workbookViewId="0">
      <selection activeCell="J62" sqref="J62"/>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6.42578125" style="2" customWidth="1"/>
    <col min="8" max="8" width="19.28515625" style="2" customWidth="1"/>
    <col min="9" max="9" width="17" style="2" customWidth="1"/>
    <col min="10" max="10" width="31" style="2" customWidth="1"/>
    <col min="11" max="11" width="1.28515625" style="2" customWidth="1"/>
    <col min="12" max="12" width="22.85546875" style="2" customWidth="1"/>
    <col min="13" max="13" width="5.5703125" style="3"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0" t="s">
        <v>155</v>
      </c>
      <c r="B2" s="101"/>
      <c r="C2" s="101"/>
      <c r="D2" s="101"/>
      <c r="E2" s="6"/>
      <c r="F2" s="6"/>
      <c r="G2" s="6"/>
      <c r="H2" s="6"/>
      <c r="I2" s="706" t="str">
        <f>RIGHT(A2,4)</f>
        <v>0040</v>
      </c>
      <c r="J2" s="6"/>
      <c r="K2" s="6"/>
      <c r="L2" s="6"/>
      <c r="M2" s="6"/>
      <c r="N2" s="6"/>
      <c r="O2" s="6"/>
      <c r="P2" s="6"/>
      <c r="Q2" s="6"/>
      <c r="R2" s="927" t="str">
        <f>Revenue_Estimate_Worksheet_for___________Charter_School</f>
        <v>Revenue Estimate Worksheet: Palm Beach Preparatory Middle School 0040</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649" t="s">
        <v>7</v>
      </c>
      <c r="M8" s="2"/>
      <c r="O8" s="2" t="str">
        <f>IF(AND(C15&gt;C17, C15&gt;C13), "M", "-")</f>
        <v>M</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6">
        <f>SUMIFS('Surv2-3'!D:D,'Surv2-3'!$A:$A,$I$2,'Surv2-3'!$B:$B,$O12)</f>
        <v>0</v>
      </c>
      <c r="D12" s="736">
        <f>SUMIFS('Surv2-3'!K:K,'Surv2-3'!$H:$H,$I$2,'Surv2-3'!$I:$I,$O12)</f>
        <v>0</v>
      </c>
      <c r="E12" s="1021">
        <f t="shared" ref="E12:E27" si="0">IF($D$28=0,C12*2,C12+D12)</f>
        <v>0</v>
      </c>
      <c r="F12" s="1021"/>
      <c r="G12" s="1037">
        <f>Consolidated!$F14</f>
        <v>1.1080000000000001</v>
      </c>
      <c r="H12" s="1037">
        <f>Consolidated!$H$9</f>
        <v>1</v>
      </c>
      <c r="I12" s="22">
        <f>ROUND(E12*G12,4)</f>
        <v>0</v>
      </c>
      <c r="J12" s="116">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650">
        <f>SUMIFS('Surv2-3'!D:D,'Surv2-3'!$A:$A,$I$2,'Surv2-3'!$B:$B,$O13)</f>
        <v>0</v>
      </c>
      <c r="D13" s="650">
        <f>SUMIFS('Surv2-3'!K:K,'Surv2-3'!$H:$H,$I$2,'Surv2-3'!$I:$I,$O13)</f>
        <v>0</v>
      </c>
      <c r="E13" s="1020">
        <f t="shared" si="0"/>
        <v>0</v>
      </c>
      <c r="F13" s="1020"/>
      <c r="G13" s="1026">
        <f>Consolidated!$F15</f>
        <v>1.1080000000000001</v>
      </c>
      <c r="H13" s="1026">
        <f>Consolidated!$H$9</f>
        <v>1</v>
      </c>
      <c r="I13" s="22">
        <f t="shared" ref="I13:I27" si="3">ROUND(E13*G13,4)</f>
        <v>0</v>
      </c>
      <c r="J13" s="116">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650">
        <f>SUMIFS('Surv2-3'!E:E,'Surv2-3'!$A:$A,$I$2,'Surv2-3'!$B:$B,$O14)</f>
        <v>6.75</v>
      </c>
      <c r="D14" s="650">
        <f>SUMIFS('Surv2-3'!L:L,'Surv2-3'!$H:$H,$I$2,'Surv2-3'!$I:$I,$O14)</f>
        <v>7.5</v>
      </c>
      <c r="E14" s="1020">
        <f t="shared" si="0"/>
        <v>14.25</v>
      </c>
      <c r="F14" s="1020"/>
      <c r="G14" s="1026">
        <f>Consolidated!$F16</f>
        <v>1</v>
      </c>
      <c r="H14" s="1026">
        <f>Consolidated!$H$9</f>
        <v>1</v>
      </c>
      <c r="I14" s="22">
        <f t="shared" si="3"/>
        <v>14.25</v>
      </c>
      <c r="J14" s="116">
        <f>ROUND(ROUND(ROUND(I14*$E$6,4)*($I$6),2)*(MAX($I$7,1)),2)</f>
        <v>79277.41</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650">
        <f>SUMIFS('Surv2-3'!E:E,'Surv2-3'!$A:$A,$I$2,'Surv2-3'!$B:$B,$O15)</f>
        <v>3.5</v>
      </c>
      <c r="D15" s="650">
        <f>SUMIFS('Surv2-3'!L:L,'Surv2-3'!$H:$H,$I$2,'Surv2-3'!$I:$I,$O15)</f>
        <v>3.97</v>
      </c>
      <c r="E15" s="1020">
        <f t="shared" si="0"/>
        <v>7.4700000000000006</v>
      </c>
      <c r="F15" s="1020"/>
      <c r="G15" s="1026">
        <f>Consolidated!$F17</f>
        <v>1</v>
      </c>
      <c r="H15" s="1026">
        <f>Consolidated!$H$9</f>
        <v>1</v>
      </c>
      <c r="I15" s="22">
        <f t="shared" si="3"/>
        <v>7.47</v>
      </c>
      <c r="J15" s="116">
        <f t="shared" si="1"/>
        <v>41558.050000000003</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650">
        <f>SUMIFS('Surv2-3'!F:F,'Surv2-3'!$A:$A,$I$2,'Surv2-3'!$B:$B,$O16)</f>
        <v>0</v>
      </c>
      <c r="D16" s="650">
        <f>SUMIFS('Surv2-3'!M:M,'Surv2-3'!$H:$H,$I$2,'Surv2-3'!$I:$I,$O16)</f>
        <v>0</v>
      </c>
      <c r="E16" s="1020">
        <f t="shared" si="0"/>
        <v>0</v>
      </c>
      <c r="F16" s="1020"/>
      <c r="G16" s="1026">
        <f>Consolidated!$F18</f>
        <v>0.97199999999999998</v>
      </c>
      <c r="H16" s="1026">
        <f>Consolidated!$H$9</f>
        <v>1</v>
      </c>
      <c r="I16" s="22">
        <f t="shared" si="3"/>
        <v>0</v>
      </c>
      <c r="J16" s="116">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650">
        <f>SUMIFS('Surv2-3'!F:F,'Surv2-3'!$A:$A,$I$2,'Surv2-3'!$B:$B,$O17)</f>
        <v>0</v>
      </c>
      <c r="D17" s="820">
        <f>SUMIFS('Surv2-3'!M:M,'Surv2-3'!$H:$H,$I$2,'Surv2-3'!$I:$I,$O17)</f>
        <v>0</v>
      </c>
      <c r="E17" s="1020">
        <f t="shared" si="0"/>
        <v>0</v>
      </c>
      <c r="F17" s="1020"/>
      <c r="G17" s="1026">
        <f>Consolidated!$F19</f>
        <v>0.97199999999999998</v>
      </c>
      <c r="H17" s="1026">
        <f>Consolidated!$H$9</f>
        <v>1</v>
      </c>
      <c r="I17" s="22">
        <f t="shared" si="3"/>
        <v>0</v>
      </c>
      <c r="J17" s="116">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650">
        <f>SUMIFS('Surv2-3'!D:D,'Surv2-3'!$A:$A,$I$2,'Surv2-3'!$B:$B,$O18)</f>
        <v>0</v>
      </c>
      <c r="D18" s="820">
        <f>SUMIFS('Surv2-3'!K:K,'Surv2-3'!$H:$H,$I$2,'Surv2-3'!$I:$I,$O18)</f>
        <v>0</v>
      </c>
      <c r="E18" s="1020">
        <f t="shared" si="0"/>
        <v>0</v>
      </c>
      <c r="F18" s="1020"/>
      <c r="G18" s="1026">
        <f>Consolidated!$F20</f>
        <v>3.609</v>
      </c>
      <c r="H18" s="1026">
        <f>Consolidated!$H$9</f>
        <v>1</v>
      </c>
      <c r="I18" s="22">
        <f t="shared" si="3"/>
        <v>0</v>
      </c>
      <c r="J18" s="116">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650">
        <f>SUMIFS('Surv2-3'!E:E,'Surv2-3'!$A:$A,$I$2,'Surv2-3'!$B:$B,$O19)</f>
        <v>0</v>
      </c>
      <c r="D19" s="650">
        <f>SUMIFS('Surv2-3'!L:L,'Surv2-3'!$H:$H,$I$2,'Surv2-3'!$I:$I,$O19)</f>
        <v>0</v>
      </c>
      <c r="E19" s="1020">
        <f t="shared" si="0"/>
        <v>0</v>
      </c>
      <c r="F19" s="1020"/>
      <c r="G19" s="1026">
        <f>Consolidated!$F21</f>
        <v>3.609</v>
      </c>
      <c r="H19" s="1026">
        <f>Consolidated!$H$9</f>
        <v>1</v>
      </c>
      <c r="I19" s="22">
        <f t="shared" si="3"/>
        <v>0</v>
      </c>
      <c r="J19" s="116">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650">
        <f>SUMIFS('Surv2-3'!F:F,'Surv2-3'!$A:$A,$I$2,'Surv2-3'!$B:$B,$O20)</f>
        <v>0</v>
      </c>
      <c r="D20" s="650">
        <f>SUMIFS('Surv2-3'!M:M,'Surv2-3'!$H:$H,$I$2,'Surv2-3'!$I:$I,$O20)</f>
        <v>0</v>
      </c>
      <c r="E20" s="1020">
        <f t="shared" si="0"/>
        <v>0</v>
      </c>
      <c r="F20" s="1020"/>
      <c r="G20" s="1026">
        <f>Consolidated!$F22</f>
        <v>3.609</v>
      </c>
      <c r="H20" s="1026">
        <f>Consolidated!$H$9</f>
        <v>1</v>
      </c>
      <c r="I20" s="22">
        <f t="shared" si="3"/>
        <v>0</v>
      </c>
      <c r="J20" s="116">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650">
        <f>SUMIFS('Surv2-3'!D:D,'Surv2-3'!$A:$A,$I$2,'Surv2-3'!$B:$B,$O21)</f>
        <v>0</v>
      </c>
      <c r="D21" s="820">
        <f>SUMIFS('Surv2-3'!K:K,'Surv2-3'!$H:$H,$I$2,'Surv2-3'!$I:$I,$O21)</f>
        <v>0</v>
      </c>
      <c r="E21" s="1020">
        <f t="shared" si="0"/>
        <v>0</v>
      </c>
      <c r="F21" s="1020"/>
      <c r="G21" s="1026">
        <f>Consolidated!$F23</f>
        <v>6.0640000000000001</v>
      </c>
      <c r="H21" s="1026">
        <f>Consolidated!$H$9</f>
        <v>1</v>
      </c>
      <c r="I21" s="22">
        <f t="shared" si="3"/>
        <v>0</v>
      </c>
      <c r="J21" s="116">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650">
        <f>SUMIFS('Surv2-3'!E:E,'Surv2-3'!$A:$A,$I$2,'Surv2-3'!$B:$B,$O22)</f>
        <v>0</v>
      </c>
      <c r="D22" s="650">
        <f>SUMIFS('Surv2-3'!L:L,'Surv2-3'!$H:$H,$I$2,'Surv2-3'!$I:$I,$O22)</f>
        <v>0</v>
      </c>
      <c r="E22" s="1020">
        <f t="shared" si="0"/>
        <v>0</v>
      </c>
      <c r="F22" s="1020"/>
      <c r="G22" s="1026">
        <f>Consolidated!$F24</f>
        <v>6.0640000000000001</v>
      </c>
      <c r="H22" s="1026">
        <f>Consolidated!$H$9</f>
        <v>1</v>
      </c>
      <c r="I22" s="22">
        <f t="shared" si="3"/>
        <v>0</v>
      </c>
      <c r="J22" s="116">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650">
        <f>SUMIFS('Surv2-3'!F:F,'Surv2-3'!$A:$A,$I$2,'Surv2-3'!$B:$B,$O23)</f>
        <v>0</v>
      </c>
      <c r="D23" s="650">
        <f>SUMIFS('Surv2-3'!M:M,'Surv2-3'!$H:$H,$I$2,'Surv2-3'!$I:$I,$O23)</f>
        <v>0</v>
      </c>
      <c r="E23" s="1020">
        <f t="shared" si="0"/>
        <v>0</v>
      </c>
      <c r="F23" s="1020"/>
      <c r="G23" s="1026">
        <f>Consolidated!$F25</f>
        <v>6.0640000000000001</v>
      </c>
      <c r="H23" s="1026">
        <f>Consolidated!$H$9</f>
        <v>1</v>
      </c>
      <c r="I23" s="22">
        <f t="shared" si="3"/>
        <v>0</v>
      </c>
      <c r="J23" s="116">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650">
        <f>SUMIFS('Surv2-3'!D:D,'Surv2-3'!$A:$A,$I$2,'Surv2-3'!$B:$B,$O24)</f>
        <v>0</v>
      </c>
      <c r="D24" s="820">
        <f>SUMIFS('Surv2-3'!K:K,'Surv2-3'!$H:$H,$I$2,'Surv2-3'!$I:$I,$O24)</f>
        <v>0</v>
      </c>
      <c r="E24" s="1020">
        <f t="shared" si="0"/>
        <v>0</v>
      </c>
      <c r="F24" s="1020"/>
      <c r="G24" s="1026">
        <f>Consolidated!$F26</f>
        <v>1.165</v>
      </c>
      <c r="H24" s="1026">
        <f>Consolidated!$H$9</f>
        <v>1</v>
      </c>
      <c r="I24" s="22">
        <f t="shared" si="3"/>
        <v>0</v>
      </c>
      <c r="J24" s="116">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650">
        <f>SUMIFS('Surv2-3'!E:E,'Surv2-3'!$A:$A,$I$2,'Surv2-3'!$B:$B,$O25)</f>
        <v>1.25</v>
      </c>
      <c r="D25" s="650">
        <f>SUMIFS('Surv2-3'!L:L,'Surv2-3'!$H:$H,$I$2,'Surv2-3'!$I:$I,$O25)</f>
        <v>0.84</v>
      </c>
      <c r="E25" s="1020">
        <f t="shared" si="0"/>
        <v>2.09</v>
      </c>
      <c r="F25" s="1020"/>
      <c r="G25" s="1026">
        <f>Consolidated!$F27</f>
        <v>1.165</v>
      </c>
      <c r="H25" s="1026">
        <f>Consolidated!$H$9</f>
        <v>1</v>
      </c>
      <c r="I25" s="22">
        <f t="shared" si="3"/>
        <v>2.4348999999999998</v>
      </c>
      <c r="J25" s="116">
        <f t="shared" si="1"/>
        <v>13546.15</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650">
        <f>SUMIFS('Surv2-3'!F:F,'Surv2-3'!$A:$A,$I$2,'Surv2-3'!$B:$B,$O26)</f>
        <v>0</v>
      </c>
      <c r="D26" s="650">
        <f>SUMIFS('Surv2-3'!M:M,'Surv2-3'!$H:$H,$I$2,'Surv2-3'!$I:$I,$O26)</f>
        <v>0</v>
      </c>
      <c r="E26" s="1020">
        <f t="shared" si="0"/>
        <v>0</v>
      </c>
      <c r="F26" s="1020"/>
      <c r="G26" s="1026">
        <f>Consolidated!$F28</f>
        <v>1.165</v>
      </c>
      <c r="H26" s="1026">
        <f>Consolidated!$H$9</f>
        <v>1</v>
      </c>
      <c r="I26" s="22">
        <f t="shared" si="3"/>
        <v>0</v>
      </c>
      <c r="J26" s="116">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817">
        <f>SUMIFS('Surv2-3'!C:C,'Surv2-3'!$A:$A,$I$2,'Surv2-3'!$B:$B,$O27)</f>
        <v>0</v>
      </c>
      <c r="D27" s="817">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651">
        <f>SUM(C12:C27)</f>
        <v>11.5</v>
      </c>
      <c r="D28" s="651">
        <f>SUM(D12:D27)</f>
        <v>12.31</v>
      </c>
      <c r="E28" s="1025">
        <f>SUM(E12:E27)</f>
        <v>23.81</v>
      </c>
      <c r="F28" s="1025"/>
      <c r="G28" s="1020"/>
      <c r="H28" s="1020"/>
      <c r="I28" s="23">
        <f>SUM(I12:I27)</f>
        <v>24.154899999999998</v>
      </c>
      <c r="J28" s="116">
        <f>SUM(J12:J27)</f>
        <v>134381.61000000002</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v>0</v>
      </c>
      <c r="W32" s="965" t="s">
        <v>43</v>
      </c>
      <c r="X32" s="965"/>
      <c r="Y32" s="152">
        <f>SUM(Y31:Y31)</f>
        <v>0</v>
      </c>
    </row>
    <row r="33" spans="1:25" ht="20.25" hidden="1" customHeight="1" thickBot="1" x14ac:dyDescent="0.3">
      <c r="A33" s="970" t="s">
        <v>44</v>
      </c>
      <c r="B33" s="970"/>
      <c r="C33" s="970"/>
      <c r="D33" s="970"/>
      <c r="E33" s="970"/>
      <c r="F33" s="970"/>
      <c r="G33" s="31">
        <f>G32+I28</f>
        <v>24.154899999999998</v>
      </c>
      <c r="H33" s="1020" t="s">
        <v>45</v>
      </c>
      <c r="I33" s="1020"/>
      <c r="J33" s="32">
        <f>SUM(J32,J28)</f>
        <v>134381.61000000002</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204869.52</v>
      </c>
      <c r="H36" s="37" t="s">
        <v>49</v>
      </c>
      <c r="I36" s="38">
        <v>6.6699999999999995E-2</v>
      </c>
      <c r="J36" s="120">
        <f>ROUND(G36*I36,2)</f>
        <v>13664.8</v>
      </c>
      <c r="K36" s="39"/>
      <c r="L36" s="33"/>
      <c r="M36" s="33"/>
      <c r="N36" s="33"/>
      <c r="O36" s="31"/>
      <c r="P36" s="34"/>
      <c r="Q36" s="34"/>
      <c r="R36" s="946" t="s">
        <v>47</v>
      </c>
      <c r="S36" s="946"/>
      <c r="T36" s="946"/>
      <c r="U36" s="158"/>
      <c r="V36" s="161">
        <f>Y28</f>
        <v>0</v>
      </c>
      <c r="W36" s="162" t="s">
        <v>49</v>
      </c>
      <c r="X36" s="163">
        <v>6.6699999999999995E-2</v>
      </c>
      <c r="Y36" s="212">
        <f>ROUND(V36*X36,2)</f>
        <v>0</v>
      </c>
    </row>
    <row r="37" spans="1:25" ht="20.25" customHeight="1" x14ac:dyDescent="0.25">
      <c r="A37" s="916" t="s">
        <v>50</v>
      </c>
      <c r="B37" s="916"/>
      <c r="C37" s="916"/>
      <c r="D37" s="916"/>
      <c r="E37" s="916"/>
      <c r="F37" s="36" t="s">
        <v>48</v>
      </c>
      <c r="G37" s="121">
        <v>204869.52</v>
      </c>
      <c r="H37" s="37" t="s">
        <v>49</v>
      </c>
      <c r="I37" s="38">
        <v>5.4000000000000003E-3</v>
      </c>
      <c r="J37" s="120">
        <f>ROUND(G37*I37,2)</f>
        <v>1106.3</v>
      </c>
      <c r="K37" s="39"/>
      <c r="L37" s="33"/>
      <c r="M37" s="33"/>
      <c r="N37" s="33"/>
      <c r="O37" s="31"/>
      <c r="P37" s="34"/>
      <c r="Q37" s="34"/>
      <c r="R37" s="946" t="s">
        <v>50</v>
      </c>
      <c r="S37" s="946"/>
      <c r="T37" s="946"/>
      <c r="U37" s="158"/>
      <c r="V37" s="161">
        <f>Y28</f>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14771.099999999999</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652"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827">
        <f>SUMIFS('Surv2-3'!D:D,'Surv2-3'!$A:$A,$I$2,'Surv2-3'!$B:$B,$H41-140)</f>
        <v>0</v>
      </c>
      <c r="D41" s="827">
        <f>SUMIFS('Surv2-3'!K:K,'Surv2-3'!$H:$H,$I$2,'Surv2-3'!$I:$I,$H41-140)</f>
        <v>0</v>
      </c>
      <c r="E41" s="1013">
        <f t="shared" ref="E41:E49" si="8">IF($D$50=0,C41*2,C41+D41)</f>
        <v>0</v>
      </c>
      <c r="F41" s="1013"/>
      <c r="G41" s="37" t="s">
        <v>59</v>
      </c>
      <c r="H41" s="37">
        <v>251</v>
      </c>
      <c r="I41" s="125">
        <f>Consolidated!$H59</f>
        <v>1047</v>
      </c>
      <c r="J41" s="46">
        <f t="shared" ref="J41:J49" si="9">ROUND(E41*I41,2)</f>
        <v>0</v>
      </c>
      <c r="L41" s="3"/>
      <c r="M41" s="2"/>
      <c r="Q41" s="4"/>
      <c r="R41" s="958" t="s">
        <v>159</v>
      </c>
      <c r="S41" s="958"/>
      <c r="T41" s="919"/>
      <c r="U41" s="919"/>
      <c r="V41" s="162" t="s">
        <v>59</v>
      </c>
      <c r="W41" s="162">
        <v>251</v>
      </c>
      <c r="X41" s="123">
        <f t="shared" ref="X41:X49" si="10">I41</f>
        <v>1047</v>
      </c>
      <c r="Y41" s="213">
        <f>ROUND(T41*X41,2)</f>
        <v>0</v>
      </c>
    </row>
    <row r="42" spans="1:25" x14ac:dyDescent="0.25">
      <c r="A42" s="1019"/>
      <c r="B42" s="1019"/>
      <c r="C42" s="122">
        <f>SUMIFS('Surv2-3'!D:D,'Surv2-3'!$A:$A,$I$2,'Surv2-3'!$B:$B,$H42-140)</f>
        <v>0</v>
      </c>
      <c r="D42" s="122">
        <f>SUMIFS('Surv2-3'!K:K,'Surv2-3'!$H:$H,$I$2,'Surv2-3'!$I:$I,$H42-140)</f>
        <v>0</v>
      </c>
      <c r="E42" s="1013">
        <f t="shared" si="8"/>
        <v>0</v>
      </c>
      <c r="F42" s="1013"/>
      <c r="G42" s="37" t="s">
        <v>59</v>
      </c>
      <c r="H42" s="37">
        <v>252</v>
      </c>
      <c r="I42" s="125">
        <f>Consolidated!$H60</f>
        <v>3380</v>
      </c>
      <c r="J42" s="46">
        <f t="shared" si="9"/>
        <v>0</v>
      </c>
      <c r="M42" s="2"/>
      <c r="R42" s="958"/>
      <c r="S42" s="958"/>
      <c r="T42" s="959"/>
      <c r="U42" s="959"/>
      <c r="V42" s="162" t="s">
        <v>59</v>
      </c>
      <c r="W42" s="162">
        <v>252</v>
      </c>
      <c r="X42" s="123">
        <f t="shared" si="10"/>
        <v>3380</v>
      </c>
      <c r="Y42" s="213">
        <f t="shared" ref="Y42:Y49" si="11">ROUND(T42*X42,2)</f>
        <v>0</v>
      </c>
    </row>
    <row r="43" spans="1:25" x14ac:dyDescent="0.25">
      <c r="A43" s="1019"/>
      <c r="B43" s="1019"/>
      <c r="C43" s="122">
        <f>SUMIFS('Surv2-3'!D:D,'Surv2-3'!$A:$A,$I$2,'Surv2-3'!$B:$B,$H43-140)</f>
        <v>0</v>
      </c>
      <c r="D43" s="122">
        <f>SUMIFS('Surv2-3'!K:K,'Surv2-3'!$H:$H,$I$2,'Surv2-3'!$I:$I,$H43-140)</f>
        <v>0</v>
      </c>
      <c r="E43" s="1013">
        <f t="shared" si="8"/>
        <v>0</v>
      </c>
      <c r="F43" s="1013"/>
      <c r="G43" s="37" t="s">
        <v>59</v>
      </c>
      <c r="H43" s="37">
        <v>253</v>
      </c>
      <c r="I43" s="125">
        <f>Consolidated!$H61</f>
        <v>6896</v>
      </c>
      <c r="J43" s="46">
        <f t="shared" si="9"/>
        <v>0</v>
      </c>
      <c r="M43" s="2"/>
      <c r="R43" s="958"/>
      <c r="S43" s="958"/>
      <c r="T43" s="960"/>
      <c r="U43" s="960"/>
      <c r="V43" s="162" t="s">
        <v>59</v>
      </c>
      <c r="W43" s="162">
        <v>253</v>
      </c>
      <c r="X43" s="123">
        <f t="shared" si="10"/>
        <v>6896</v>
      </c>
      <c r="Y43" s="213">
        <f t="shared" si="11"/>
        <v>0</v>
      </c>
    </row>
    <row r="44" spans="1:25" ht="20.25" customHeight="1" x14ac:dyDescent="0.25">
      <c r="A44" s="1019"/>
      <c r="B44" s="1019"/>
      <c r="C44" s="122">
        <f>SUMIFS('Surv2-3'!E:E,'Surv2-3'!$A:$A,$I$2,'Surv2-3'!$B:$B,$H44-140)</f>
        <v>0</v>
      </c>
      <c r="D44" s="827">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 t="shared" si="10"/>
        <v>1173</v>
      </c>
      <c r="Y44" s="213">
        <f t="shared" si="11"/>
        <v>0</v>
      </c>
    </row>
    <row r="45" spans="1:25" x14ac:dyDescent="0.25">
      <c r="A45" s="1019"/>
      <c r="B45" s="1019"/>
      <c r="C45" s="122">
        <f>SUMIFS('Surv2-3'!E:E,'Surv2-3'!$A:$A,$I$2,'Surv2-3'!$B:$B,$H45-140)</f>
        <v>3.5</v>
      </c>
      <c r="D45" s="122">
        <f>SUMIFS('Surv2-3'!L:L,'Surv2-3'!$H:$H,$I$2,'Surv2-3'!$I:$I,$H45-140)</f>
        <v>3.97</v>
      </c>
      <c r="E45" s="1013">
        <f t="shared" si="8"/>
        <v>7.4700000000000006</v>
      </c>
      <c r="F45" s="1013"/>
      <c r="G45" s="47" t="s">
        <v>60</v>
      </c>
      <c r="H45" s="37">
        <v>252</v>
      </c>
      <c r="I45" s="125">
        <f>Consolidated!$H63</f>
        <v>3506</v>
      </c>
      <c r="J45" s="46">
        <f t="shared" si="9"/>
        <v>26189.82</v>
      </c>
      <c r="M45" s="2"/>
      <c r="R45" s="958"/>
      <c r="S45" s="958"/>
      <c r="T45" s="960"/>
      <c r="U45" s="960"/>
      <c r="V45" s="171" t="s">
        <v>60</v>
      </c>
      <c r="W45" s="162">
        <v>252</v>
      </c>
      <c r="X45" s="123">
        <f t="shared" si="10"/>
        <v>3506</v>
      </c>
      <c r="Y45" s="213">
        <f t="shared" si="11"/>
        <v>0</v>
      </c>
    </row>
    <row r="46" spans="1:25" x14ac:dyDescent="0.25">
      <c r="A46" s="1019"/>
      <c r="B46" s="1019"/>
      <c r="C46" s="122">
        <f>SUMIFS('Surv2-3'!E:E,'Surv2-3'!$A:$A,$I$2,'Surv2-3'!$B:$B,$H46-140)</f>
        <v>0</v>
      </c>
      <c r="D46" s="122">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 t="shared" si="10"/>
        <v>7023</v>
      </c>
      <c r="Y46" s="213">
        <f t="shared" si="11"/>
        <v>0</v>
      </c>
    </row>
    <row r="47" spans="1:25" ht="16.5" customHeight="1" x14ac:dyDescent="0.25">
      <c r="A47" s="1019"/>
      <c r="B47" s="1019"/>
      <c r="C47" s="122">
        <f>SUMIFS('Surv2-3'!F:F,'Surv2-3'!$A:$A,$I$2,'Surv2-3'!$B:$B,$H47-140)</f>
        <v>0</v>
      </c>
      <c r="D47" s="122">
        <f>SUMIFS('Surv2-3'!M:M,'Surv2-3'!$H:$H,$I$2,'Surv2-3'!$I:$I,$H47-140)</f>
        <v>0</v>
      </c>
      <c r="E47" s="1013">
        <f t="shared" si="8"/>
        <v>0</v>
      </c>
      <c r="F47" s="1013"/>
      <c r="G47" s="47" t="s">
        <v>61</v>
      </c>
      <c r="H47" s="37">
        <v>251</v>
      </c>
      <c r="I47" s="125">
        <f>Consolidated!$H65</f>
        <v>835</v>
      </c>
      <c r="J47" s="46">
        <f t="shared" si="9"/>
        <v>0</v>
      </c>
      <c r="M47" s="2"/>
      <c r="R47" s="958"/>
      <c r="S47" s="958"/>
      <c r="T47" s="960"/>
      <c r="U47" s="960"/>
      <c r="V47" s="171" t="s">
        <v>61</v>
      </c>
      <c r="W47" s="162">
        <v>251</v>
      </c>
      <c r="X47" s="123">
        <f t="shared" si="10"/>
        <v>835</v>
      </c>
      <c r="Y47" s="213">
        <f t="shared" si="11"/>
        <v>0</v>
      </c>
    </row>
    <row r="48" spans="1:25" ht="15.75" customHeight="1" x14ac:dyDescent="0.25">
      <c r="A48" s="1019"/>
      <c r="B48" s="1019"/>
      <c r="C48" s="122">
        <f>SUMIFS('Surv2-3'!F:F,'Surv2-3'!$A:$A,$I$2,'Surv2-3'!$B:$B,$H48-140)</f>
        <v>0</v>
      </c>
      <c r="D48" s="122">
        <f>SUMIFS('Surv2-3'!M:M,'Surv2-3'!$H:$H,$I$2,'Surv2-3'!$I:$I,$H48-140)</f>
        <v>0</v>
      </c>
      <c r="E48" s="1013">
        <f t="shared" si="8"/>
        <v>0</v>
      </c>
      <c r="F48" s="1013"/>
      <c r="G48" s="47" t="s">
        <v>61</v>
      </c>
      <c r="H48" s="37">
        <v>252</v>
      </c>
      <c r="I48" s="125">
        <f>Consolidated!$H66</f>
        <v>3168</v>
      </c>
      <c r="J48" s="46">
        <f t="shared" si="9"/>
        <v>0</v>
      </c>
      <c r="M48" s="2"/>
      <c r="R48" s="958"/>
      <c r="S48" s="958"/>
      <c r="T48" s="960"/>
      <c r="U48" s="960"/>
      <c r="V48" s="171" t="s">
        <v>61</v>
      </c>
      <c r="W48" s="162">
        <v>252</v>
      </c>
      <c r="X48" s="123">
        <f t="shared" si="10"/>
        <v>3168</v>
      </c>
      <c r="Y48" s="213">
        <f t="shared" si="11"/>
        <v>0</v>
      </c>
    </row>
    <row r="49" spans="1:25" ht="15.75" customHeight="1" thickBot="1" x14ac:dyDescent="0.3">
      <c r="A49" s="1019"/>
      <c r="B49" s="1019"/>
      <c r="C49" s="122">
        <f>SUMIFS('Surv2-3'!F:F,'Surv2-3'!$A:$A,$I$2,'Surv2-3'!$B:$B,$H49-140)</f>
        <v>0</v>
      </c>
      <c r="D49" s="122">
        <f>SUMIFS('Surv2-3'!M:M,'Surv2-3'!$H:$H,$I$2,'Surv2-3'!$I:$I,$H49-140)</f>
        <v>0</v>
      </c>
      <c r="E49" s="1014">
        <f t="shared" si="8"/>
        <v>0</v>
      </c>
      <c r="F49" s="1014"/>
      <c r="G49" s="47" t="s">
        <v>61</v>
      </c>
      <c r="H49" s="37">
        <v>253</v>
      </c>
      <c r="I49" s="125">
        <f>Consolidated!$H67</f>
        <v>6685</v>
      </c>
      <c r="J49" s="46">
        <f t="shared" si="9"/>
        <v>0</v>
      </c>
      <c r="M49" s="2"/>
      <c r="R49" s="958"/>
      <c r="S49" s="958"/>
      <c r="T49" s="971"/>
      <c r="U49" s="971"/>
      <c r="V49" s="171" t="s">
        <v>61</v>
      </c>
      <c r="W49" s="162">
        <v>253</v>
      </c>
      <c r="X49" s="123">
        <f t="shared" si="10"/>
        <v>6685</v>
      </c>
      <c r="Y49" s="213">
        <f t="shared" si="11"/>
        <v>0</v>
      </c>
    </row>
    <row r="50" spans="1:25" ht="15.75" customHeight="1" thickBot="1" x14ac:dyDescent="0.3">
      <c r="A50" s="970" t="s">
        <v>62</v>
      </c>
      <c r="B50" s="970"/>
      <c r="C50" s="818">
        <f>SUM(C41:C49)</f>
        <v>3.5</v>
      </c>
      <c r="D50" s="819">
        <f>SUM(D41:D49)</f>
        <v>3.97</v>
      </c>
      <c r="E50" s="1015">
        <f>SUM(E41:E49)</f>
        <v>7.4700000000000006</v>
      </c>
      <c r="F50" s="1015"/>
      <c r="G50" s="970" t="s">
        <v>63</v>
      </c>
      <c r="H50" s="970"/>
      <c r="I50" s="970"/>
      <c r="J50" s="220">
        <f>SUM(J41:J49)</f>
        <v>26189.82</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48">
        <f>E28</f>
        <v>23.81</v>
      </c>
      <c r="D53" s="49" t="s">
        <v>66</v>
      </c>
      <c r="G53" s="1027" t="s">
        <v>67</v>
      </c>
      <c r="H53" s="1027"/>
      <c r="I53" s="654">
        <f>Consolidated!H$71</f>
        <v>207716.69</v>
      </c>
      <c r="J53" s="653"/>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IFERROR(ROUND(C53/I53,6),0)</f>
        <v>1.15E-4</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Y33</f>
        <v>0</v>
      </c>
      <c r="U55" s="173" t="s">
        <v>66</v>
      </c>
      <c r="V55" s="174"/>
      <c r="W55" s="175" t="s">
        <v>71</v>
      </c>
      <c r="X55" s="977">
        <f>I56</f>
        <v>221131.37000000002</v>
      </c>
      <c r="Y55" s="977"/>
    </row>
    <row r="56" spans="1:25" ht="16.5" customHeight="1" x14ac:dyDescent="0.25">
      <c r="A56" s="953" t="s">
        <v>70</v>
      </c>
      <c r="B56" s="953"/>
      <c r="C56" s="48">
        <f>G33</f>
        <v>24.154899999999998</v>
      </c>
      <c r="D56" s="49" t="s">
        <v>66</v>
      </c>
      <c r="G56" s="1027" t="s">
        <v>71</v>
      </c>
      <c r="H56" s="1027"/>
      <c r="I56" s="654">
        <f>Consolidated!H$74</f>
        <v>221131.37000000002</v>
      </c>
      <c r="J56" s="653"/>
      <c r="M56" s="2"/>
      <c r="R56" s="176"/>
      <c r="S56" s="159"/>
      <c r="T56" s="159"/>
      <c r="U56" s="159"/>
      <c r="V56" s="159"/>
      <c r="W56" s="178" t="s">
        <v>68</v>
      </c>
      <c r="X56" s="978">
        <f>ROUND(T55/X55,6)</f>
        <v>0</v>
      </c>
      <c r="Y56" s="978"/>
    </row>
    <row r="57" spans="1:25" ht="18.75" customHeight="1" x14ac:dyDescent="0.25">
      <c r="A57" s="51"/>
      <c r="H57" s="53" t="s">
        <v>68</v>
      </c>
      <c r="I57" s="1004">
        <f>IFERROR(ROUND(C56/I56,6),0)</f>
        <v>1.0900000000000001E-4</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48">
        <f>E28</f>
        <v>23.81</v>
      </c>
      <c r="D59" s="49" t="s">
        <v>66</v>
      </c>
      <c r="F59" s="1027" t="s">
        <v>74</v>
      </c>
      <c r="G59" s="1027"/>
      <c r="H59" s="1027"/>
      <c r="I59" s="654">
        <f>Consolidated!H$77</f>
        <v>178668.19</v>
      </c>
      <c r="J59" s="653"/>
      <c r="M59" s="2"/>
      <c r="R59" s="176"/>
      <c r="S59" s="159"/>
      <c r="T59" s="159"/>
      <c r="U59" s="159"/>
      <c r="V59" s="159"/>
      <c r="W59" s="178" t="s">
        <v>68</v>
      </c>
      <c r="X59" s="978">
        <f>ROUND(T58/X58,6)</f>
        <v>0</v>
      </c>
      <c r="Y59" s="978"/>
    </row>
    <row r="60" spans="1:25" ht="18" customHeight="1" x14ac:dyDescent="0.25">
      <c r="A60" s="51"/>
      <c r="H60" s="53" t="s">
        <v>68</v>
      </c>
      <c r="I60" s="1004">
        <f>IFERROR(ROUND(C59/I59,6),0)</f>
        <v>1.3300000000000001E-4</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x14ac:dyDescent="0.25">
      <c r="A62" s="953" t="s">
        <v>73</v>
      </c>
      <c r="B62" s="953"/>
      <c r="C62" s="48">
        <f>E28</f>
        <v>23.81</v>
      </c>
      <c r="D62" s="49" t="s">
        <v>66</v>
      </c>
      <c r="F62" s="1027" t="s">
        <v>76</v>
      </c>
      <c r="G62" s="1027"/>
      <c r="H62" s="1027"/>
      <c r="I62" s="654">
        <f>Consolidated!H$80</f>
        <v>207376.94</v>
      </c>
      <c r="J62" s="653"/>
      <c r="M62" s="2"/>
      <c r="R62" s="176"/>
      <c r="S62" s="159"/>
      <c r="T62" s="159"/>
      <c r="U62" s="159"/>
      <c r="V62" s="159"/>
      <c r="W62" s="178" t="s">
        <v>68</v>
      </c>
      <c r="X62" s="978">
        <f>ROUND(T61/X61,6)</f>
        <v>0</v>
      </c>
      <c r="Y62" s="978"/>
    </row>
    <row r="63" spans="1:25" ht="19.5" customHeight="1" x14ac:dyDescent="0.25">
      <c r="A63" s="51"/>
      <c r="H63" s="53" t="s">
        <v>68</v>
      </c>
      <c r="I63" s="1004">
        <f>IFERROR(ROUND(C62/I62,6),0)</f>
        <v>1.15E-4</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x14ac:dyDescent="0.25">
      <c r="A65" s="953" t="s">
        <v>73</v>
      </c>
      <c r="B65" s="953"/>
      <c r="C65" s="48">
        <f>E28</f>
        <v>23.81</v>
      </c>
      <c r="D65" s="1028" t="s">
        <v>606</v>
      </c>
      <c r="E65" s="1028"/>
      <c r="F65" s="1028"/>
      <c r="G65" s="1028"/>
      <c r="H65" s="1028"/>
      <c r="I65" s="654">
        <f>Consolidated!H$83</f>
        <v>178328.44</v>
      </c>
      <c r="J65" s="653"/>
      <c r="M65" s="2"/>
      <c r="R65" s="179"/>
      <c r="S65" s="159"/>
      <c r="T65" s="159"/>
      <c r="U65" s="159"/>
      <c r="V65" s="159"/>
      <c r="W65" s="178" t="s">
        <v>68</v>
      </c>
      <c r="X65" s="978">
        <f>ROUND(T64/X64,6)</f>
        <v>0</v>
      </c>
      <c r="Y65" s="978"/>
    </row>
    <row r="66" spans="1:26" ht="19.5" customHeight="1" x14ac:dyDescent="0.25">
      <c r="A66" s="51"/>
      <c r="H66" s="53" t="s">
        <v>68</v>
      </c>
      <c r="I66" s="1004">
        <f>IFERROR(ROUND(C65/I65,6),0)</f>
        <v>1.34E-4</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1.15E-4</v>
      </c>
      <c r="J68" s="127">
        <f>ROUND(G68*I68,2)</f>
        <v>5245.21</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2">ROUND(V69*X69,2)</f>
        <v>0</v>
      </c>
    </row>
    <row r="70" spans="1:26" ht="17.25" customHeight="1" x14ac:dyDescent="0.25">
      <c r="A70" s="1007" t="s">
        <v>83</v>
      </c>
      <c r="B70" s="1007"/>
      <c r="C70" s="1007"/>
      <c r="D70" s="1007"/>
      <c r="E70" s="1007"/>
      <c r="F70" s="36" t="s">
        <v>84</v>
      </c>
      <c r="G70" s="221">
        <f>Consolidated!F$89</f>
        <v>0</v>
      </c>
      <c r="H70" s="37" t="s">
        <v>81</v>
      </c>
      <c r="I70" s="41">
        <f>I54</f>
        <v>1.15E-4</v>
      </c>
      <c r="J70" s="127">
        <f>ROUND(G70*I70,2)</f>
        <v>0</v>
      </c>
      <c r="M70" s="2"/>
      <c r="R70" s="955" t="s">
        <v>163</v>
      </c>
      <c r="S70" s="955"/>
      <c r="T70" s="955"/>
      <c r="U70" s="158"/>
      <c r="V70" s="182">
        <f>G71</f>
        <v>18959906</v>
      </c>
      <c r="W70" s="162" t="s">
        <v>81</v>
      </c>
      <c r="X70" s="165">
        <f>X65</f>
        <v>0</v>
      </c>
      <c r="Y70" s="212">
        <f t="shared" si="12"/>
        <v>0</v>
      </c>
    </row>
    <row r="71" spans="1:26" ht="19.5" customHeight="1" x14ac:dyDescent="0.25">
      <c r="A71" s="952" t="s">
        <v>85</v>
      </c>
      <c r="B71" s="952"/>
      <c r="C71" s="952"/>
      <c r="D71" s="952"/>
      <c r="E71" s="952"/>
      <c r="F71" s="36" t="s">
        <v>86</v>
      </c>
      <c r="G71" s="221">
        <f>Consolidated!F$91</f>
        <v>18959906</v>
      </c>
      <c r="H71" s="37" t="s">
        <v>81</v>
      </c>
      <c r="I71" s="41">
        <f>I66</f>
        <v>1.34E-4</v>
      </c>
      <c r="J71" s="127">
        <f>ROUND(G71*I71,2)</f>
        <v>2540.63</v>
      </c>
      <c r="M71" s="2"/>
      <c r="R71" s="166" t="s">
        <v>164</v>
      </c>
      <c r="S71" s="166"/>
      <c r="T71" s="166"/>
      <c r="U71" s="158"/>
      <c r="V71" s="160">
        <f>G72</f>
        <v>11308391</v>
      </c>
      <c r="W71" s="162" t="s">
        <v>81</v>
      </c>
      <c r="X71" s="165">
        <f>X59</f>
        <v>0</v>
      </c>
      <c r="Y71" s="212">
        <f t="shared" si="12"/>
        <v>0</v>
      </c>
    </row>
    <row r="72" spans="1:26" ht="19.5" customHeight="1" x14ac:dyDescent="0.25">
      <c r="A72" s="42" t="s">
        <v>87</v>
      </c>
      <c r="B72" s="42"/>
      <c r="C72" s="42"/>
      <c r="D72" s="42"/>
      <c r="E72" s="42"/>
      <c r="F72" s="36" t="s">
        <v>88</v>
      </c>
      <c r="G72" s="221">
        <f>Consolidated!F$93</f>
        <v>11308391</v>
      </c>
      <c r="H72" s="37" t="s">
        <v>81</v>
      </c>
      <c r="I72" s="41">
        <f>I60</f>
        <v>1.3300000000000001E-4</v>
      </c>
      <c r="J72" s="127">
        <f>ROUND(G72*I72,2)</f>
        <v>1504.02</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1.0900000000000001E-4</v>
      </c>
      <c r="J85" s="127">
        <f>ROUND(G85*I85,2)</f>
        <v>29300.97</v>
      </c>
      <c r="K85" s="70"/>
      <c r="L85" s="70"/>
      <c r="M85" s="71"/>
      <c r="N85" s="70"/>
      <c r="O85" s="70"/>
      <c r="P85" s="70"/>
      <c r="Q85" s="70"/>
      <c r="R85" s="955" t="s">
        <v>168</v>
      </c>
      <c r="S85" s="955"/>
      <c r="T85" s="955"/>
      <c r="U85" s="158"/>
      <c r="V85" s="160">
        <f>G85</f>
        <v>268816278</v>
      </c>
      <c r="W85" s="162" t="s">
        <v>81</v>
      </c>
      <c r="X85" s="165">
        <f>X56</f>
        <v>0</v>
      </c>
      <c r="Y85" s="212">
        <f t="shared" ref="Y85:Y87" si="13">ROUND(V85*X85,2)</f>
        <v>0</v>
      </c>
    </row>
    <row r="86" spans="1:26" ht="14.25" customHeight="1" x14ac:dyDescent="0.25">
      <c r="A86" s="952" t="s">
        <v>104</v>
      </c>
      <c r="B86" s="952"/>
      <c r="C86" s="952"/>
      <c r="D86" s="952"/>
      <c r="E86" s="952"/>
      <c r="F86" s="36" t="s">
        <v>103</v>
      </c>
      <c r="G86" s="128">
        <v>0</v>
      </c>
      <c r="H86" s="37" t="s">
        <v>81</v>
      </c>
      <c r="I86" s="41">
        <f>I57</f>
        <v>1.0900000000000001E-4</v>
      </c>
      <c r="J86" s="127">
        <f>ROUND(G86*I86,2)</f>
        <v>0</v>
      </c>
      <c r="K86" s="70"/>
      <c r="L86" s="71"/>
      <c r="M86" s="76"/>
      <c r="N86" s="76"/>
      <c r="O86" s="76"/>
      <c r="P86" s="76"/>
      <c r="Q86" s="70"/>
      <c r="R86" s="955" t="s">
        <v>169</v>
      </c>
      <c r="S86" s="955"/>
      <c r="T86" s="955"/>
      <c r="U86" s="158"/>
      <c r="V86" s="192">
        <v>0</v>
      </c>
      <c r="W86" s="162" t="s">
        <v>81</v>
      </c>
      <c r="X86" s="165">
        <f>X56</f>
        <v>0</v>
      </c>
      <c r="Y86" s="212">
        <f t="shared" si="13"/>
        <v>0</v>
      </c>
    </row>
    <row r="87" spans="1:26" ht="18" customHeight="1" x14ac:dyDescent="0.25">
      <c r="A87" s="952" t="s">
        <v>105</v>
      </c>
      <c r="B87" s="952"/>
      <c r="C87" s="952"/>
      <c r="D87" s="952"/>
      <c r="E87" s="952"/>
      <c r="F87" s="36" t="s">
        <v>84</v>
      </c>
      <c r="G87" s="128">
        <v>0</v>
      </c>
      <c r="H87" s="37" t="s">
        <v>81</v>
      </c>
      <c r="I87" s="41">
        <f>I54</f>
        <v>1.15E-4</v>
      </c>
      <c r="J87" s="62">
        <f>ROUND(G87*I87,2)</f>
        <v>0</v>
      </c>
      <c r="K87" s="77"/>
      <c r="L87" s="70"/>
      <c r="M87" s="71"/>
      <c r="N87" s="70"/>
      <c r="O87" s="70"/>
      <c r="P87" s="70"/>
      <c r="Q87" s="70"/>
      <c r="R87" s="166" t="s">
        <v>170</v>
      </c>
      <c r="S87" s="166"/>
      <c r="T87" s="166"/>
      <c r="U87" s="158"/>
      <c r="V87" s="192">
        <v>0</v>
      </c>
      <c r="W87" s="162" t="s">
        <v>81</v>
      </c>
      <c r="X87" s="165">
        <f>X53</f>
        <v>0</v>
      </c>
      <c r="Y87" s="212">
        <f t="shared" si="13"/>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655" t="s">
        <v>109</v>
      </c>
      <c r="H89" s="655"/>
      <c r="I89" s="655"/>
      <c r="J89" s="65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656">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24.154899999999998</v>
      </c>
      <c r="C91" s="80"/>
      <c r="D91" s="921">
        <f>I6</f>
        <v>1.0355000000000001</v>
      </c>
      <c r="E91" s="921"/>
      <c r="F91" s="921"/>
      <c r="G91" s="113">
        <f>Consolidated!F$119</f>
        <v>915.09</v>
      </c>
      <c r="H91" s="47" t="s">
        <v>68</v>
      </c>
      <c r="I91" s="4">
        <f>ROUND(B91*D91*G91,2)</f>
        <v>22888.6</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130">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24.154899999999998</v>
      </c>
      <c r="C93" s="80"/>
      <c r="D93" s="80"/>
      <c r="E93" s="999" t="s">
        <v>112</v>
      </c>
      <c r="F93" s="999"/>
      <c r="G93" s="999"/>
      <c r="H93" s="999"/>
      <c r="I93" s="999"/>
      <c r="J93" s="116">
        <f>IF(A1=75,0,I92+I91+I90)</f>
        <v>22888.6</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4</v>
      </c>
      <c r="D97" s="223">
        <v>9</v>
      </c>
      <c r="E97" s="915">
        <f>IF(D97&gt;0,(C97+D97)/2,C97)</f>
        <v>6.5</v>
      </c>
      <c r="F97" s="915"/>
      <c r="G97" s="915"/>
      <c r="H97" s="85" t="s">
        <v>117</v>
      </c>
      <c r="I97" s="119">
        <f>Consolidated!G$127</f>
        <v>578</v>
      </c>
      <c r="J97" s="127">
        <f>ROUND(I97*E97,2)</f>
        <v>3757</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c r="E98" s="1002">
        <f>(C98+D98)/2</f>
        <v>0</v>
      </c>
      <c r="F98" s="1002"/>
      <c r="G98" s="1002"/>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53.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8">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970" t="s">
        <v>125</v>
      </c>
      <c r="B107" s="970"/>
      <c r="C107" s="970"/>
      <c r="D107" s="970"/>
      <c r="E107" s="970"/>
      <c r="F107" s="970"/>
      <c r="G107" s="970"/>
      <c r="H107" s="970"/>
      <c r="I107" s="970"/>
      <c r="J107" s="95">
        <f>SUM(J106,J105,J98,J97,J93,J86,J85,J71,J70,J68,J33,J72,J50,J87,J84)</f>
        <v>225807.86000000002</v>
      </c>
      <c r="R107" s="969" t="s">
        <v>125</v>
      </c>
      <c r="S107" s="969"/>
      <c r="T107" s="969"/>
      <c r="U107" s="969"/>
      <c r="V107" s="969"/>
      <c r="W107" s="969"/>
      <c r="X107" s="969"/>
      <c r="Y107" s="208">
        <f>SUM(Y106,Y105,Y97,Y96,Y93,Y86,Y85,Y84,Y70,Y69,Y67,Y33,Y71,Y50,Y87,Y83)</f>
        <v>0</v>
      </c>
    </row>
    <row r="108" spans="1:25" ht="15.75" customHeight="1" thickTop="1" x14ac:dyDescent="0.25">
      <c r="A108" s="920"/>
      <c r="B108" s="920"/>
      <c r="C108" s="920"/>
      <c r="D108" s="920"/>
      <c r="E108" s="920"/>
      <c r="F108" s="920"/>
      <c r="G108" s="920"/>
      <c r="H108" s="920"/>
      <c r="I108" s="920"/>
      <c r="J108" s="920"/>
      <c r="R108" s="928"/>
      <c r="S108" s="928"/>
      <c r="T108" s="928"/>
      <c r="U108" s="928"/>
      <c r="V108" s="928"/>
      <c r="W108" s="928"/>
      <c r="X108" s="928"/>
      <c r="Y108" s="928"/>
    </row>
    <row r="109" spans="1:25" ht="17.25" customHeight="1" thickBot="1" x14ac:dyDescent="0.3">
      <c r="A109" s="952" t="s">
        <v>131</v>
      </c>
      <c r="B109" s="952"/>
      <c r="C109" s="952"/>
      <c r="D109" s="952"/>
      <c r="E109" s="952"/>
      <c r="F109" s="920"/>
      <c r="G109" s="920"/>
      <c r="H109" s="920"/>
      <c r="I109" s="2" t="s">
        <v>132</v>
      </c>
      <c r="J109" s="96">
        <f>J107-J38</f>
        <v>211036.76</v>
      </c>
      <c r="R109" s="159" t="s">
        <v>176</v>
      </c>
      <c r="S109" s="159"/>
      <c r="T109" s="159"/>
      <c r="U109" s="159"/>
      <c r="V109" s="159"/>
      <c r="W109" s="159"/>
      <c r="X109" s="159"/>
      <c r="Y109" s="209">
        <f>Y107-Y38</f>
        <v>0</v>
      </c>
    </row>
    <row r="110" spans="1:25" ht="18.75" customHeight="1" thickTop="1" x14ac:dyDescent="0.25">
      <c r="A110" s="952" t="s">
        <v>133</v>
      </c>
      <c r="B110" s="952"/>
      <c r="C110" s="952"/>
      <c r="D110" s="952"/>
      <c r="E110" s="952"/>
      <c r="F110" s="952"/>
      <c r="G110" s="952"/>
      <c r="H110" s="952"/>
      <c r="I110" s="42" t="s">
        <v>134</v>
      </c>
      <c r="J110" s="72"/>
      <c r="R110" s="1012" t="s">
        <v>136</v>
      </c>
      <c r="S110" s="1012"/>
      <c r="T110" s="1012"/>
      <c r="U110" s="1012"/>
      <c r="V110" s="1012"/>
      <c r="W110" s="1012"/>
      <c r="X110" s="1012"/>
      <c r="Y110" s="1012"/>
    </row>
    <row r="111" spans="1:25" ht="15.75" customHeight="1" x14ac:dyDescent="0.25">
      <c r="A111" s="953" t="s">
        <v>135</v>
      </c>
      <c r="B111" s="953"/>
      <c r="C111" s="953"/>
      <c r="D111" s="953"/>
      <c r="E111" s="953"/>
      <c r="F111" s="953"/>
      <c r="G111" s="953"/>
      <c r="H111" s="953"/>
      <c r="I111" s="97"/>
      <c r="J111" s="4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H113" s="51"/>
      <c r="I113" s="90"/>
      <c r="J113" s="72"/>
      <c r="R113" s="229"/>
      <c r="S113" s="229"/>
      <c r="T113" s="229"/>
      <c r="U113" s="229"/>
      <c r="V113" s="229"/>
      <c r="W113" s="229"/>
      <c r="X113" s="229"/>
      <c r="Y113" s="229"/>
    </row>
    <row r="114" spans="1:26" x14ac:dyDescent="0.25">
      <c r="A114" s="230" t="s">
        <v>180</v>
      </c>
      <c r="B114" s="231"/>
      <c r="C114" s="231"/>
      <c r="D114" s="231"/>
      <c r="E114" s="231"/>
      <c r="F114" s="231"/>
      <c r="G114" s="231"/>
      <c r="H114" s="658">
        <v>0</v>
      </c>
      <c r="I114" s="659">
        <f>IF(I111=1,J111,J109)</f>
        <v>211036.76</v>
      </c>
      <c r="J114" s="660">
        <f>ROUND(IF(E28=0,0,IF(E28&gt;250,-(((250/E28)*I114)*IF(H114="H",0.02,0.05)),IF(H114="H",-0.02*I114,-0.05*I114))),2)</f>
        <v>-10551.84</v>
      </c>
      <c r="M114" s="2"/>
      <c r="N114" s="3"/>
      <c r="R114" s="2"/>
      <c r="T114" s="4"/>
      <c r="W114" s="2"/>
      <c r="X114" s="5"/>
    </row>
    <row r="115" spans="1:26" ht="16.5" customHeight="1" x14ac:dyDescent="0.25">
      <c r="A115" s="231"/>
      <c r="B115" s="231"/>
      <c r="C115" s="231"/>
      <c r="D115" s="231"/>
      <c r="E115" s="231"/>
      <c r="F115" s="231"/>
      <c r="G115" s="231"/>
      <c r="H115" s="661"/>
      <c r="I115" s="662"/>
      <c r="J115" s="663"/>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664"/>
      <c r="I116" s="665"/>
      <c r="J116" s="666">
        <f>J107+J114</f>
        <v>215256.02000000002</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61"/>
      <c r="I117" s="662"/>
      <c r="J117" s="663"/>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1"/>
      <c r="F118" s="230"/>
      <c r="G118" s="231"/>
      <c r="H118" s="661"/>
      <c r="I118" s="662"/>
      <c r="J118" s="667">
        <f>-'Cumulative Payments'!R73</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61"/>
      <c r="I119" s="662"/>
      <c r="J119" s="663"/>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661"/>
      <c r="I120" s="662"/>
      <c r="J120" s="663">
        <f>J116+J118</f>
        <v>215256.02000000002</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61"/>
      <c r="I121" s="662"/>
      <c r="J121" s="663"/>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661"/>
      <c r="I122" s="662"/>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61"/>
      <c r="I123" s="662"/>
      <c r="J123" s="663"/>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661"/>
      <c r="I124" s="662"/>
      <c r="J124" s="669">
        <f>ROUND(J120/J122,2)</f>
        <v>17938</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61"/>
      <c r="I125" s="662"/>
      <c r="J125" s="663"/>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661"/>
      <c r="I126" s="662"/>
      <c r="J126" s="670">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62"/>
      <c r="I127" s="671"/>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0">
    <mergeCell ref="G53:H53"/>
    <mergeCell ref="G56:H56"/>
    <mergeCell ref="F59:H59"/>
    <mergeCell ref="F62:H62"/>
    <mergeCell ref="D65:H65"/>
    <mergeCell ref="B1:J1"/>
    <mergeCell ref="A3:J3"/>
    <mergeCell ref="A4:B4"/>
    <mergeCell ref="A5:J5"/>
    <mergeCell ref="A11:B11"/>
    <mergeCell ref="E11:F11"/>
    <mergeCell ref="G11:H11"/>
    <mergeCell ref="A12:B12"/>
    <mergeCell ref="E12:F12"/>
    <mergeCell ref="G12:H12"/>
    <mergeCell ref="A6:B6"/>
    <mergeCell ref="E6:F6"/>
    <mergeCell ref="G6:H6"/>
    <mergeCell ref="G9:H9"/>
    <mergeCell ref="A10:B10"/>
    <mergeCell ref="E10:F10"/>
    <mergeCell ref="G10:H10"/>
    <mergeCell ref="A15:B15"/>
    <mergeCell ref="E15:F15"/>
    <mergeCell ref="G15:H15"/>
    <mergeCell ref="A16:B16"/>
    <mergeCell ref="E16:F16"/>
    <mergeCell ref="G16:H16"/>
    <mergeCell ref="A13:B13"/>
    <mergeCell ref="E13:F13"/>
    <mergeCell ref="G13:H13"/>
    <mergeCell ref="A14:B14"/>
    <mergeCell ref="E14:F14"/>
    <mergeCell ref="G14:H14"/>
    <mergeCell ref="A19:B19"/>
    <mergeCell ref="E19:F19"/>
    <mergeCell ref="G19:H19"/>
    <mergeCell ref="A20:B20"/>
    <mergeCell ref="E20:F20"/>
    <mergeCell ref="G20:H20"/>
    <mergeCell ref="A17:B17"/>
    <mergeCell ref="E17:F17"/>
    <mergeCell ref="G17:H17"/>
    <mergeCell ref="A18:B18"/>
    <mergeCell ref="E18:F18"/>
    <mergeCell ref="G18:H18"/>
    <mergeCell ref="A23:B23"/>
    <mergeCell ref="E23:F23"/>
    <mergeCell ref="G23:H23"/>
    <mergeCell ref="A24:B24"/>
    <mergeCell ref="E24:F24"/>
    <mergeCell ref="G24:H24"/>
    <mergeCell ref="A21:B21"/>
    <mergeCell ref="E21:F21"/>
    <mergeCell ref="G21:H21"/>
    <mergeCell ref="A22:B22"/>
    <mergeCell ref="E22:F22"/>
    <mergeCell ref="G22:H22"/>
    <mergeCell ref="A27:B27"/>
    <mergeCell ref="E27:F27"/>
    <mergeCell ref="G27:H27"/>
    <mergeCell ref="A28:B28"/>
    <mergeCell ref="E28:F28"/>
    <mergeCell ref="G28:H28"/>
    <mergeCell ref="A25:B25"/>
    <mergeCell ref="E25:F25"/>
    <mergeCell ref="G25:H25"/>
    <mergeCell ref="A26:B26"/>
    <mergeCell ref="E26:F26"/>
    <mergeCell ref="G26:H26"/>
    <mergeCell ref="A33:F33"/>
    <mergeCell ref="H33:I33"/>
    <mergeCell ref="A35:F35"/>
    <mergeCell ref="A36:E36"/>
    <mergeCell ref="A37:E37"/>
    <mergeCell ref="A38:E38"/>
    <mergeCell ref="A29:I29"/>
    <mergeCell ref="A30:B30"/>
    <mergeCell ref="E30:I30"/>
    <mergeCell ref="A31:B31"/>
    <mergeCell ref="A32:F32"/>
    <mergeCell ref="H32:I32"/>
    <mergeCell ref="A40:B40"/>
    <mergeCell ref="E40:F40"/>
    <mergeCell ref="A41:B49"/>
    <mergeCell ref="E41:F41"/>
    <mergeCell ref="E42:F42"/>
    <mergeCell ref="E43:F43"/>
    <mergeCell ref="E44:F44"/>
    <mergeCell ref="E45:F45"/>
    <mergeCell ref="E46:F46"/>
    <mergeCell ref="E47:F47"/>
    <mergeCell ref="A53:B53"/>
    <mergeCell ref="I54:J54"/>
    <mergeCell ref="A55:J55"/>
    <mergeCell ref="A56:B56"/>
    <mergeCell ref="R111:Y111"/>
    <mergeCell ref="R112:Y112"/>
    <mergeCell ref="E48:F48"/>
    <mergeCell ref="E49:F49"/>
    <mergeCell ref="A50:B50"/>
    <mergeCell ref="E50:F50"/>
    <mergeCell ref="G50:I50"/>
    <mergeCell ref="A52:J52"/>
    <mergeCell ref="I57:J57"/>
    <mergeCell ref="A58:J58"/>
    <mergeCell ref="A59:B59"/>
    <mergeCell ref="I60:J60"/>
    <mergeCell ref="R107:X107"/>
    <mergeCell ref="R108:Y108"/>
    <mergeCell ref="R110:Y110"/>
    <mergeCell ref="A61:J61"/>
    <mergeCell ref="A62:B62"/>
    <mergeCell ref="I63:J63"/>
    <mergeCell ref="A64:J64"/>
    <mergeCell ref="R105:S105"/>
    <mergeCell ref="R106:T106"/>
    <mergeCell ref="V106:X106"/>
    <mergeCell ref="A65:B65"/>
    <mergeCell ref="I66:J66"/>
    <mergeCell ref="A68:E68"/>
    <mergeCell ref="A69:B69"/>
    <mergeCell ref="R104:S104"/>
    <mergeCell ref="T104:U104"/>
    <mergeCell ref="V104:W104"/>
    <mergeCell ref="A70:E70"/>
    <mergeCell ref="A71:E71"/>
    <mergeCell ref="A74:B74"/>
    <mergeCell ref="E74:I74"/>
    <mergeCell ref="A75:B75"/>
    <mergeCell ref="A76:B76"/>
    <mergeCell ref="R103:S103"/>
    <mergeCell ref="A101:B101"/>
    <mergeCell ref="G101:H101"/>
    <mergeCell ref="T103:U103"/>
    <mergeCell ref="V103:W103"/>
    <mergeCell ref="A77:B77"/>
    <mergeCell ref="A79:B79"/>
    <mergeCell ref="A80:B80"/>
    <mergeCell ref="A84:B84"/>
    <mergeCell ref="A85:E85"/>
    <mergeCell ref="A86:E86"/>
    <mergeCell ref="R102:S102"/>
    <mergeCell ref="T102:U102"/>
    <mergeCell ref="V102:W102"/>
    <mergeCell ref="A87:E87"/>
    <mergeCell ref="A88:J88"/>
    <mergeCell ref="R101:S101"/>
    <mergeCell ref="T101:U101"/>
    <mergeCell ref="V101:W101"/>
    <mergeCell ref="E93:I93"/>
    <mergeCell ref="A94:J94"/>
    <mergeCell ref="A95:E95"/>
    <mergeCell ref="G95:J95"/>
    <mergeCell ref="T90:U90"/>
    <mergeCell ref="T91:U91"/>
    <mergeCell ref="A97:B97"/>
    <mergeCell ref="E97:G97"/>
    <mergeCell ref="T97:V97"/>
    <mergeCell ref="R100:T100"/>
    <mergeCell ref="V100:Y100"/>
    <mergeCell ref="E98:G98"/>
    <mergeCell ref="A100:E100"/>
    <mergeCell ref="G100:J100"/>
    <mergeCell ref="R73:S73"/>
    <mergeCell ref="T73:X73"/>
    <mergeCell ref="R74:S74"/>
    <mergeCell ref="R75:S75"/>
    <mergeCell ref="R76:S76"/>
    <mergeCell ref="R78:S78"/>
    <mergeCell ref="R79:S79"/>
    <mergeCell ref="R83:S83"/>
    <mergeCell ref="A98:B98"/>
    <mergeCell ref="T92:U92"/>
    <mergeCell ref="T93:X93"/>
    <mergeCell ref="R94:Y94"/>
    <mergeCell ref="R95:T95"/>
    <mergeCell ref="V95:Y95"/>
    <mergeCell ref="R96:S96"/>
    <mergeCell ref="T96:V96"/>
    <mergeCell ref="R97:S97"/>
    <mergeCell ref="R84:T84"/>
    <mergeCell ref="R85:T85"/>
    <mergeCell ref="R86:T86"/>
    <mergeCell ref="R88:Y88"/>
    <mergeCell ref="R89:S89"/>
    <mergeCell ref="T89:U89"/>
    <mergeCell ref="V89:Y89"/>
    <mergeCell ref="R63:Y63"/>
    <mergeCell ref="R64:S64"/>
    <mergeCell ref="V64:W64"/>
    <mergeCell ref="X64:Y64"/>
    <mergeCell ref="X65:Y65"/>
    <mergeCell ref="R67:T67"/>
    <mergeCell ref="R68:S68"/>
    <mergeCell ref="R69:T69"/>
    <mergeCell ref="R70:T70"/>
    <mergeCell ref="V50:X50"/>
    <mergeCell ref="R51:Y51"/>
    <mergeCell ref="R52:S52"/>
    <mergeCell ref="X52:Y52"/>
    <mergeCell ref="X53:Y53"/>
    <mergeCell ref="R54:Y54"/>
    <mergeCell ref="R55:S55"/>
    <mergeCell ref="X55:Y55"/>
    <mergeCell ref="X56:Y56"/>
    <mergeCell ref="T47:U47"/>
    <mergeCell ref="T48:U48"/>
    <mergeCell ref="T49:U49"/>
    <mergeCell ref="R50:S50"/>
    <mergeCell ref="T50:U50"/>
    <mergeCell ref="A104:B104"/>
    <mergeCell ref="G104:H104"/>
    <mergeCell ref="A105:B105"/>
    <mergeCell ref="A106:E106"/>
    <mergeCell ref="G106:I106"/>
    <mergeCell ref="R57:Y57"/>
    <mergeCell ref="R58:S58"/>
    <mergeCell ref="V58:W58"/>
    <mergeCell ref="X58:Y58"/>
    <mergeCell ref="X59:Y59"/>
    <mergeCell ref="R60:Y60"/>
    <mergeCell ref="R61:S61"/>
    <mergeCell ref="V61:W61"/>
    <mergeCell ref="X61:Y61"/>
    <mergeCell ref="A102:B102"/>
    <mergeCell ref="G102:H102"/>
    <mergeCell ref="A103:B103"/>
    <mergeCell ref="G103:H103"/>
    <mergeCell ref="X62:Y62"/>
    <mergeCell ref="A131:J131"/>
    <mergeCell ref="A132:J132"/>
    <mergeCell ref="A133:J133"/>
    <mergeCell ref="V25:W25"/>
    <mergeCell ref="R26:S26"/>
    <mergeCell ref="T26:U26"/>
    <mergeCell ref="V26:W26"/>
    <mergeCell ref="R27:S27"/>
    <mergeCell ref="T27:U27"/>
    <mergeCell ref="V27:W27"/>
    <mergeCell ref="R28:S28"/>
    <mergeCell ref="T28:U28"/>
    <mergeCell ref="V28:W28"/>
    <mergeCell ref="R29:X29"/>
    <mergeCell ref="T30:X30"/>
    <mergeCell ref="R31:S31"/>
    <mergeCell ref="T31:X31"/>
    <mergeCell ref="R32:U32"/>
    <mergeCell ref="W32:X32"/>
    <mergeCell ref="R33:U33"/>
    <mergeCell ref="W33:X33"/>
    <mergeCell ref="A107:I107"/>
    <mergeCell ref="A108:J108"/>
    <mergeCell ref="A109:E109"/>
    <mergeCell ref="V23:W23"/>
    <mergeCell ref="R24:S24"/>
    <mergeCell ref="T24:U24"/>
    <mergeCell ref="V24:W24"/>
    <mergeCell ref="R25:S25"/>
    <mergeCell ref="T25:U25"/>
    <mergeCell ref="A128:J128"/>
    <mergeCell ref="A129:J129"/>
    <mergeCell ref="A130:J130"/>
    <mergeCell ref="F109:H109"/>
    <mergeCell ref="A110:H110"/>
    <mergeCell ref="A111:H111"/>
    <mergeCell ref="R35:U35"/>
    <mergeCell ref="R36:T36"/>
    <mergeCell ref="R37:T37"/>
    <mergeCell ref="R38:T38"/>
    <mergeCell ref="R40:S40"/>
    <mergeCell ref="T40:U40"/>
    <mergeCell ref="R41:S49"/>
    <mergeCell ref="T42:U42"/>
    <mergeCell ref="T43:U43"/>
    <mergeCell ref="T44:U44"/>
    <mergeCell ref="T45:U45"/>
    <mergeCell ref="T46:U46"/>
    <mergeCell ref="A144:J144"/>
    <mergeCell ref="A145:J145"/>
    <mergeCell ref="A146:J146"/>
    <mergeCell ref="V13:W13"/>
    <mergeCell ref="R14:S14"/>
    <mergeCell ref="T14:U14"/>
    <mergeCell ref="V14:W14"/>
    <mergeCell ref="R15:S15"/>
    <mergeCell ref="T15:U15"/>
    <mergeCell ref="V15:W15"/>
    <mergeCell ref="R16:S16"/>
    <mergeCell ref="T16:U16"/>
    <mergeCell ref="V16:W16"/>
    <mergeCell ref="R17:S17"/>
    <mergeCell ref="T17:U17"/>
    <mergeCell ref="V17:W17"/>
    <mergeCell ref="R18:S18"/>
    <mergeCell ref="T18:U18"/>
    <mergeCell ref="V18:W18"/>
    <mergeCell ref="R19:S19"/>
    <mergeCell ref="T19:U19"/>
    <mergeCell ref="A134:J134"/>
    <mergeCell ref="A135:J135"/>
    <mergeCell ref="A136:J136"/>
    <mergeCell ref="V11:W11"/>
    <mergeCell ref="R12:S12"/>
    <mergeCell ref="T12:U12"/>
    <mergeCell ref="V12:W12"/>
    <mergeCell ref="R13:S13"/>
    <mergeCell ref="T13:U13"/>
    <mergeCell ref="A141:J141"/>
    <mergeCell ref="A142:J142"/>
    <mergeCell ref="A143:J143"/>
    <mergeCell ref="A137:J137"/>
    <mergeCell ref="A139:J139"/>
    <mergeCell ref="A140:J140"/>
    <mergeCell ref="V19:W19"/>
    <mergeCell ref="R20:S20"/>
    <mergeCell ref="T20:U20"/>
    <mergeCell ref="V20:W20"/>
    <mergeCell ref="R21:S21"/>
    <mergeCell ref="T21:U21"/>
    <mergeCell ref="V21:W21"/>
    <mergeCell ref="R22:S22"/>
    <mergeCell ref="T22:U22"/>
    <mergeCell ref="V22:W22"/>
    <mergeCell ref="R23:S23"/>
    <mergeCell ref="T23:U23"/>
    <mergeCell ref="T41:U41"/>
    <mergeCell ref="D89:F89"/>
    <mergeCell ref="D90:F90"/>
    <mergeCell ref="D91:F91"/>
    <mergeCell ref="D92:F92"/>
    <mergeCell ref="D101:F101"/>
    <mergeCell ref="A147:J147"/>
    <mergeCell ref="E96:G96"/>
    <mergeCell ref="S1:Y1"/>
    <mergeCell ref="R2:Y2"/>
    <mergeCell ref="R3:Y3"/>
    <mergeCell ref="R4:S4"/>
    <mergeCell ref="T4:U4"/>
    <mergeCell ref="R5:Y5"/>
    <mergeCell ref="R6:S6"/>
    <mergeCell ref="T6:U6"/>
    <mergeCell ref="V6:W6"/>
    <mergeCell ref="X6:Y6"/>
    <mergeCell ref="V9:W9"/>
    <mergeCell ref="R10:S10"/>
    <mergeCell ref="T10:U10"/>
    <mergeCell ref="V10:W10"/>
    <mergeCell ref="R11:S11"/>
    <mergeCell ref="T11:U11"/>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31445-7265-4724-9D9A-DA2FA2660DCE}">
  <dimension ref="A1:Z207"/>
  <sheetViews>
    <sheetView topLeftCell="A36" workbookViewId="0">
      <selection activeCell="C42" sqref="C42"/>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610</v>
      </c>
      <c r="B2" s="101"/>
      <c r="C2" s="101"/>
      <c r="D2" s="101"/>
      <c r="E2" s="6"/>
      <c r="F2" s="6"/>
      <c r="G2" s="6"/>
      <c r="H2" s="6"/>
      <c r="I2" s="706" t="str">
        <f>RIGHT(A2,4)</f>
        <v>0571</v>
      </c>
      <c r="J2" s="6"/>
      <c r="K2" s="6"/>
      <c r="L2" s="6"/>
      <c r="M2" s="6"/>
      <c r="N2" s="6"/>
      <c r="O2" s="6"/>
      <c r="P2" s="6"/>
      <c r="Q2" s="6"/>
      <c r="R2" s="927" t="str">
        <f>Revenue_Estimate_Worksheet_for___________Charter_School</f>
        <v>Revenue Estimate Worksheet: Palmetto Park - 0571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H</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6">
        <f>SUMIFS('Surv2-3'!D:D,'Surv2-3'!$A:$A,$I$2,'Surv2-3'!$B:$B,$O12)</f>
        <v>0</v>
      </c>
      <c r="D12" s="736">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650">
        <f>SUMIFS('Surv2-3'!D:D,'Surv2-3'!$A:$A,$I$2,'Surv2-3'!$B:$B,$O13)</f>
        <v>0</v>
      </c>
      <c r="D13" s="650">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650">
        <f>SUMIFS('Surv2-3'!E:E,'Surv2-3'!$A:$A,$I$2,'Surv2-3'!$B:$B,$O14)</f>
        <v>2.9000000000000004</v>
      </c>
      <c r="D14" s="650">
        <f>SUMIFS('Surv2-3'!L:L,'Surv2-3'!$H:$H,$I$2,'Surv2-3'!$I:$I,$O14)</f>
        <v>2.56</v>
      </c>
      <c r="E14" s="1020">
        <f t="shared" si="0"/>
        <v>5.4600000000000009</v>
      </c>
      <c r="F14" s="1020"/>
      <c r="G14" s="1026">
        <f>Consolidated!$F16</f>
        <v>1</v>
      </c>
      <c r="H14" s="1026">
        <f>Consolidated!$H$9</f>
        <v>1</v>
      </c>
      <c r="I14" s="539">
        <f t="shared" si="3"/>
        <v>5.46</v>
      </c>
      <c r="J14" s="540">
        <f>ROUND(ROUND(ROUND(I14*$E$6,4)*($I$6),2)*(MAX($I$7,1)),2)</f>
        <v>30375.77</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650">
        <f>SUMIFS('Surv2-3'!E:E,'Surv2-3'!$A:$A,$I$2,'Surv2-3'!$B:$B,$O15)</f>
        <v>0.5</v>
      </c>
      <c r="D15" s="650">
        <f>SUMIFS('Surv2-3'!L:L,'Surv2-3'!$H:$H,$I$2,'Surv2-3'!$I:$I,$O15)</f>
        <v>0.48</v>
      </c>
      <c r="E15" s="1020">
        <f t="shared" si="0"/>
        <v>0.98</v>
      </c>
      <c r="F15" s="1020"/>
      <c r="G15" s="1026">
        <f>Consolidated!$F17</f>
        <v>1</v>
      </c>
      <c r="H15" s="1026">
        <f>Consolidated!$H$9</f>
        <v>1</v>
      </c>
      <c r="I15" s="539">
        <f t="shared" si="3"/>
        <v>0.98</v>
      </c>
      <c r="J15" s="540">
        <f t="shared" si="1"/>
        <v>5452.06</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650">
        <f>SUMIFS('Surv2-3'!F:F,'Surv2-3'!$A:$A,$I$2,'Surv2-3'!$B:$B,$O16)</f>
        <v>26.72</v>
      </c>
      <c r="D16" s="650">
        <f>SUMIFS('Surv2-3'!M:M,'Surv2-3'!$H:$H,$I$2,'Surv2-3'!$I:$I,$O16)</f>
        <v>54.84</v>
      </c>
      <c r="E16" s="1020">
        <f t="shared" si="0"/>
        <v>81.56</v>
      </c>
      <c r="F16" s="1020"/>
      <c r="G16" s="1026">
        <f>Consolidated!$F18</f>
        <v>0.97199999999999998</v>
      </c>
      <c r="H16" s="1026">
        <f>Consolidated!$H$9</f>
        <v>1</v>
      </c>
      <c r="I16" s="539">
        <f t="shared" si="3"/>
        <v>79.276300000000006</v>
      </c>
      <c r="J16" s="540">
        <f t="shared" si="1"/>
        <v>441040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650">
        <f>SUMIFS('Surv2-3'!F:F,'Surv2-3'!$A:$A,$I$2,'Surv2-3'!$B:$B,$O17)</f>
        <v>9.43</v>
      </c>
      <c r="D17" s="820">
        <f>SUMIFS('Surv2-3'!M:M,'Surv2-3'!$H:$H,$I$2,'Surv2-3'!$I:$I,$O17)</f>
        <v>20.599999999999998</v>
      </c>
      <c r="E17" s="1020">
        <f t="shared" si="0"/>
        <v>30.029999999999998</v>
      </c>
      <c r="F17" s="1020"/>
      <c r="G17" s="1026">
        <f>Consolidated!$F19</f>
        <v>0.97199999999999998</v>
      </c>
      <c r="H17" s="1026">
        <f>Consolidated!$H$9</f>
        <v>1</v>
      </c>
      <c r="I17" s="539">
        <f t="shared" si="3"/>
        <v>29.1892</v>
      </c>
      <c r="J17" s="540">
        <f t="shared" si="1"/>
        <v>162389.07</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650">
        <f>SUMIFS('Surv2-3'!D:D,'Surv2-3'!$A:$A,$I$2,'Surv2-3'!$B:$B,$O18)</f>
        <v>0</v>
      </c>
      <c r="D18" s="820">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650">
        <f>SUMIFS('Surv2-3'!E:E,'Surv2-3'!$A:$A,$I$2,'Surv2-3'!$B:$B,$O19)</f>
        <v>0</v>
      </c>
      <c r="D19" s="650">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650">
        <f>SUMIFS('Surv2-3'!F:F,'Surv2-3'!$A:$A,$I$2,'Surv2-3'!$B:$B,$O20)</f>
        <v>0</v>
      </c>
      <c r="D20" s="650">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650">
        <f>SUMIFS('Surv2-3'!D:D,'Surv2-3'!$A:$A,$I$2,'Surv2-3'!$B:$B,$O21)</f>
        <v>0</v>
      </c>
      <c r="D21" s="820">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650">
        <f>SUMIFS('Surv2-3'!E:E,'Surv2-3'!$A:$A,$I$2,'Surv2-3'!$B:$B,$O22)</f>
        <v>0</v>
      </c>
      <c r="D22" s="650">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650">
        <f>SUMIFS('Surv2-3'!F:F,'Surv2-3'!$A:$A,$I$2,'Surv2-3'!$B:$B,$O23)</f>
        <v>0</v>
      </c>
      <c r="D23" s="650">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650">
        <f>SUMIFS('Surv2-3'!D:D,'Surv2-3'!$A:$A,$I$2,'Surv2-3'!$B:$B,$O24)</f>
        <v>0</v>
      </c>
      <c r="D24" s="820">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650">
        <f>SUMIFS('Surv2-3'!E:E,'Surv2-3'!$A:$A,$I$2,'Surv2-3'!$B:$B,$O25)</f>
        <v>0.6</v>
      </c>
      <c r="D25" s="650">
        <f>SUMIFS('Surv2-3'!L:L,'Surv2-3'!$H:$H,$I$2,'Surv2-3'!$I:$I,$O25)</f>
        <v>0.4</v>
      </c>
      <c r="E25" s="1020">
        <f t="shared" si="0"/>
        <v>1</v>
      </c>
      <c r="F25" s="1020"/>
      <c r="G25" s="1026">
        <f>Consolidated!$F27</f>
        <v>1.165</v>
      </c>
      <c r="H25" s="1026">
        <f>Consolidated!$H$9</f>
        <v>1</v>
      </c>
      <c r="I25" s="539">
        <f t="shared" si="3"/>
        <v>1.165</v>
      </c>
      <c r="J25" s="540">
        <f t="shared" si="1"/>
        <v>6481.28</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650">
        <f>SUMIFS('Surv2-3'!F:F,'Surv2-3'!$A:$A,$I$2,'Surv2-3'!$B:$B,$O26)</f>
        <v>0.9</v>
      </c>
      <c r="D26" s="650">
        <f>SUMIFS('Surv2-3'!M:M,'Surv2-3'!$H:$H,$I$2,'Surv2-3'!$I:$I,$O26)</f>
        <v>4.8499999999999996</v>
      </c>
      <c r="E26" s="1020">
        <f t="shared" si="0"/>
        <v>5.75</v>
      </c>
      <c r="F26" s="1020"/>
      <c r="G26" s="1026">
        <f>Consolidated!$F28</f>
        <v>1.165</v>
      </c>
      <c r="H26" s="1026">
        <f>Consolidated!$H$9</f>
        <v>1</v>
      </c>
      <c r="I26" s="539">
        <f t="shared" si="3"/>
        <v>6.6988000000000003</v>
      </c>
      <c r="J26" s="540">
        <f t="shared" si="1"/>
        <v>37267.620000000003</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817">
        <f>SUMIFS('Surv2-3'!C:C,'Surv2-3'!$A:$A,$I$2,'Surv2-3'!$B:$B,$O27)</f>
        <v>0</v>
      </c>
      <c r="D27" s="817">
        <f>SUMIFS('Surv2-3'!J:J,'Surv2-3'!$H:$H,$I$2,'Surv2-3'!$I:$I,$O27)</f>
        <v>0.76</v>
      </c>
      <c r="E27" s="1022">
        <f t="shared" si="0"/>
        <v>0.76</v>
      </c>
      <c r="F27" s="1022"/>
      <c r="G27" s="1023">
        <f>Consolidated!$F29</f>
        <v>1.081</v>
      </c>
      <c r="H27" s="1023">
        <f>Consolidated!$H$9</f>
        <v>1</v>
      </c>
      <c r="I27" s="22">
        <f t="shared" si="3"/>
        <v>0.8216</v>
      </c>
      <c r="J27" s="116">
        <f t="shared" si="1"/>
        <v>4570.83</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651">
        <f>SUM(C12:C27)</f>
        <v>41.05</v>
      </c>
      <c r="D28" s="739">
        <f>SUM(D12:D27)</f>
        <v>84.490000000000009</v>
      </c>
      <c r="E28" s="1025">
        <f>SUM(E12:E27)</f>
        <v>125.54</v>
      </c>
      <c r="F28" s="1025"/>
      <c r="G28" s="1020"/>
      <c r="H28" s="1020"/>
      <c r="I28" s="23">
        <f>SUM(I12:I27)</f>
        <v>123.59090000000002</v>
      </c>
      <c r="J28" s="116">
        <f>SUM(J12:J27)</f>
        <v>687576.63</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123.59090000000002</v>
      </c>
      <c r="H33" s="1020" t="s">
        <v>45</v>
      </c>
      <c r="I33" s="1020"/>
      <c r="J33" s="32">
        <f>SUM(J32,J28)</f>
        <v>687576.63</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281971.68</v>
      </c>
      <c r="H36" s="37" t="s">
        <v>49</v>
      </c>
      <c r="I36" s="38">
        <v>6.6699999999999995E-2</v>
      </c>
      <c r="J36" s="120">
        <f>ROUND(G36*I36,2)</f>
        <v>18807.509999999998</v>
      </c>
      <c r="K36" s="39"/>
      <c r="L36" s="33"/>
      <c r="M36" s="33"/>
      <c r="N36" s="33"/>
      <c r="O36" s="31"/>
      <c r="P36" s="34"/>
      <c r="Q36" s="34"/>
      <c r="R36" s="946" t="s">
        <v>47</v>
      </c>
      <c r="S36" s="946"/>
      <c r="T36" s="946"/>
      <c r="U36" s="158"/>
      <c r="V36" s="161">
        <v>61196.59</v>
      </c>
      <c r="W36" s="162" t="s">
        <v>49</v>
      </c>
      <c r="X36" s="163">
        <v>6.6699999999999995E-2</v>
      </c>
      <c r="Y36" s="212">
        <f>ROUND(V36*X36,2)</f>
        <v>4081.81</v>
      </c>
    </row>
    <row r="37" spans="1:25" ht="20.25" customHeight="1" x14ac:dyDescent="0.25">
      <c r="A37" s="916" t="s">
        <v>50</v>
      </c>
      <c r="B37" s="916"/>
      <c r="C37" s="916"/>
      <c r="D37" s="916"/>
      <c r="E37" s="916"/>
      <c r="F37" s="36" t="s">
        <v>48</v>
      </c>
      <c r="G37" s="121">
        <v>281971.68</v>
      </c>
      <c r="H37" s="37" t="s">
        <v>49</v>
      </c>
      <c r="I37" s="38">
        <v>5.4000000000000003E-3</v>
      </c>
      <c r="J37" s="120">
        <f>ROUND(G37*I37,2)</f>
        <v>1522.65</v>
      </c>
      <c r="K37" s="39"/>
      <c r="L37" s="33"/>
      <c r="M37" s="33"/>
      <c r="N37" s="33"/>
      <c r="O37" s="31"/>
      <c r="P37" s="34"/>
      <c r="Q37" s="34"/>
      <c r="R37" s="946" t="s">
        <v>50</v>
      </c>
      <c r="S37" s="946"/>
      <c r="T37" s="946"/>
      <c r="U37" s="158"/>
      <c r="V37" s="161">
        <v>61196.59</v>
      </c>
      <c r="W37" s="162" t="s">
        <v>49</v>
      </c>
      <c r="X37" s="163">
        <v>5.4000000000000003E-3</v>
      </c>
      <c r="Y37" s="212">
        <f>ROUND(V37*X37,2)</f>
        <v>330.46</v>
      </c>
    </row>
    <row r="38" spans="1:25" ht="20.25" customHeight="1" x14ac:dyDescent="0.25">
      <c r="A38" s="952" t="s">
        <v>51</v>
      </c>
      <c r="B38" s="952"/>
      <c r="C38" s="952"/>
      <c r="D38" s="952"/>
      <c r="E38" s="952"/>
      <c r="F38" s="36" t="s">
        <v>52</v>
      </c>
      <c r="G38" s="40"/>
      <c r="H38" s="37"/>
      <c r="I38" s="41"/>
      <c r="J38" s="120">
        <f>SUM(J36:J37)</f>
        <v>20330.16</v>
      </c>
      <c r="K38" s="39"/>
      <c r="L38" s="33"/>
      <c r="M38" s="33"/>
      <c r="N38" s="33"/>
      <c r="O38" s="31"/>
      <c r="P38" s="34"/>
      <c r="Q38" s="34"/>
      <c r="R38" s="955" t="s">
        <v>51</v>
      </c>
      <c r="S38" s="955"/>
      <c r="T38" s="955"/>
      <c r="U38" s="158" t="s">
        <v>52</v>
      </c>
      <c r="V38" s="164"/>
      <c r="W38" s="162"/>
      <c r="X38" s="165"/>
      <c r="Y38" s="146">
        <f>Y36+Y37</f>
        <v>4412.2699999999995</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652"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823">
        <f>SUMIFS('Surv2-3'!D:D,'Surv2-3'!$A:$A,$I$2,'Surv2-3'!$B:$B,$H41-140)</f>
        <v>0</v>
      </c>
      <c r="D41" s="823">
        <f>SUMIFS('Surv2-3'!K:K,'Surv2-3'!$H:$H,$I$2,'Surv2-3'!$I:$I,$H41-140)</f>
        <v>0</v>
      </c>
      <c r="E41" s="1047">
        <f t="shared" ref="E41:E49" si="8">IF($D$50=0,C41*2,C41+D41)</f>
        <v>0</v>
      </c>
      <c r="F41" s="1047"/>
      <c r="G41" s="805" t="s">
        <v>59</v>
      </c>
      <c r="H41" s="805">
        <v>251</v>
      </c>
      <c r="I41" s="125">
        <f>Consolidated!$H59</f>
        <v>1047</v>
      </c>
      <c r="J41" s="46">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737">
        <f>SUMIFS('Surv2-3'!D:D,'Surv2-3'!$A:$A,$I$2,'Surv2-3'!$B:$B,$H42-140)</f>
        <v>0</v>
      </c>
      <c r="D42" s="737">
        <f>SUMIFS('Surv2-3'!K:K,'Surv2-3'!$H:$H,$I$2,'Surv2-3'!$I:$I,$H42-140)</f>
        <v>0</v>
      </c>
      <c r="E42" s="1013">
        <f t="shared" si="8"/>
        <v>0</v>
      </c>
      <c r="F42" s="1013"/>
      <c r="G42" s="805" t="s">
        <v>59</v>
      </c>
      <c r="H42" s="805">
        <v>252</v>
      </c>
      <c r="I42" s="125">
        <f>Consolidated!$H60</f>
        <v>3380</v>
      </c>
      <c r="J42" s="4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737">
        <f>SUMIFS('Surv2-3'!D:D,'Surv2-3'!$A:$A,$I$2,'Surv2-3'!$B:$B,$H43-140)</f>
        <v>0</v>
      </c>
      <c r="D43" s="737">
        <f>SUMIFS('Surv2-3'!K:K,'Surv2-3'!$H:$H,$I$2,'Surv2-3'!$I:$I,$H43-140)</f>
        <v>0</v>
      </c>
      <c r="E43" s="1013">
        <f t="shared" si="8"/>
        <v>0</v>
      </c>
      <c r="F43" s="1013"/>
      <c r="G43" s="37" t="s">
        <v>59</v>
      </c>
      <c r="H43" s="37">
        <v>253</v>
      </c>
      <c r="I43" s="125">
        <f>Consolidated!$H61</f>
        <v>6896</v>
      </c>
      <c r="J43" s="46">
        <f t="shared" si="9"/>
        <v>0</v>
      </c>
      <c r="M43" s="2"/>
      <c r="R43" s="958"/>
      <c r="S43" s="958"/>
      <c r="T43" s="960"/>
      <c r="U43" s="960"/>
      <c r="V43" s="162" t="s">
        <v>59</v>
      </c>
      <c r="W43" s="162">
        <v>253</v>
      </c>
      <c r="X43" s="123">
        <f>Consolidated!$H61</f>
        <v>6896</v>
      </c>
      <c r="Y43" s="213">
        <f t="shared" si="10"/>
        <v>0</v>
      </c>
    </row>
    <row r="44" spans="1:25" ht="20.25" customHeight="1" x14ac:dyDescent="0.25">
      <c r="A44" s="1019"/>
      <c r="B44" s="1019"/>
      <c r="C44" s="737">
        <f>SUMIFS('Surv2-3'!E:E,'Surv2-3'!$A:$A,$I$2,'Surv2-3'!$B:$B,$H44-140)</f>
        <v>0</v>
      </c>
      <c r="D44" s="737">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737">
        <f>SUMIFS('Surv2-3'!E:E,'Surv2-3'!$A:$A,$I$2,'Surv2-3'!$B:$B,$H45-140)</f>
        <v>0.5</v>
      </c>
      <c r="D45" s="737">
        <f>SUMIFS('Surv2-3'!L:L,'Surv2-3'!$H:$H,$I$2,'Surv2-3'!$I:$I,$H45-140)</f>
        <v>0.48</v>
      </c>
      <c r="E45" s="1013">
        <f t="shared" si="8"/>
        <v>0.98</v>
      </c>
      <c r="F45" s="1013"/>
      <c r="G45" s="47" t="s">
        <v>60</v>
      </c>
      <c r="H45" s="37">
        <v>252</v>
      </c>
      <c r="I45" s="125">
        <f>Consolidated!$H63</f>
        <v>3506</v>
      </c>
      <c r="J45" s="46">
        <f t="shared" si="9"/>
        <v>3435.88</v>
      </c>
      <c r="M45" s="2"/>
      <c r="R45" s="958"/>
      <c r="S45" s="958"/>
      <c r="T45" s="960"/>
      <c r="U45" s="960"/>
      <c r="V45" s="171" t="s">
        <v>60</v>
      </c>
      <c r="W45" s="162">
        <v>252</v>
      </c>
      <c r="X45" s="123">
        <f>Consolidated!$H63</f>
        <v>3506</v>
      </c>
      <c r="Y45" s="213">
        <f t="shared" si="10"/>
        <v>0</v>
      </c>
    </row>
    <row r="46" spans="1:25" x14ac:dyDescent="0.25">
      <c r="A46" s="1019"/>
      <c r="B46" s="1019"/>
      <c r="C46" s="737">
        <f>SUMIFS('Surv2-3'!E:E,'Surv2-3'!$A:$A,$I$2,'Surv2-3'!$B:$B,$H46-140)</f>
        <v>0</v>
      </c>
      <c r="D46" s="737">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737">
        <f>SUMIFS('Surv2-3'!F:F,'Surv2-3'!$A:$A,$I$2,'Surv2-3'!$B:$B,$H47-140)</f>
        <v>0</v>
      </c>
      <c r="D47" s="737">
        <f>SUMIFS('Surv2-3'!M:M,'Surv2-3'!$H:$H,$I$2,'Surv2-3'!$I:$I,$H47-140)</f>
        <v>0</v>
      </c>
      <c r="E47" s="1013">
        <f t="shared" si="8"/>
        <v>0</v>
      </c>
      <c r="F47" s="1013"/>
      <c r="G47" s="47" t="s">
        <v>61</v>
      </c>
      <c r="H47" s="37">
        <v>251</v>
      </c>
      <c r="I47" s="125">
        <f>Consolidated!$H65</f>
        <v>835</v>
      </c>
      <c r="J47" s="4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737">
        <f>SUMIFS('Surv2-3'!F:F,'Surv2-3'!$A:$A,$I$2,'Surv2-3'!$B:$B,$H48-140)</f>
        <v>0</v>
      </c>
      <c r="D48" s="737">
        <f>SUMIFS('Surv2-3'!M:M,'Surv2-3'!$H:$H,$I$2,'Surv2-3'!$I:$I,$H48-140)</f>
        <v>0</v>
      </c>
      <c r="E48" s="1013">
        <f t="shared" si="8"/>
        <v>0</v>
      </c>
      <c r="F48" s="1013"/>
      <c r="G48" s="47" t="s">
        <v>61</v>
      </c>
      <c r="H48" s="37">
        <v>252</v>
      </c>
      <c r="I48" s="125">
        <f>Consolidated!$H66</f>
        <v>3168</v>
      </c>
      <c r="J48" s="4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737">
        <f>SUMIFS('Surv2-3'!F:F,'Surv2-3'!$A:$A,$I$2,'Surv2-3'!$B:$B,$H49-140)</f>
        <v>9.43</v>
      </c>
      <c r="D49" s="737">
        <f>SUMIFS('Surv2-3'!M:M,'Surv2-3'!$H:$H,$I$2,'Surv2-3'!$I:$I,$H49-140)</f>
        <v>20.599999999999998</v>
      </c>
      <c r="E49" s="1014">
        <f t="shared" si="8"/>
        <v>30.029999999999998</v>
      </c>
      <c r="F49" s="1014"/>
      <c r="G49" s="47" t="s">
        <v>61</v>
      </c>
      <c r="H49" s="37">
        <v>253</v>
      </c>
      <c r="I49" s="125">
        <f>Consolidated!$H67</f>
        <v>6685</v>
      </c>
      <c r="J49" s="46">
        <f t="shared" si="9"/>
        <v>200750.55</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9.93</v>
      </c>
      <c r="D50" s="825">
        <f>SUM(D41:D49)</f>
        <v>21.08</v>
      </c>
      <c r="E50" s="1015">
        <f>SUM(E41:E49)</f>
        <v>31.009999999999998</v>
      </c>
      <c r="F50" s="1015"/>
      <c r="G50" s="970" t="s">
        <v>63</v>
      </c>
      <c r="H50" s="970"/>
      <c r="I50" s="970"/>
      <c r="J50" s="220">
        <f>SUM(J41:J49)</f>
        <v>204186.43</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48">
        <f>E28</f>
        <v>125.54</v>
      </c>
      <c r="D53" s="49" t="s">
        <v>66</v>
      </c>
      <c r="G53" s="3"/>
      <c r="H53" s="50" t="s">
        <v>67</v>
      </c>
      <c r="I53" s="654">
        <f>Consolidated!H$71</f>
        <v>207716.69</v>
      </c>
      <c r="J53" s="653"/>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IFERROR(ROUND(C53/I53,6),0)</f>
        <v>6.0400000000000004E-4</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C56</f>
        <v>123.59090000000002</v>
      </c>
      <c r="U55" s="173" t="s">
        <v>66</v>
      </c>
      <c r="V55" s="174"/>
      <c r="W55" s="175" t="s">
        <v>71</v>
      </c>
      <c r="X55" s="977">
        <f>I56</f>
        <v>221131.37000000002</v>
      </c>
      <c r="Y55" s="977"/>
    </row>
    <row r="56" spans="1:25" ht="16.5" customHeight="1" x14ac:dyDescent="0.25">
      <c r="A56" s="953" t="s">
        <v>70</v>
      </c>
      <c r="B56" s="953"/>
      <c r="C56" s="48">
        <f>G33</f>
        <v>123.59090000000002</v>
      </c>
      <c r="D56" s="49" t="s">
        <v>66</v>
      </c>
      <c r="G56" s="3"/>
      <c r="H56" s="50" t="s">
        <v>71</v>
      </c>
      <c r="I56" s="654">
        <f>Consolidated!H$74</f>
        <v>221131.37000000002</v>
      </c>
      <c r="J56" s="653"/>
      <c r="M56" s="2"/>
      <c r="R56" s="176"/>
      <c r="S56" s="159"/>
      <c r="T56" s="159"/>
      <c r="U56" s="159"/>
      <c r="V56" s="159"/>
      <c r="W56" s="178" t="s">
        <v>68</v>
      </c>
      <c r="X56" s="978">
        <f>ROUND(T55/X55,6)</f>
        <v>5.5900000000000004E-4</v>
      </c>
      <c r="Y56" s="978"/>
    </row>
    <row r="57" spans="1:25" ht="18.75" customHeight="1" x14ac:dyDescent="0.25">
      <c r="A57" s="51"/>
      <c r="H57" s="53" t="s">
        <v>68</v>
      </c>
      <c r="I57" s="1004">
        <f>IFERROR(ROUND(C56/I56,6),0)</f>
        <v>5.5900000000000004E-4</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48">
        <f>E28</f>
        <v>125.54</v>
      </c>
      <c r="D59" s="49" t="s">
        <v>66</v>
      </c>
      <c r="F59" s="1027" t="s">
        <v>74</v>
      </c>
      <c r="G59" s="1027"/>
      <c r="H59" s="1027"/>
      <c r="I59" s="654">
        <f>Consolidated!H$77</f>
        <v>178668.19</v>
      </c>
      <c r="J59" s="653"/>
      <c r="M59" s="2"/>
      <c r="R59" s="176"/>
      <c r="S59" s="159"/>
      <c r="T59" s="159"/>
      <c r="U59" s="159"/>
      <c r="V59" s="159"/>
      <c r="W59" s="178" t="s">
        <v>68</v>
      </c>
      <c r="X59" s="978">
        <f>ROUND(T58/X58,6)</f>
        <v>0</v>
      </c>
      <c r="Y59" s="978"/>
    </row>
    <row r="60" spans="1:25" ht="18" customHeight="1" x14ac:dyDescent="0.25">
      <c r="A60" s="51"/>
      <c r="H60" s="53" t="s">
        <v>68</v>
      </c>
      <c r="I60" s="1004">
        <f>IFERROR(ROUND(C59/I59,6),0)</f>
        <v>7.0299999999999996E-4</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23.25" customHeight="1" x14ac:dyDescent="0.25">
      <c r="A62" s="953" t="s">
        <v>73</v>
      </c>
      <c r="B62" s="953"/>
      <c r="C62" s="48">
        <f>E28</f>
        <v>125.54</v>
      </c>
      <c r="D62" s="49" t="s">
        <v>66</v>
      </c>
      <c r="F62" s="1027" t="s">
        <v>76</v>
      </c>
      <c r="G62" s="1027"/>
      <c r="H62" s="1027"/>
      <c r="I62" s="654">
        <f>Consolidated!H$80</f>
        <v>207376.94</v>
      </c>
      <c r="J62" s="653"/>
      <c r="M62" s="2"/>
      <c r="R62" s="176"/>
      <c r="S62" s="159"/>
      <c r="T62" s="159"/>
      <c r="U62" s="159"/>
      <c r="V62" s="159"/>
      <c r="W62" s="178" t="s">
        <v>68</v>
      </c>
      <c r="X62" s="978">
        <f>ROUND(T61/X61,6)</f>
        <v>0</v>
      </c>
      <c r="Y62" s="978"/>
    </row>
    <row r="63" spans="1:25" ht="19.5" customHeight="1" x14ac:dyDescent="0.25">
      <c r="A63" s="51"/>
      <c r="H63" s="53" t="s">
        <v>68</v>
      </c>
      <c r="I63" s="1004">
        <f>IFERROR(ROUND(C62/I62,6),0)</f>
        <v>6.0499999999999996E-4</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22.5" customHeight="1" x14ac:dyDescent="0.25">
      <c r="A65" s="953" t="s">
        <v>73</v>
      </c>
      <c r="B65" s="953"/>
      <c r="C65" s="48">
        <f>E28</f>
        <v>125.54</v>
      </c>
      <c r="D65" s="1046" t="s">
        <v>607</v>
      </c>
      <c r="E65" s="1046"/>
      <c r="F65" s="1046"/>
      <c r="G65" s="1046"/>
      <c r="H65" s="1046"/>
      <c r="I65" s="654">
        <f>Consolidated!H$83</f>
        <v>178328.44</v>
      </c>
      <c r="J65" s="653"/>
      <c r="M65" s="2"/>
      <c r="R65" s="179"/>
      <c r="S65" s="159"/>
      <c r="T65" s="159"/>
      <c r="U65" s="159"/>
      <c r="V65" s="159"/>
      <c r="W65" s="178" t="s">
        <v>68</v>
      </c>
      <c r="X65" s="978">
        <f>ROUND(T64/X64,6)</f>
        <v>0</v>
      </c>
      <c r="Y65" s="978"/>
    </row>
    <row r="66" spans="1:26" ht="19.5" customHeight="1" x14ac:dyDescent="0.25">
      <c r="A66" s="51"/>
      <c r="H66" s="53" t="s">
        <v>68</v>
      </c>
      <c r="I66" s="1004">
        <f>IFERROR(ROUND(C65/I65,6),0)</f>
        <v>7.0399999999999998E-4</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6.0499999999999996E-4</v>
      </c>
      <c r="J68" s="127">
        <f>ROUND(G68*I68,2)</f>
        <v>27594.34</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6.0400000000000004E-4</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7.0399999999999998E-4</v>
      </c>
      <c r="J71" s="127">
        <f>ROUND(G71*I71,2)</f>
        <v>13347.77</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7.0299999999999996E-4</v>
      </c>
      <c r="J72" s="127">
        <f>ROUND(G72*I72,2)</f>
        <v>7949.8</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5.5900000000000004E-4</v>
      </c>
      <c r="J85" s="127">
        <f>ROUND(G85*I85,2)</f>
        <v>150268.29999999999</v>
      </c>
      <c r="K85" s="70"/>
      <c r="L85" s="70"/>
      <c r="M85" s="71"/>
      <c r="N85" s="70"/>
      <c r="O85" s="70"/>
      <c r="P85" s="70"/>
      <c r="Q85" s="70"/>
      <c r="R85" s="955" t="s">
        <v>168</v>
      </c>
      <c r="S85" s="955"/>
      <c r="T85" s="955"/>
      <c r="U85" s="158"/>
      <c r="V85" s="160">
        <f>G85</f>
        <v>268816278</v>
      </c>
      <c r="W85" s="162" t="s">
        <v>81</v>
      </c>
      <c r="X85" s="165">
        <f>X56</f>
        <v>5.5900000000000004E-4</v>
      </c>
      <c r="Y85" s="212">
        <f t="shared" ref="Y85:Y87" si="12">ROUND(V85*X85,2)</f>
        <v>150268.29999999999</v>
      </c>
    </row>
    <row r="86" spans="1:26" ht="14.25" customHeight="1" x14ac:dyDescent="0.25">
      <c r="A86" s="952" t="s">
        <v>104</v>
      </c>
      <c r="B86" s="952"/>
      <c r="C86" s="952"/>
      <c r="D86" s="952"/>
      <c r="E86" s="952"/>
      <c r="F86" s="36" t="s">
        <v>103</v>
      </c>
      <c r="G86" s="128">
        <v>0</v>
      </c>
      <c r="H86" s="37" t="s">
        <v>81</v>
      </c>
      <c r="I86" s="41">
        <f>I57</f>
        <v>5.5900000000000004E-4</v>
      </c>
      <c r="J86" s="127">
        <f>ROUND(G86*I86,2)</f>
        <v>0</v>
      </c>
      <c r="K86" s="70"/>
      <c r="L86" s="71"/>
      <c r="M86" s="76"/>
      <c r="N86" s="76"/>
      <c r="O86" s="76"/>
      <c r="P86" s="76"/>
      <c r="Q86" s="70"/>
      <c r="R86" s="955" t="s">
        <v>169</v>
      </c>
      <c r="S86" s="955"/>
      <c r="T86" s="955"/>
      <c r="U86" s="158"/>
      <c r="V86" s="192">
        <f>G86</f>
        <v>0</v>
      </c>
      <c r="W86" s="162" t="s">
        <v>81</v>
      </c>
      <c r="X86" s="165">
        <f>X56</f>
        <v>5.5900000000000004E-4</v>
      </c>
      <c r="Y86" s="212">
        <f t="shared" si="12"/>
        <v>0</v>
      </c>
    </row>
    <row r="87" spans="1:26" ht="18" customHeight="1" x14ac:dyDescent="0.25">
      <c r="A87" s="952" t="s">
        <v>105</v>
      </c>
      <c r="B87" s="952"/>
      <c r="C87" s="952"/>
      <c r="D87" s="952"/>
      <c r="E87" s="952"/>
      <c r="F87" s="36" t="s">
        <v>84</v>
      </c>
      <c r="G87" s="128">
        <v>0</v>
      </c>
      <c r="H87" s="37" t="s">
        <v>81</v>
      </c>
      <c r="I87" s="41">
        <f>I54</f>
        <v>6.0400000000000004E-4</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657">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7.6049999999999995</v>
      </c>
      <c r="C91" s="80"/>
      <c r="D91" s="921">
        <f>I6</f>
        <v>1.0355000000000001</v>
      </c>
      <c r="E91" s="921"/>
      <c r="F91" s="921"/>
      <c r="G91" s="113">
        <f>Consolidated!F$119</f>
        <v>915.09</v>
      </c>
      <c r="H91" s="47" t="s">
        <v>68</v>
      </c>
      <c r="I91" s="4">
        <f>ROUND(B91*D91*G91,2)</f>
        <v>7206.31</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115.98590000000002</v>
      </c>
      <c r="C92" s="80"/>
      <c r="D92" s="921">
        <f>I6</f>
        <v>1.0355000000000001</v>
      </c>
      <c r="E92" s="921"/>
      <c r="F92" s="921"/>
      <c r="G92" s="113">
        <f>Consolidated!F$120</f>
        <v>917.3</v>
      </c>
      <c r="H92" s="47" t="s">
        <v>68</v>
      </c>
      <c r="I92" s="537">
        <f>ROUND(B92*D92*G92,2)</f>
        <v>110170.85</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123.59090000000002</v>
      </c>
      <c r="C93" s="80"/>
      <c r="D93" s="80"/>
      <c r="E93" s="999" t="s">
        <v>112</v>
      </c>
      <c r="F93" s="999"/>
      <c r="G93" s="999"/>
      <c r="H93" s="999"/>
      <c r="I93" s="999"/>
      <c r="J93" s="116">
        <f>IF(A1=75,0,I92+I91+I90)</f>
        <v>117377.16</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20</v>
      </c>
      <c r="D97" s="223">
        <v>40</v>
      </c>
      <c r="E97" s="1044">
        <f>IF(D97&gt;0,(C97+D97)/2,C97)</f>
        <v>30</v>
      </c>
      <c r="F97" s="922"/>
      <c r="G97" s="922"/>
      <c r="H97" s="85" t="s">
        <v>117</v>
      </c>
      <c r="I97" s="119">
        <f>Consolidated!G$127</f>
        <v>578</v>
      </c>
      <c r="J97" s="127">
        <f>ROUND(I97*E97,2)</f>
        <v>17340</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c r="E98" s="1002">
        <f>(C98+D98)/2</f>
        <v>0</v>
      </c>
      <c r="F98" s="1002"/>
      <c r="G98" s="1002"/>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8"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970" t="s">
        <v>125</v>
      </c>
      <c r="B107" s="970"/>
      <c r="C107" s="970"/>
      <c r="D107" s="970"/>
      <c r="E107" s="970"/>
      <c r="F107" s="970"/>
      <c r="G107" s="970"/>
      <c r="H107" s="970"/>
      <c r="I107" s="970"/>
      <c r="J107" s="541">
        <f>SUM(J106,J105,J98,J97,J93,J86,J85,J71,J70,J68,J33,J72,J50,J87,J84)</f>
        <v>1225640.43</v>
      </c>
      <c r="R107" s="955" t="s">
        <v>125</v>
      </c>
      <c r="S107" s="955"/>
      <c r="T107" s="955"/>
      <c r="U107" s="955"/>
      <c r="V107" s="955"/>
      <c r="W107" s="955"/>
      <c r="X107" s="955"/>
      <c r="Y107" s="672">
        <f>SUM(Y106,Y105,Y97,Y96,Y93,Y86,Y85,Y84,Y70,Y69,Y67,Y33,Y71,Y50,Y87,Y83)</f>
        <v>150268.29999999999</v>
      </c>
    </row>
    <row r="108" spans="1:25" ht="15.75" customHeight="1" thickTop="1" x14ac:dyDescent="0.25">
      <c r="A108" s="920"/>
      <c r="B108" s="920"/>
      <c r="C108" s="920"/>
      <c r="D108" s="920"/>
      <c r="E108" s="920"/>
      <c r="F108" s="920"/>
      <c r="G108" s="920"/>
      <c r="H108" s="920"/>
      <c r="I108" s="920"/>
      <c r="J108" s="920"/>
      <c r="R108" s="928"/>
      <c r="S108" s="928"/>
      <c r="T108" s="928"/>
      <c r="U108" s="928"/>
      <c r="V108" s="928"/>
      <c r="W108" s="928"/>
      <c r="X108" s="928"/>
      <c r="Y108" s="928"/>
    </row>
    <row r="109" spans="1:25" ht="17.25" customHeight="1" thickBot="1" x14ac:dyDescent="0.3">
      <c r="A109" s="952" t="s">
        <v>131</v>
      </c>
      <c r="B109" s="952"/>
      <c r="C109" s="952"/>
      <c r="D109" s="952"/>
      <c r="E109" s="952"/>
      <c r="F109" s="920"/>
      <c r="G109" s="920"/>
      <c r="H109" s="920"/>
      <c r="I109" s="2" t="s">
        <v>132</v>
      </c>
      <c r="J109" s="543">
        <f>J107-J38</f>
        <v>1205310.27</v>
      </c>
      <c r="R109" s="159" t="s">
        <v>176</v>
      </c>
      <c r="S109" s="159"/>
      <c r="T109" s="159"/>
      <c r="U109" s="159"/>
      <c r="V109" s="159"/>
      <c r="W109" s="159"/>
      <c r="X109" s="159"/>
      <c r="Y109" s="673">
        <f>Y107-Y38</f>
        <v>145856.03</v>
      </c>
    </row>
    <row r="110" spans="1:25" ht="18.75" customHeight="1" thickTop="1" x14ac:dyDescent="0.25">
      <c r="A110" s="952" t="s">
        <v>133</v>
      </c>
      <c r="B110" s="952"/>
      <c r="C110" s="952"/>
      <c r="D110" s="952"/>
      <c r="E110" s="952"/>
      <c r="F110" s="952"/>
      <c r="G110" s="952"/>
      <c r="H110" s="952"/>
      <c r="I110" s="42" t="s">
        <v>134</v>
      </c>
      <c r="J110" s="72"/>
      <c r="R110" s="1012" t="s">
        <v>136</v>
      </c>
      <c r="S110" s="1012"/>
      <c r="T110" s="1012"/>
      <c r="U110" s="1012"/>
      <c r="V110" s="1012"/>
      <c r="W110" s="1012"/>
      <c r="X110" s="1012"/>
      <c r="Y110" s="1012"/>
    </row>
    <row r="111" spans="1:25" ht="15.75" customHeight="1" x14ac:dyDescent="0.25">
      <c r="A111" s="953" t="s">
        <v>135</v>
      </c>
      <c r="B111" s="953"/>
      <c r="C111" s="953"/>
      <c r="D111" s="953"/>
      <c r="E111" s="953"/>
      <c r="F111" s="953"/>
      <c r="G111" s="953"/>
      <c r="H111" s="953"/>
      <c r="I111" s="224"/>
      <c r="J111" s="126">
        <f>Y109</f>
        <v>145856.03</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H113" s="51"/>
      <c r="I113" s="90"/>
      <c r="J113" s="72"/>
      <c r="R113" s="229"/>
      <c r="S113" s="229"/>
      <c r="T113" s="229"/>
      <c r="U113" s="229"/>
      <c r="V113" s="229"/>
      <c r="W113" s="229"/>
      <c r="X113" s="229"/>
      <c r="Y113" s="229"/>
    </row>
    <row r="114" spans="1:26" x14ac:dyDescent="0.25">
      <c r="A114" s="230" t="s">
        <v>180</v>
      </c>
      <c r="B114" s="231"/>
      <c r="C114" s="231"/>
      <c r="D114" s="231"/>
      <c r="E114" s="231"/>
      <c r="F114" s="231"/>
      <c r="G114" s="231"/>
      <c r="H114" s="658">
        <v>0</v>
      </c>
      <c r="I114" s="659">
        <f>IF(I111=1,J111,J109)</f>
        <v>1205310.27</v>
      </c>
      <c r="J114" s="660">
        <f>ROUND(IF(E28=0,0,IF(E28&gt;250,-(((250/E28)*I114)*IF(H114="H",0.02,0.05)),IF(H114="H",-0.02*I114,-0.05*I114))),2)</f>
        <v>-60265.51</v>
      </c>
      <c r="M114" s="2"/>
      <c r="N114" s="3"/>
      <c r="R114" s="2"/>
      <c r="T114" s="4"/>
      <c r="W114" s="2"/>
      <c r="X114" s="5"/>
    </row>
    <row r="115" spans="1:26" ht="16.5" customHeight="1" x14ac:dyDescent="0.25">
      <c r="A115" s="231"/>
      <c r="B115" s="231"/>
      <c r="C115" s="231"/>
      <c r="D115" s="231"/>
      <c r="E115" s="231"/>
      <c r="F115" s="231"/>
      <c r="G115" s="231"/>
      <c r="H115" s="661"/>
      <c r="I115" s="662"/>
      <c r="J115" s="663"/>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664"/>
      <c r="I116" s="665"/>
      <c r="J116" s="666">
        <f>J107+J114</f>
        <v>1165374.92</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61"/>
      <c r="I117" s="662"/>
      <c r="J117" s="663"/>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1"/>
      <c r="F118" s="230"/>
      <c r="G118" s="231"/>
      <c r="H118" s="661"/>
      <c r="I118" s="662"/>
      <c r="J118" s="667">
        <f>-'Cumulative Payments'!Q74</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61"/>
      <c r="I119" s="662"/>
      <c r="J119" s="663"/>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661"/>
      <c r="I120" s="662"/>
      <c r="J120" s="663">
        <f>J116+J118</f>
        <v>1165374.92</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61"/>
      <c r="I121" s="662"/>
      <c r="J121" s="663"/>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661"/>
      <c r="I122" s="662"/>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61"/>
      <c r="I123" s="662"/>
      <c r="J123" s="663"/>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661"/>
      <c r="I124" s="662"/>
      <c r="J124" s="669">
        <f>ROUND(J120/J122,2)</f>
        <v>97114.58</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61"/>
      <c r="I125" s="662"/>
      <c r="J125" s="663"/>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661"/>
      <c r="I126" s="662"/>
      <c r="J126" s="670">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62"/>
      <c r="I127" s="671"/>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X56:Y56"/>
    <mergeCell ref="A59:B59"/>
    <mergeCell ref="F59:H59"/>
    <mergeCell ref="X59:Y59"/>
    <mergeCell ref="I60:J60"/>
    <mergeCell ref="R60:Y60"/>
    <mergeCell ref="A61:J61"/>
    <mergeCell ref="R61:S61"/>
    <mergeCell ref="V61:W61"/>
    <mergeCell ref="X61:Y61"/>
    <mergeCell ref="A65:B65"/>
    <mergeCell ref="D65:H65"/>
    <mergeCell ref="X65:Y65"/>
    <mergeCell ref="I66:J66"/>
    <mergeCell ref="R67:T67"/>
    <mergeCell ref="A68:E68"/>
    <mergeCell ref="R68:S68"/>
    <mergeCell ref="A62:B62"/>
    <mergeCell ref="F62:H62"/>
    <mergeCell ref="X62:Y62"/>
    <mergeCell ref="I63:J63"/>
    <mergeCell ref="R63:Y63"/>
    <mergeCell ref="A64:J64"/>
    <mergeCell ref="R64:S64"/>
    <mergeCell ref="V64:W64"/>
    <mergeCell ref="X64:Y64"/>
    <mergeCell ref="A74:B74"/>
    <mergeCell ref="E74:I74"/>
    <mergeCell ref="R74:S74"/>
    <mergeCell ref="A75:B75"/>
    <mergeCell ref="R75:S75"/>
    <mergeCell ref="A76:B76"/>
    <mergeCell ref="R76:S76"/>
    <mergeCell ref="A69:B69"/>
    <mergeCell ref="R69:T69"/>
    <mergeCell ref="A70:E70"/>
    <mergeCell ref="R70:T70"/>
    <mergeCell ref="A71:E71"/>
    <mergeCell ref="R73:S73"/>
    <mergeCell ref="T73:X73"/>
    <mergeCell ref="A84:B84"/>
    <mergeCell ref="R84:T84"/>
    <mergeCell ref="A85:E85"/>
    <mergeCell ref="R85:T85"/>
    <mergeCell ref="A86:E86"/>
    <mergeCell ref="R86:T86"/>
    <mergeCell ref="A77:B77"/>
    <mergeCell ref="R78:S78"/>
    <mergeCell ref="A79:B79"/>
    <mergeCell ref="R79:S79"/>
    <mergeCell ref="A80:B80"/>
    <mergeCell ref="R83:S83"/>
    <mergeCell ref="D90:F90"/>
    <mergeCell ref="T90:U90"/>
    <mergeCell ref="D91:F91"/>
    <mergeCell ref="T91:U91"/>
    <mergeCell ref="D92:F92"/>
    <mergeCell ref="T92:U92"/>
    <mergeCell ref="A87:E87"/>
    <mergeCell ref="A88:J88"/>
    <mergeCell ref="R88:Y88"/>
    <mergeCell ref="D89:F89"/>
    <mergeCell ref="G89:J89"/>
    <mergeCell ref="R89:S89"/>
    <mergeCell ref="T89:U89"/>
    <mergeCell ref="V89:Y89"/>
    <mergeCell ref="E96:G96"/>
    <mergeCell ref="R96:S96"/>
    <mergeCell ref="T96:V96"/>
    <mergeCell ref="A97:B97"/>
    <mergeCell ref="E97:G97"/>
    <mergeCell ref="R97:S97"/>
    <mergeCell ref="T97:V97"/>
    <mergeCell ref="E93:I93"/>
    <mergeCell ref="T93:X93"/>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131E4-6F7C-49D1-9ABE-ABA0348B9871}">
  <dimension ref="A1:Z207"/>
  <sheetViews>
    <sheetView topLeftCell="A24" workbookViewId="0">
      <selection activeCell="C42" sqref="C42"/>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496</v>
      </c>
      <c r="B2" s="101"/>
      <c r="C2" s="101"/>
      <c r="D2" s="101"/>
      <c r="E2" s="6"/>
      <c r="F2" s="6"/>
      <c r="G2" s="6"/>
      <c r="H2" s="6"/>
      <c r="I2" s="706" t="str">
        <f>RIGHT(A2,4)</f>
        <v>0100</v>
      </c>
      <c r="J2" s="6"/>
      <c r="K2" s="6"/>
      <c r="L2" s="6"/>
      <c r="M2" s="6"/>
      <c r="N2" s="6"/>
      <c r="O2" s="6"/>
      <c r="P2" s="6"/>
      <c r="Q2" s="6"/>
      <c r="R2" s="927" t="str">
        <f>Revenue_Estimate_Worksheet_for___________Charter_School</f>
        <v>Revenue Estimate Worksheet: The Learning Center Highschool 0100</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H</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0</v>
      </c>
      <c r="D14" s="392">
        <f>SUMIFS('Surv2-3'!L:L,'Surv2-3'!$H:$H,$I$2,'Surv2-3'!$I:$I,$O14)</f>
        <v>0</v>
      </c>
      <c r="E14" s="1020">
        <f t="shared" si="0"/>
        <v>0</v>
      </c>
      <c r="F14" s="1020"/>
      <c r="G14" s="1026">
        <f>Consolidated!$F16</f>
        <v>1</v>
      </c>
      <c r="H14" s="1026">
        <f>Consolidated!$H$9</f>
        <v>1</v>
      </c>
      <c r="I14" s="539">
        <f t="shared" si="3"/>
        <v>0</v>
      </c>
      <c r="J14" s="540">
        <f>ROUND(ROUND(ROUND(I14*$E$6,4)*($I$6),2)*(MAX($I$7,1)),2)</f>
        <v>0</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0</v>
      </c>
      <c r="D15" s="392">
        <f>SUMIFS('Surv2-3'!L:L,'Surv2-3'!$H:$H,$I$2,'Surv2-3'!$I:$I,$O15)</f>
        <v>0</v>
      </c>
      <c r="E15" s="1020">
        <f t="shared" si="0"/>
        <v>0</v>
      </c>
      <c r="F15" s="1020"/>
      <c r="G15" s="1026">
        <f>Consolidated!$F17</f>
        <v>1</v>
      </c>
      <c r="H15" s="1026">
        <f>Consolidated!$H$9</f>
        <v>1</v>
      </c>
      <c r="I15" s="539">
        <f t="shared" si="3"/>
        <v>0</v>
      </c>
      <c r="J15" s="540">
        <f t="shared" si="1"/>
        <v>0</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0.5</v>
      </c>
      <c r="D17" s="392">
        <f>SUMIFS('Surv2-3'!M:M,'Surv2-3'!$H:$H,$I$2,'Surv2-3'!$I:$I,$O17)</f>
        <v>0</v>
      </c>
      <c r="E17" s="1020">
        <f t="shared" si="0"/>
        <v>0.5</v>
      </c>
      <c r="F17" s="1020"/>
      <c r="G17" s="1026">
        <f>Consolidated!$F19</f>
        <v>0.97199999999999998</v>
      </c>
      <c r="H17" s="1026">
        <f>Consolidated!$H$9</f>
        <v>1</v>
      </c>
      <c r="I17" s="539">
        <f t="shared" si="3"/>
        <v>0.48599999999999999</v>
      </c>
      <c r="J17" s="540">
        <f t="shared" si="1"/>
        <v>2703.78</v>
      </c>
      <c r="M17" s="2"/>
      <c r="O17" s="2" t="str">
        <f t="shared" si="2"/>
        <v>113</v>
      </c>
      <c r="R17" s="946" t="s">
        <v>25</v>
      </c>
      <c r="S17" s="946"/>
      <c r="T17" s="944">
        <f t="shared" si="4"/>
        <v>0.5</v>
      </c>
      <c r="U17" s="944"/>
      <c r="V17" s="950">
        <v>1</v>
      </c>
      <c r="W17" s="950"/>
      <c r="X17" s="145">
        <f t="shared" si="5"/>
        <v>0.5</v>
      </c>
      <c r="Y17" s="212">
        <f t="shared" si="7"/>
        <v>2781.66</v>
      </c>
    </row>
    <row r="18" spans="1:25" x14ac:dyDescent="0.25">
      <c r="A18" s="916" t="s">
        <v>26</v>
      </c>
      <c r="B18" s="916"/>
      <c r="C18" s="392">
        <f>SUMIFS('Surv2-3'!D:D,'Surv2-3'!$A:$A,$I$2,'Surv2-3'!$B:$B,$O18)</f>
        <v>0</v>
      </c>
      <c r="D18" s="392">
        <f>SUMIFS('Surv2-3'!K:K,'Surv2-3'!$H:$H,$I$2,'Surv2-3'!$I:$I,$O18)</f>
        <v>0</v>
      </c>
      <c r="E18" s="1020">
        <f>IF($D$28=0,C18*2,C18+D18)</f>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10</v>
      </c>
      <c r="D20" s="392">
        <f>SUMIFS('Surv2-3'!M:M,'Surv2-3'!$H:$H,$I$2,'Surv2-3'!$I:$I,$O20)</f>
        <v>9</v>
      </c>
      <c r="E20" s="1020">
        <f>IF($D$28=0,C20*2,C20+D20)</f>
        <v>19</v>
      </c>
      <c r="F20" s="1020"/>
      <c r="G20" s="1026">
        <f>Consolidated!$F22</f>
        <v>3.609</v>
      </c>
      <c r="H20" s="1026">
        <f>Consolidated!$H$9</f>
        <v>1</v>
      </c>
      <c r="I20" s="539">
        <f t="shared" si="3"/>
        <v>68.570999999999998</v>
      </c>
      <c r="J20" s="540">
        <f t="shared" si="1"/>
        <v>381482.92</v>
      </c>
      <c r="M20" s="2"/>
      <c r="O20" s="2" t="str">
        <f t="shared" si="2"/>
        <v>254</v>
      </c>
      <c r="R20" s="946" t="s">
        <v>28</v>
      </c>
      <c r="S20" s="946"/>
      <c r="T20" s="944">
        <f t="shared" si="4"/>
        <v>19</v>
      </c>
      <c r="U20" s="944"/>
      <c r="V20" s="950">
        <v>1</v>
      </c>
      <c r="W20" s="950"/>
      <c r="X20" s="145">
        <f t="shared" si="5"/>
        <v>19</v>
      </c>
      <c r="Y20" s="212">
        <f t="shared" si="7"/>
        <v>105703.22</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3</v>
      </c>
      <c r="D23" s="392">
        <f>SUMIFS('Surv2-3'!M:M,'Surv2-3'!$H:$H,$I$2,'Surv2-3'!$I:$I,$O23)</f>
        <v>4.5</v>
      </c>
      <c r="E23" s="1020">
        <f t="shared" si="0"/>
        <v>7.5</v>
      </c>
      <c r="F23" s="1020"/>
      <c r="G23" s="1026">
        <f>Consolidated!$F25</f>
        <v>6.0640000000000001</v>
      </c>
      <c r="H23" s="1026">
        <f>Consolidated!$H$9</f>
        <v>1</v>
      </c>
      <c r="I23" s="539">
        <f t="shared" si="3"/>
        <v>45.48</v>
      </c>
      <c r="J23" s="540">
        <f t="shared" si="1"/>
        <v>253020.13</v>
      </c>
      <c r="M23" s="2"/>
      <c r="O23" s="2" t="str">
        <f t="shared" si="2"/>
        <v>255</v>
      </c>
      <c r="R23" s="946" t="s">
        <v>31</v>
      </c>
      <c r="S23" s="946"/>
      <c r="T23" s="944">
        <f t="shared" si="4"/>
        <v>7.5</v>
      </c>
      <c r="U23" s="944"/>
      <c r="V23" s="950">
        <v>1</v>
      </c>
      <c r="W23" s="950"/>
      <c r="X23" s="145">
        <f t="shared" si="5"/>
        <v>7.5</v>
      </c>
      <c r="Y23" s="212">
        <f t="shared" si="7"/>
        <v>41724.949999999997</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v>
      </c>
      <c r="D25" s="392">
        <f>SUMIFS('Surv2-3'!L:L,'Surv2-3'!$H:$H,$I$2,'Surv2-3'!$I:$I,$O25)</f>
        <v>0</v>
      </c>
      <c r="E25" s="1020">
        <f t="shared" si="0"/>
        <v>0</v>
      </c>
      <c r="F25" s="1020"/>
      <c r="G25" s="1026">
        <f>Consolidated!$F27</f>
        <v>1.165</v>
      </c>
      <c r="H25" s="1026">
        <f>Consolidated!$H$9</f>
        <v>1</v>
      </c>
      <c r="I25" s="539">
        <f t="shared" si="3"/>
        <v>0</v>
      </c>
      <c r="J25" s="540">
        <f t="shared" si="1"/>
        <v>0</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13.5</v>
      </c>
      <c r="D28" s="822">
        <f>SUM(D12:D27)</f>
        <v>13.5</v>
      </c>
      <c r="E28" s="1025">
        <f>SUM(E12:E27)</f>
        <v>27</v>
      </c>
      <c r="F28" s="1025"/>
      <c r="G28" s="1020"/>
      <c r="H28" s="1020"/>
      <c r="I28" s="23">
        <f>SUM(I12:I27)</f>
        <v>114.53700000000001</v>
      </c>
      <c r="J28" s="116">
        <f>SUM(J12:J27)</f>
        <v>637206.83000000007</v>
      </c>
      <c r="M28" s="2"/>
      <c r="R28" s="963" t="s">
        <v>36</v>
      </c>
      <c r="S28" s="963"/>
      <c r="T28" s="964">
        <f>SUM(T12:T27)</f>
        <v>27</v>
      </c>
      <c r="U28" s="964"/>
      <c r="V28" s="965"/>
      <c r="W28" s="965"/>
      <c r="X28" s="147">
        <f>SUM(X12:X27)</f>
        <v>27</v>
      </c>
      <c r="Y28" s="212">
        <f>SUM(Y12:Y27)</f>
        <v>150209.83000000002</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114.53700000000001</v>
      </c>
      <c r="H33" s="1020" t="s">
        <v>45</v>
      </c>
      <c r="I33" s="1020"/>
      <c r="J33" s="32">
        <f>SUM(J32,J28)</f>
        <v>637206.83000000007</v>
      </c>
      <c r="M33" s="2"/>
      <c r="R33" s="969" t="s">
        <v>44</v>
      </c>
      <c r="S33" s="969"/>
      <c r="T33" s="969"/>
      <c r="U33" s="969"/>
      <c r="V33" s="153">
        <f>V32+X28</f>
        <v>27</v>
      </c>
      <c r="W33" s="965" t="s">
        <v>45</v>
      </c>
      <c r="X33" s="965"/>
      <c r="Y33" s="154">
        <f>SUM(Y32,Y28)</f>
        <v>150209.83000000002</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191517.55</v>
      </c>
      <c r="H36" s="37" t="s">
        <v>49</v>
      </c>
      <c r="I36" s="38">
        <v>6.6699999999999995E-2</v>
      </c>
      <c r="J36" s="120">
        <f>ROUND(G36*I36,2)</f>
        <v>12774.22</v>
      </c>
      <c r="K36" s="39"/>
      <c r="L36" s="33"/>
      <c r="M36" s="33"/>
      <c r="N36" s="33"/>
      <c r="O36" s="31"/>
      <c r="P36" s="34"/>
      <c r="Q36" s="34"/>
      <c r="R36" s="946" t="s">
        <v>47</v>
      </c>
      <c r="S36" s="946"/>
      <c r="T36" s="946"/>
      <c r="U36" s="158"/>
      <c r="V36" s="161">
        <v>61196.59</v>
      </c>
      <c r="W36" s="162" t="s">
        <v>49</v>
      </c>
      <c r="X36" s="163">
        <v>6.6699999999999995E-2</v>
      </c>
      <c r="Y36" s="212">
        <f>J36</f>
        <v>12774.22</v>
      </c>
    </row>
    <row r="37" spans="1:25" ht="20.25" customHeight="1" x14ac:dyDescent="0.25">
      <c r="A37" s="916" t="s">
        <v>50</v>
      </c>
      <c r="B37" s="916"/>
      <c r="C37" s="916"/>
      <c r="D37" s="916"/>
      <c r="E37" s="916"/>
      <c r="F37" s="36" t="s">
        <v>48</v>
      </c>
      <c r="G37" s="121">
        <v>191517.55</v>
      </c>
      <c r="H37" s="37" t="s">
        <v>49</v>
      </c>
      <c r="I37" s="38">
        <v>5.4000000000000003E-3</v>
      </c>
      <c r="J37" s="120">
        <f>ROUND(G37*I37,2)</f>
        <v>1034.19</v>
      </c>
      <c r="K37" s="39"/>
      <c r="L37" s="33"/>
      <c r="M37" s="33"/>
      <c r="N37" s="33"/>
      <c r="O37" s="31"/>
      <c r="P37" s="34"/>
      <c r="Q37" s="34"/>
      <c r="R37" s="946" t="s">
        <v>50</v>
      </c>
      <c r="S37" s="946"/>
      <c r="T37" s="946"/>
      <c r="U37" s="158"/>
      <c r="V37" s="161">
        <v>61196.59</v>
      </c>
      <c r="W37" s="162" t="s">
        <v>49</v>
      </c>
      <c r="X37" s="163">
        <v>5.4000000000000003E-3</v>
      </c>
      <c r="Y37" s="212">
        <f>J37</f>
        <v>1034.19</v>
      </c>
    </row>
    <row r="38" spans="1:25" ht="20.25" customHeight="1" x14ac:dyDescent="0.25">
      <c r="A38" s="952" t="s">
        <v>51</v>
      </c>
      <c r="B38" s="952"/>
      <c r="C38" s="952"/>
      <c r="D38" s="952"/>
      <c r="E38" s="952"/>
      <c r="F38" s="36" t="s">
        <v>52</v>
      </c>
      <c r="G38" s="40"/>
      <c r="H38" s="37"/>
      <c r="I38" s="41"/>
      <c r="J38" s="120">
        <f>SUM(J36:J37)</f>
        <v>13808.41</v>
      </c>
      <c r="K38" s="39"/>
      <c r="L38" s="33"/>
      <c r="M38" s="33"/>
      <c r="N38" s="33"/>
      <c r="O38" s="31"/>
      <c r="P38" s="34"/>
      <c r="Q38" s="34"/>
      <c r="R38" s="955" t="s">
        <v>51</v>
      </c>
      <c r="S38" s="955"/>
      <c r="T38" s="955"/>
      <c r="U38" s="158" t="s">
        <v>52</v>
      </c>
      <c r="V38" s="164"/>
      <c r="W38" s="162"/>
      <c r="X38" s="165"/>
      <c r="Y38" s="146">
        <f>Y36+Y37</f>
        <v>13808.41</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652"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37" t="s">
        <v>59</v>
      </c>
      <c r="H41" s="37">
        <v>251</v>
      </c>
      <c r="I41" s="125">
        <f>Consolidated!$H59</f>
        <v>1047</v>
      </c>
      <c r="J41" s="46">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4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46">
        <f t="shared" si="9"/>
        <v>0</v>
      </c>
      <c r="M43" s="2"/>
      <c r="R43" s="958"/>
      <c r="S43" s="958"/>
      <c r="T43" s="960"/>
      <c r="U43" s="960"/>
      <c r="V43" s="162" t="s">
        <v>59</v>
      </c>
      <c r="W43" s="162">
        <v>253</v>
      </c>
      <c r="X43" s="123">
        <f>Consolidated!$H61</f>
        <v>6896</v>
      </c>
      <c r="Y43" s="213">
        <f t="shared" si="10"/>
        <v>0</v>
      </c>
    </row>
    <row r="44" spans="1:25" ht="20.25" customHeight="1"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0</v>
      </c>
      <c r="D45" s="824">
        <f>SUMIFS('Surv2-3'!L:L,'Surv2-3'!$H:$H,$I$2,'Surv2-3'!$I:$I,$H45-140)</f>
        <v>0</v>
      </c>
      <c r="E45" s="1013">
        <f t="shared" si="8"/>
        <v>0</v>
      </c>
      <c r="F45" s="1013"/>
      <c r="G45" s="47" t="s">
        <v>60</v>
      </c>
      <c r="H45" s="37">
        <v>252</v>
      </c>
      <c r="I45" s="125">
        <f>Consolidated!$H63</f>
        <v>3506</v>
      </c>
      <c r="J45" s="46">
        <f t="shared" si="9"/>
        <v>0</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4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4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0.5</v>
      </c>
      <c r="D49" s="824">
        <f>SUMIFS('Surv2-3'!M:M,'Surv2-3'!$H:$H,$I$2,'Surv2-3'!$I:$I,$H49-140)</f>
        <v>0</v>
      </c>
      <c r="E49" s="1014">
        <f t="shared" si="8"/>
        <v>1</v>
      </c>
      <c r="F49" s="1014"/>
      <c r="G49" s="47" t="s">
        <v>61</v>
      </c>
      <c r="H49" s="37">
        <v>253</v>
      </c>
      <c r="I49" s="125">
        <f>Consolidated!$H67</f>
        <v>6685</v>
      </c>
      <c r="J49" s="46">
        <f t="shared" si="9"/>
        <v>6685</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0.5</v>
      </c>
      <c r="D50" s="825">
        <f>SUM(D41:D49)</f>
        <v>0</v>
      </c>
      <c r="E50" s="1015">
        <f>SUM(E41:E49)</f>
        <v>1</v>
      </c>
      <c r="F50" s="1015"/>
      <c r="G50" s="970" t="s">
        <v>63</v>
      </c>
      <c r="H50" s="970"/>
      <c r="I50" s="970"/>
      <c r="J50" s="220">
        <f>SUM(J41:J49)</f>
        <v>6685</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27</v>
      </c>
      <c r="U52" s="173" t="s">
        <v>66</v>
      </c>
      <c r="V52" s="174"/>
      <c r="W52" s="175" t="s">
        <v>67</v>
      </c>
      <c r="X52" s="977">
        <f>I53</f>
        <v>207716.69</v>
      </c>
      <c r="Y52" s="977"/>
    </row>
    <row r="53" spans="1:25" ht="16.5" customHeight="1" x14ac:dyDescent="0.25">
      <c r="A53" s="953" t="s">
        <v>65</v>
      </c>
      <c r="B53" s="953"/>
      <c r="C53" s="48">
        <f>E28</f>
        <v>27</v>
      </c>
      <c r="D53" s="49" t="s">
        <v>66</v>
      </c>
      <c r="G53" s="3"/>
      <c r="H53" s="50" t="s">
        <v>67</v>
      </c>
      <c r="I53" s="654">
        <f>Consolidated!H$71</f>
        <v>207716.69</v>
      </c>
      <c r="J53" s="653"/>
      <c r="M53" s="2"/>
      <c r="R53" s="176"/>
      <c r="S53" s="177"/>
      <c r="T53" s="159"/>
      <c r="U53" s="159"/>
      <c r="V53" s="159"/>
      <c r="W53" s="178" t="s">
        <v>68</v>
      </c>
      <c r="X53" s="978">
        <f>ROUND(T52/X52,6)</f>
        <v>1.2999999999999999E-4</v>
      </c>
      <c r="Y53" s="978"/>
    </row>
    <row r="54" spans="1:25" ht="22.5" customHeight="1" x14ac:dyDescent="0.25">
      <c r="A54" s="51"/>
      <c r="B54" s="52"/>
      <c r="C54" s="52"/>
      <c r="D54" s="52"/>
      <c r="H54" s="53" t="s">
        <v>68</v>
      </c>
      <c r="I54" s="1004">
        <f>IFERROR(ROUND(C53/I53,6),0)</f>
        <v>1.2999999999999999E-4</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27</v>
      </c>
      <c r="U55" s="173" t="s">
        <v>66</v>
      </c>
      <c r="V55" s="174"/>
      <c r="W55" s="175" t="s">
        <v>71</v>
      </c>
      <c r="X55" s="977">
        <f>I56</f>
        <v>221131.37000000002</v>
      </c>
      <c r="Y55" s="977"/>
    </row>
    <row r="56" spans="1:25" ht="16.5" customHeight="1" x14ac:dyDescent="0.25">
      <c r="A56" s="953" t="s">
        <v>70</v>
      </c>
      <c r="B56" s="953"/>
      <c r="C56" s="48">
        <f>G33</f>
        <v>114.53700000000001</v>
      </c>
      <c r="D56" s="49" t="s">
        <v>66</v>
      </c>
      <c r="G56" s="3"/>
      <c r="H56" s="50" t="s">
        <v>71</v>
      </c>
      <c r="I56" s="654">
        <f>Consolidated!H$74</f>
        <v>221131.37000000002</v>
      </c>
      <c r="J56" s="653"/>
      <c r="M56" s="2"/>
      <c r="R56" s="176"/>
      <c r="S56" s="159"/>
      <c r="T56" s="159"/>
      <c r="U56" s="159"/>
      <c r="V56" s="159"/>
      <c r="W56" s="178" t="s">
        <v>68</v>
      </c>
      <c r="X56" s="978">
        <f>ROUND(T55/X55,6)</f>
        <v>1.22E-4</v>
      </c>
      <c r="Y56" s="978"/>
    </row>
    <row r="57" spans="1:25" ht="18.75" customHeight="1" x14ac:dyDescent="0.25">
      <c r="A57" s="51"/>
      <c r="H57" s="53" t="s">
        <v>68</v>
      </c>
      <c r="I57" s="1004">
        <f>IFERROR(ROUND(C56/I56,6),0)</f>
        <v>5.1800000000000001E-4</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27</v>
      </c>
      <c r="U58" s="173" t="s">
        <v>66</v>
      </c>
      <c r="V58" s="976" t="s">
        <v>74</v>
      </c>
      <c r="W58" s="976"/>
      <c r="X58" s="977">
        <f>I59</f>
        <v>178668.19</v>
      </c>
      <c r="Y58" s="977"/>
    </row>
    <row r="59" spans="1:25" ht="18.75" customHeight="1" x14ac:dyDescent="0.25">
      <c r="A59" s="953" t="s">
        <v>73</v>
      </c>
      <c r="B59" s="953"/>
      <c r="C59" s="48">
        <f>E28</f>
        <v>27</v>
      </c>
      <c r="D59" s="49" t="s">
        <v>66</v>
      </c>
      <c r="F59" s="1027" t="s">
        <v>74</v>
      </c>
      <c r="G59" s="1027"/>
      <c r="H59" s="1027"/>
      <c r="I59" s="654">
        <f>Consolidated!H$77</f>
        <v>178668.19</v>
      </c>
      <c r="J59" s="653"/>
      <c r="M59" s="2"/>
      <c r="R59" s="176"/>
      <c r="S59" s="159"/>
      <c r="T59" s="159"/>
      <c r="U59" s="159"/>
      <c r="V59" s="159"/>
      <c r="W59" s="178" t="s">
        <v>68</v>
      </c>
      <c r="X59" s="978">
        <f>ROUND(T58/X58,6)</f>
        <v>1.5100000000000001E-4</v>
      </c>
      <c r="Y59" s="978"/>
    </row>
    <row r="60" spans="1:25" ht="18" customHeight="1" x14ac:dyDescent="0.25">
      <c r="A60" s="51"/>
      <c r="H60" s="53" t="s">
        <v>68</v>
      </c>
      <c r="I60" s="1004">
        <f>IFERROR(ROUND(C59/I59,6),0)</f>
        <v>1.5100000000000001E-4</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27</v>
      </c>
      <c r="U61" s="173" t="s">
        <v>66</v>
      </c>
      <c r="V61" s="976" t="s">
        <v>76</v>
      </c>
      <c r="W61" s="976"/>
      <c r="X61" s="977">
        <f>I62</f>
        <v>207376.94</v>
      </c>
      <c r="Y61" s="977"/>
    </row>
    <row r="62" spans="1:25" ht="23.25" customHeight="1" x14ac:dyDescent="0.25">
      <c r="A62" s="953" t="s">
        <v>73</v>
      </c>
      <c r="B62" s="953"/>
      <c r="C62" s="48">
        <f>E28</f>
        <v>27</v>
      </c>
      <c r="D62" s="49" t="s">
        <v>66</v>
      </c>
      <c r="F62" s="1027" t="s">
        <v>76</v>
      </c>
      <c r="G62" s="1027"/>
      <c r="H62" s="1027"/>
      <c r="I62" s="654">
        <f>Consolidated!H$80</f>
        <v>207376.94</v>
      </c>
      <c r="J62" s="653"/>
      <c r="M62" s="2"/>
      <c r="R62" s="176"/>
      <c r="S62" s="159"/>
      <c r="T62" s="159"/>
      <c r="U62" s="159"/>
      <c r="V62" s="159"/>
      <c r="W62" s="178" t="s">
        <v>68</v>
      </c>
      <c r="X62" s="978">
        <f>ROUND(T61/X61,6)</f>
        <v>1.2999999999999999E-4</v>
      </c>
      <c r="Y62" s="978"/>
    </row>
    <row r="63" spans="1:25" ht="19.5" customHeight="1" x14ac:dyDescent="0.25">
      <c r="A63" s="51"/>
      <c r="H63" s="53" t="s">
        <v>68</v>
      </c>
      <c r="I63" s="1004">
        <f>IFERROR(ROUND(C62/I62,6),0)</f>
        <v>1.2999999999999999E-4</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27</v>
      </c>
      <c r="U64" s="173" t="s">
        <v>66</v>
      </c>
      <c r="V64" s="976" t="s">
        <v>161</v>
      </c>
      <c r="W64" s="976"/>
      <c r="X64" s="977">
        <f>I65</f>
        <v>178328.44</v>
      </c>
      <c r="Y64" s="977"/>
    </row>
    <row r="65" spans="1:26" ht="22.5" customHeight="1" x14ac:dyDescent="0.25">
      <c r="A65" s="953" t="s">
        <v>73</v>
      </c>
      <c r="B65" s="953"/>
      <c r="C65" s="48">
        <f>E28</f>
        <v>27</v>
      </c>
      <c r="D65" s="1046" t="s">
        <v>607</v>
      </c>
      <c r="E65" s="1046"/>
      <c r="F65" s="1046"/>
      <c r="G65" s="1046"/>
      <c r="H65" s="1046"/>
      <c r="I65" s="654">
        <f>Consolidated!H$83</f>
        <v>178328.44</v>
      </c>
      <c r="J65" s="653"/>
      <c r="M65" s="2"/>
      <c r="R65" s="179"/>
      <c r="S65" s="159"/>
      <c r="T65" s="159"/>
      <c r="U65" s="159"/>
      <c r="V65" s="159"/>
      <c r="W65" s="178" t="s">
        <v>68</v>
      </c>
      <c r="X65" s="978">
        <f>ROUND(T64/X64,6)</f>
        <v>1.5100000000000001E-4</v>
      </c>
      <c r="Y65" s="978"/>
    </row>
    <row r="66" spans="1:26" ht="19.5" customHeight="1" x14ac:dyDescent="0.25">
      <c r="A66" s="51"/>
      <c r="H66" s="53" t="s">
        <v>68</v>
      </c>
      <c r="I66" s="1004">
        <f>IFERROR(ROUND(C65/I65,6),0)</f>
        <v>1.5100000000000001E-4</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1.2999999999999999E-4</v>
      </c>
      <c r="Y67" s="215">
        <f>ROUND(V67*X67,2)</f>
        <v>5929.36</v>
      </c>
    </row>
    <row r="68" spans="1:26" ht="30.75" customHeight="1" x14ac:dyDescent="0.25">
      <c r="A68" s="1005" t="s">
        <v>79</v>
      </c>
      <c r="B68" s="1005"/>
      <c r="C68" s="1005"/>
      <c r="D68" s="1005"/>
      <c r="E68" s="1005"/>
      <c r="F68" s="36" t="s">
        <v>80</v>
      </c>
      <c r="G68" s="221">
        <f>Consolidated!F$86</f>
        <v>45610484</v>
      </c>
      <c r="H68" s="37" t="s">
        <v>81</v>
      </c>
      <c r="I68" s="41">
        <f>I63</f>
        <v>1.2999999999999999E-4</v>
      </c>
      <c r="J68" s="127">
        <f>ROUND(G68*I68,2)</f>
        <v>5929.36</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1.2999999999999999E-4</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1.2999999999999999E-4</v>
      </c>
      <c r="J70" s="127">
        <f>ROUND(G70*I70,2)</f>
        <v>0</v>
      </c>
      <c r="M70" s="2"/>
      <c r="R70" s="955" t="s">
        <v>163</v>
      </c>
      <c r="S70" s="955"/>
      <c r="T70" s="955"/>
      <c r="U70" s="158"/>
      <c r="V70" s="182">
        <f>G71</f>
        <v>18959906</v>
      </c>
      <c r="W70" s="162" t="s">
        <v>81</v>
      </c>
      <c r="X70" s="165">
        <f>X65</f>
        <v>1.5100000000000001E-4</v>
      </c>
      <c r="Y70" s="212">
        <f t="shared" si="11"/>
        <v>2862.95</v>
      </c>
    </row>
    <row r="71" spans="1:26" ht="19.5" customHeight="1" x14ac:dyDescent="0.25">
      <c r="A71" s="952" t="s">
        <v>85</v>
      </c>
      <c r="B71" s="952"/>
      <c r="C71" s="952"/>
      <c r="D71" s="952"/>
      <c r="E71" s="952"/>
      <c r="F71" s="36" t="s">
        <v>86</v>
      </c>
      <c r="G71" s="221">
        <f>Consolidated!F$91</f>
        <v>18959906</v>
      </c>
      <c r="H71" s="37" t="s">
        <v>81</v>
      </c>
      <c r="I71" s="41">
        <f>I66</f>
        <v>1.5100000000000001E-4</v>
      </c>
      <c r="J71" s="127">
        <f>ROUND(G71*I71,2)</f>
        <v>2862.95</v>
      </c>
      <c r="M71" s="2"/>
      <c r="R71" s="166" t="s">
        <v>164</v>
      </c>
      <c r="S71" s="166"/>
      <c r="T71" s="166"/>
      <c r="U71" s="158"/>
      <c r="V71" s="160">
        <f>G72</f>
        <v>11308391</v>
      </c>
      <c r="W71" s="162" t="s">
        <v>81</v>
      </c>
      <c r="X71" s="165">
        <f>X59</f>
        <v>1.5100000000000001E-4</v>
      </c>
      <c r="Y71" s="212">
        <f t="shared" si="11"/>
        <v>1707.57</v>
      </c>
    </row>
    <row r="72" spans="1:26" ht="19.5" customHeight="1" x14ac:dyDescent="0.25">
      <c r="A72" s="42" t="s">
        <v>87</v>
      </c>
      <c r="B72" s="42"/>
      <c r="C72" s="42"/>
      <c r="D72" s="42"/>
      <c r="E72" s="42"/>
      <c r="F72" s="36" t="s">
        <v>88</v>
      </c>
      <c r="G72" s="221">
        <f>Consolidated!F$93</f>
        <v>11308391</v>
      </c>
      <c r="H72" s="37" t="s">
        <v>81</v>
      </c>
      <c r="I72" s="41">
        <f>I60</f>
        <v>1.5100000000000001E-4</v>
      </c>
      <c r="J72" s="127">
        <f>ROUND(G72*I72,2)</f>
        <v>1707.57</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5.1800000000000001E-4</v>
      </c>
      <c r="J85" s="127">
        <f>ROUND(G85*I85,2)</f>
        <v>139246.82999999999</v>
      </c>
      <c r="K85" s="70"/>
      <c r="L85" s="70"/>
      <c r="M85" s="71"/>
      <c r="N85" s="70"/>
      <c r="O85" s="70"/>
      <c r="P85" s="70"/>
      <c r="Q85" s="70"/>
      <c r="R85" s="955" t="s">
        <v>168</v>
      </c>
      <c r="S85" s="955"/>
      <c r="T85" s="955"/>
      <c r="U85" s="158"/>
      <c r="V85" s="160">
        <f>G85</f>
        <v>268816278</v>
      </c>
      <c r="W85" s="162" t="s">
        <v>81</v>
      </c>
      <c r="X85" s="165">
        <f>X56</f>
        <v>1.22E-4</v>
      </c>
      <c r="Y85" s="212">
        <f t="shared" ref="Y85:Y87" si="12">ROUND(V85*X85,2)</f>
        <v>32795.589999999997</v>
      </c>
    </row>
    <row r="86" spans="1:26" ht="14.25" customHeight="1" x14ac:dyDescent="0.25">
      <c r="A86" s="952" t="s">
        <v>104</v>
      </c>
      <c r="B86" s="952"/>
      <c r="C86" s="952"/>
      <c r="D86" s="952"/>
      <c r="E86" s="952"/>
      <c r="F86" s="36" t="s">
        <v>103</v>
      </c>
      <c r="G86" s="128">
        <v>0</v>
      </c>
      <c r="H86" s="37" t="s">
        <v>81</v>
      </c>
      <c r="I86" s="41">
        <f>I57</f>
        <v>5.1800000000000001E-4</v>
      </c>
      <c r="J86" s="127">
        <f>ROUND(G86*I86,2)</f>
        <v>0</v>
      </c>
      <c r="K86" s="70"/>
      <c r="L86" s="71"/>
      <c r="M86" s="76"/>
      <c r="N86" s="76"/>
      <c r="O86" s="76"/>
      <c r="P86" s="76"/>
      <c r="Q86" s="70"/>
      <c r="R86" s="955" t="s">
        <v>169</v>
      </c>
      <c r="S86" s="955"/>
      <c r="T86" s="955"/>
      <c r="U86" s="158"/>
      <c r="V86" s="192">
        <f>G86</f>
        <v>0</v>
      </c>
      <c r="W86" s="162" t="s">
        <v>81</v>
      </c>
      <c r="X86" s="165">
        <f>X56</f>
        <v>1.22E-4</v>
      </c>
      <c r="Y86" s="212">
        <f t="shared" si="12"/>
        <v>0</v>
      </c>
    </row>
    <row r="87" spans="1:26" ht="18" customHeight="1" x14ac:dyDescent="0.25">
      <c r="A87" s="952" t="s">
        <v>105</v>
      </c>
      <c r="B87" s="952"/>
      <c r="C87" s="952"/>
      <c r="D87" s="952"/>
      <c r="E87" s="952"/>
      <c r="F87" s="36" t="s">
        <v>84</v>
      </c>
      <c r="G87" s="128">
        <v>0</v>
      </c>
      <c r="H87" s="37" t="s">
        <v>81</v>
      </c>
      <c r="I87" s="41">
        <f>I54</f>
        <v>1.2999999999999999E-4</v>
      </c>
      <c r="J87" s="62">
        <f>ROUND(G87*I87,2)</f>
        <v>0</v>
      </c>
      <c r="K87" s="77"/>
      <c r="L87" s="70"/>
      <c r="M87" s="71"/>
      <c r="N87" s="70"/>
      <c r="O87" s="70"/>
      <c r="P87" s="70"/>
      <c r="Q87" s="70"/>
      <c r="R87" s="166" t="s">
        <v>170</v>
      </c>
      <c r="S87" s="166"/>
      <c r="T87" s="166"/>
      <c r="U87" s="158"/>
      <c r="V87" s="192">
        <f>G87</f>
        <v>0</v>
      </c>
      <c r="W87" s="162" t="s">
        <v>81</v>
      </c>
      <c r="X87" s="165">
        <f>X53</f>
        <v>1.2999999999999999E-4</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657">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0</v>
      </c>
      <c r="C91" s="80"/>
      <c r="D91" s="921">
        <f>I6</f>
        <v>1.0355000000000001</v>
      </c>
      <c r="E91" s="921"/>
      <c r="F91" s="921"/>
      <c r="G91" s="113">
        <f>Consolidated!F$119</f>
        <v>915.09</v>
      </c>
      <c r="H91" s="47" t="s">
        <v>68</v>
      </c>
      <c r="I91" s="4">
        <f>ROUND(B91*D91*G91,2)</f>
        <v>0</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114.53700000000001</v>
      </c>
      <c r="C92" s="80"/>
      <c r="D92" s="921">
        <f>I6</f>
        <v>1.0355000000000001</v>
      </c>
      <c r="E92" s="921"/>
      <c r="F92" s="921"/>
      <c r="G92" s="113">
        <f>Consolidated!F$120</f>
        <v>917.3</v>
      </c>
      <c r="H92" s="47" t="s">
        <v>68</v>
      </c>
      <c r="I92" s="537">
        <f>ROUND(B92*D92*G92,2)</f>
        <v>108794.59</v>
      </c>
      <c r="K92" s="70"/>
      <c r="L92" s="70"/>
      <c r="M92" s="71"/>
      <c r="N92" s="70"/>
      <c r="O92" s="70"/>
      <c r="P92" s="70"/>
      <c r="Q92" s="70"/>
      <c r="R92" s="196" t="s">
        <v>61</v>
      </c>
      <c r="S92" s="197">
        <f>X16+X17+X20+X23+X26+X27</f>
        <v>27</v>
      </c>
      <c r="T92" s="984">
        <f>X6</f>
        <v>1.0355000000000001</v>
      </c>
      <c r="U92" s="984"/>
      <c r="V92" s="113">
        <f>G92</f>
        <v>917.3</v>
      </c>
      <c r="W92" s="171" t="s">
        <v>68</v>
      </c>
      <c r="X92" s="216">
        <f>ROUND(S92*T92*V92,2)</f>
        <v>25646.33</v>
      </c>
      <c r="Y92" s="159"/>
    </row>
    <row r="93" spans="1:26" ht="18.75" customHeight="1" thickBot="1" x14ac:dyDescent="0.3">
      <c r="A93" s="84" t="s">
        <v>111</v>
      </c>
      <c r="B93" s="80">
        <f>SUM(B90:B92)</f>
        <v>114.53700000000001</v>
      </c>
      <c r="C93" s="80"/>
      <c r="D93" s="80"/>
      <c r="E93" s="999" t="s">
        <v>112</v>
      </c>
      <c r="F93" s="999"/>
      <c r="G93" s="999"/>
      <c r="H93" s="999"/>
      <c r="I93" s="999"/>
      <c r="J93" s="116">
        <f>IF(A1=75,0,I92+I91+I90)</f>
        <v>108794.59</v>
      </c>
      <c r="K93" s="70"/>
      <c r="L93" s="70"/>
      <c r="M93" s="71"/>
      <c r="N93" s="70"/>
      <c r="O93" s="70"/>
      <c r="P93" s="70"/>
      <c r="Q93" s="70"/>
      <c r="R93" s="198" t="s">
        <v>111</v>
      </c>
      <c r="S93" s="199">
        <f>SUM(S90:S92)</f>
        <v>27</v>
      </c>
      <c r="T93" s="985" t="s">
        <v>112</v>
      </c>
      <c r="U93" s="986"/>
      <c r="V93" s="986"/>
      <c r="W93" s="986"/>
      <c r="X93" s="986"/>
      <c r="Y93" s="212">
        <f>IF(R1=75,0,X92+X91+X90)</f>
        <v>25646.33</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0</v>
      </c>
      <c r="D97" s="223">
        <v>0</v>
      </c>
      <c r="E97" s="922">
        <f>IF(D97&gt;0,(C97+D97)/2,C97)</f>
        <v>0</v>
      </c>
      <c r="F97" s="922"/>
      <c r="G97" s="922"/>
      <c r="H97" s="85" t="s">
        <v>117</v>
      </c>
      <c r="I97" s="119">
        <f>Consolidated!G$127</f>
        <v>578</v>
      </c>
      <c r="J97" s="127">
        <f>ROUND(I97*E97,2)</f>
        <v>0</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c r="E98" s="1002">
        <f>(C98+D98)/2</f>
        <v>0</v>
      </c>
      <c r="F98" s="1002"/>
      <c r="G98" s="1002"/>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8"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970" t="s">
        <v>125</v>
      </c>
      <c r="B107" s="970"/>
      <c r="C107" s="970"/>
      <c r="D107" s="970"/>
      <c r="E107" s="970"/>
      <c r="F107" s="970"/>
      <c r="G107" s="970"/>
      <c r="H107" s="970"/>
      <c r="I107" s="970"/>
      <c r="J107" s="541">
        <f>SUM(J106,J105,J98,J97,J93,J86,J85,J71,J70,J68,J33,J72,J50,J87,J84)</f>
        <v>902433.13</v>
      </c>
      <c r="R107" s="955" t="s">
        <v>125</v>
      </c>
      <c r="S107" s="955"/>
      <c r="T107" s="955"/>
      <c r="U107" s="955"/>
      <c r="V107" s="955"/>
      <c r="W107" s="955"/>
      <c r="X107" s="955"/>
      <c r="Y107" s="672">
        <f>SUM(Y106,Y105,Y97,Y96,Y93,Y86,Y85,Y84,Y70,Y69,Y67,Y33,Y71,Y50,Y87,Y83)</f>
        <v>219151.63</v>
      </c>
    </row>
    <row r="108" spans="1:25" ht="15.75" customHeight="1" thickTop="1" x14ac:dyDescent="0.25">
      <c r="A108" s="920"/>
      <c r="B108" s="920"/>
      <c r="C108" s="920"/>
      <c r="D108" s="920"/>
      <c r="E108" s="920"/>
      <c r="F108" s="920"/>
      <c r="G108" s="920"/>
      <c r="H108" s="920"/>
      <c r="I108" s="920"/>
      <c r="J108" s="920"/>
      <c r="R108" s="928"/>
      <c r="S108" s="928"/>
      <c r="T108" s="928"/>
      <c r="U108" s="928"/>
      <c r="V108" s="928"/>
      <c r="W108" s="928"/>
      <c r="X108" s="928"/>
      <c r="Y108" s="928"/>
    </row>
    <row r="109" spans="1:25" ht="17.25" customHeight="1" thickBot="1" x14ac:dyDescent="0.3">
      <c r="A109" s="952" t="s">
        <v>131</v>
      </c>
      <c r="B109" s="952"/>
      <c r="C109" s="952"/>
      <c r="D109" s="952"/>
      <c r="E109" s="952"/>
      <c r="F109" s="920"/>
      <c r="G109" s="920"/>
      <c r="H109" s="920"/>
      <c r="I109" s="2" t="s">
        <v>132</v>
      </c>
      <c r="J109" s="543">
        <f>J107-J38</f>
        <v>888624.72</v>
      </c>
      <c r="R109" s="159" t="s">
        <v>176</v>
      </c>
      <c r="S109" s="159"/>
      <c r="T109" s="159"/>
      <c r="U109" s="159"/>
      <c r="V109" s="159"/>
      <c r="W109" s="159"/>
      <c r="X109" s="159"/>
      <c r="Y109" s="673">
        <f>Y107-Y38</f>
        <v>205343.22</v>
      </c>
    </row>
    <row r="110" spans="1:25" ht="18.75" customHeight="1" thickTop="1" x14ac:dyDescent="0.25">
      <c r="A110" s="952" t="s">
        <v>133</v>
      </c>
      <c r="B110" s="952"/>
      <c r="C110" s="952"/>
      <c r="D110" s="952"/>
      <c r="E110" s="952"/>
      <c r="F110" s="952"/>
      <c r="G110" s="952"/>
      <c r="H110" s="952"/>
      <c r="I110" s="42" t="s">
        <v>134</v>
      </c>
      <c r="J110" s="72"/>
      <c r="R110" s="1012" t="s">
        <v>136</v>
      </c>
      <c r="S110" s="1012"/>
      <c r="T110" s="1012"/>
      <c r="U110" s="1012"/>
      <c r="V110" s="1012"/>
      <c r="W110" s="1012"/>
      <c r="X110" s="1012"/>
      <c r="Y110" s="1012"/>
    </row>
    <row r="111" spans="1:25" ht="15.75" customHeight="1" x14ac:dyDescent="0.25">
      <c r="A111" s="953" t="s">
        <v>135</v>
      </c>
      <c r="B111" s="953"/>
      <c r="C111" s="953"/>
      <c r="D111" s="953"/>
      <c r="E111" s="953"/>
      <c r="F111" s="953"/>
      <c r="G111" s="953"/>
      <c r="H111" s="953"/>
      <c r="I111" s="224">
        <v>1</v>
      </c>
      <c r="J111" s="126">
        <f>Y109</f>
        <v>205343.22</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H113" s="51"/>
      <c r="I113" s="90"/>
      <c r="J113" s="72"/>
      <c r="R113" s="229"/>
      <c r="S113" s="229"/>
      <c r="T113" s="229"/>
      <c r="U113" s="229"/>
      <c r="V113" s="229"/>
      <c r="W113" s="229"/>
      <c r="X113" s="229"/>
      <c r="Y113" s="229"/>
    </row>
    <row r="114" spans="1:26" x14ac:dyDescent="0.25">
      <c r="A114" s="230" t="s">
        <v>180</v>
      </c>
      <c r="B114" s="231"/>
      <c r="C114" s="231"/>
      <c r="D114" s="231"/>
      <c r="E114" s="231"/>
      <c r="F114" s="231"/>
      <c r="G114" s="231"/>
      <c r="H114" s="658">
        <v>0</v>
      </c>
      <c r="I114" s="659">
        <f>IF(I111=1,J111,J109)</f>
        <v>205343.22</v>
      </c>
      <c r="J114" s="660">
        <f>ROUND(IF(E28=0,0,IF(E28&gt;250,-(((250/E28)*I114)*IF(H114="H",0.02,0.05)),IF(H114="H",-0.02*I114,-0.05*I114))),2)</f>
        <v>-10267.16</v>
      </c>
      <c r="M114" s="2"/>
      <c r="N114" s="3"/>
      <c r="R114" s="2"/>
      <c r="T114" s="4"/>
      <c r="W114" s="2"/>
      <c r="X114" s="5"/>
    </row>
    <row r="115" spans="1:26" ht="16.5" customHeight="1" x14ac:dyDescent="0.25">
      <c r="A115" s="231"/>
      <c r="B115" s="231"/>
      <c r="C115" s="231"/>
      <c r="D115" s="231"/>
      <c r="E115" s="231"/>
      <c r="F115" s="231"/>
      <c r="G115" s="231"/>
      <c r="H115" s="661"/>
      <c r="I115" s="662"/>
      <c r="J115" s="663"/>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664"/>
      <c r="I116" s="665"/>
      <c r="J116" s="666">
        <f>J107+J114</f>
        <v>892165.97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61"/>
      <c r="I117" s="662"/>
      <c r="J117" s="663"/>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1"/>
      <c r="F118" s="230"/>
      <c r="G118" s="231"/>
      <c r="H118" s="661"/>
      <c r="I118" s="662"/>
      <c r="J118" s="667">
        <f>-'Cumulative Payments'!R75</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61"/>
      <c r="I119" s="662"/>
      <c r="J119" s="663"/>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661"/>
      <c r="I120" s="662"/>
      <c r="J120" s="663">
        <f>J116+J118</f>
        <v>892165.97</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61"/>
      <c r="I121" s="662"/>
      <c r="J121" s="663"/>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661"/>
      <c r="I122" s="662"/>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61"/>
      <c r="I123" s="662"/>
      <c r="J123" s="663"/>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661"/>
      <c r="I124" s="662"/>
      <c r="J124" s="669">
        <f>ROUND(J120/J122,2)</f>
        <v>74347.16</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61"/>
      <c r="I125" s="662"/>
      <c r="J125" s="663"/>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661"/>
      <c r="I126" s="662"/>
      <c r="J126" s="670">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62"/>
      <c r="I127" s="671"/>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D65:H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X62:Y62"/>
    <mergeCell ref="A59:B59"/>
    <mergeCell ref="X59:Y59"/>
    <mergeCell ref="I60:J60"/>
    <mergeCell ref="R60:Y60"/>
    <mergeCell ref="F59:H59"/>
    <mergeCell ref="F62:H62"/>
    <mergeCell ref="I57:J57"/>
    <mergeCell ref="R57:Y57"/>
    <mergeCell ref="A58:J58"/>
    <mergeCell ref="R58:S58"/>
    <mergeCell ref="V58:W58"/>
    <mergeCell ref="X58:Y58"/>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179FE-4EEE-499C-8C34-9B575B8E030E}">
  <dimension ref="A1:Z207"/>
  <sheetViews>
    <sheetView topLeftCell="A25" workbookViewId="0">
      <selection activeCell="C42" sqref="C42"/>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497</v>
      </c>
      <c r="B2" s="101"/>
      <c r="C2" s="101"/>
      <c r="D2" s="101"/>
      <c r="E2" s="6"/>
      <c r="F2" s="6"/>
      <c r="G2" s="6"/>
      <c r="H2" s="6"/>
      <c r="I2" s="706" t="str">
        <f>RIGHT(A2,4)</f>
        <v>1461</v>
      </c>
      <c r="J2" s="6"/>
      <c r="K2" s="6"/>
      <c r="L2" s="6"/>
      <c r="M2" s="6"/>
      <c r="N2" s="6"/>
      <c r="O2" s="6"/>
      <c r="P2" s="6"/>
      <c r="Q2" s="6"/>
      <c r="R2" s="927" t="str">
        <f>Revenue_Estimate_Worksheet_for___________Charter_School</f>
        <v>Revenue Estimate Worksheet: Inlet Grove Community High School - 1461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H</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73.38</v>
      </c>
      <c r="D14" s="392">
        <f>SUMIFS('Surv2-3'!L:L,'Surv2-3'!$H:$H,$I$2,'Surv2-3'!$I:$I,$O14)</f>
        <v>70.099999999999994</v>
      </c>
      <c r="E14" s="1020">
        <f t="shared" si="0"/>
        <v>143.47999999999999</v>
      </c>
      <c r="F14" s="1020"/>
      <c r="G14" s="1026">
        <f>Consolidated!$F16</f>
        <v>1</v>
      </c>
      <c r="H14" s="1026">
        <f>Consolidated!$H$9</f>
        <v>1</v>
      </c>
      <c r="I14" s="539">
        <f t="shared" si="3"/>
        <v>143.47999999999999</v>
      </c>
      <c r="J14" s="540">
        <f>ROUND(ROUND(ROUND(I14*$E$6,4)*($I$6),2)*(MAX($I$7,1)),2)</f>
        <v>798226.2</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10</v>
      </c>
      <c r="D15" s="392">
        <f>SUMIFS('Surv2-3'!L:L,'Surv2-3'!$H:$H,$I$2,'Surv2-3'!$I:$I,$O15)</f>
        <v>10.01</v>
      </c>
      <c r="E15" s="1020">
        <f t="shared" si="0"/>
        <v>20.009999999999998</v>
      </c>
      <c r="F15" s="1020"/>
      <c r="G15" s="1026">
        <f>Consolidated!$F17</f>
        <v>1</v>
      </c>
      <c r="H15" s="1026">
        <f>Consolidated!$H$9</f>
        <v>1</v>
      </c>
      <c r="I15" s="539">
        <f t="shared" si="3"/>
        <v>20.010000000000002</v>
      </c>
      <c r="J15" s="540">
        <f t="shared" si="1"/>
        <v>111322.18</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206.34</v>
      </c>
      <c r="D16" s="392">
        <f>SUMIFS('Surv2-3'!M:M,'Surv2-3'!$H:$H,$I$2,'Surv2-3'!$I:$I,$O16)</f>
        <v>203.7</v>
      </c>
      <c r="E16" s="1020">
        <f t="shared" si="0"/>
        <v>410.03999999999996</v>
      </c>
      <c r="F16" s="1020"/>
      <c r="G16" s="1026">
        <f>Consolidated!$F18</f>
        <v>0.97199999999999998</v>
      </c>
      <c r="H16" s="1026">
        <f>Consolidated!$H$9</f>
        <v>1</v>
      </c>
      <c r="I16" s="539">
        <f t="shared" si="3"/>
        <v>398.55889999999999</v>
      </c>
      <c r="J16" s="540">
        <f t="shared" si="1"/>
        <v>2217313.61</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34.840000000000003</v>
      </c>
      <c r="D17" s="392">
        <f>SUMIFS('Surv2-3'!M:M,'Surv2-3'!$H:$H,$I$2,'Surv2-3'!$I:$I,$O17)</f>
        <v>32.42</v>
      </c>
      <c r="E17" s="1020">
        <f t="shared" si="0"/>
        <v>67.260000000000005</v>
      </c>
      <c r="F17" s="1020"/>
      <c r="G17" s="1026">
        <f>Consolidated!$F19</f>
        <v>0.97199999999999998</v>
      </c>
      <c r="H17" s="1026">
        <f>Consolidated!$H$9</f>
        <v>1</v>
      </c>
      <c r="I17" s="539">
        <f t="shared" si="3"/>
        <v>65.3767</v>
      </c>
      <c r="J17" s="540">
        <f t="shared" si="1"/>
        <v>363711.98</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2.63</v>
      </c>
      <c r="D25" s="392">
        <f>SUMIFS('Surv2-3'!L:L,'Surv2-3'!$H:$H,$I$2,'Surv2-3'!$I:$I,$O25)</f>
        <v>1.5</v>
      </c>
      <c r="E25" s="1020">
        <f t="shared" si="0"/>
        <v>4.13</v>
      </c>
      <c r="F25" s="1020"/>
      <c r="G25" s="1026">
        <f>Consolidated!$F27</f>
        <v>1.165</v>
      </c>
      <c r="H25" s="1026">
        <f>Consolidated!$H$9</f>
        <v>1</v>
      </c>
      <c r="I25" s="539">
        <f t="shared" si="3"/>
        <v>4.8114999999999997</v>
      </c>
      <c r="J25" s="540">
        <f t="shared" si="1"/>
        <v>26767.95</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7.51</v>
      </c>
      <c r="D26" s="392">
        <f>SUMIFS('Surv2-3'!M:M,'Surv2-3'!$H:$H,$I$2,'Surv2-3'!$I:$I,$O26)</f>
        <v>8.17</v>
      </c>
      <c r="E26" s="1020">
        <f t="shared" si="0"/>
        <v>15.68</v>
      </c>
      <c r="F26" s="1020"/>
      <c r="G26" s="1026">
        <f>Consolidated!$F28</f>
        <v>1.165</v>
      </c>
      <c r="H26" s="1026">
        <f>Consolidated!$H$9</f>
        <v>1</v>
      </c>
      <c r="I26" s="539">
        <f t="shared" si="3"/>
        <v>18.267199999999999</v>
      </c>
      <c r="J26" s="540">
        <f t="shared" si="1"/>
        <v>101626.41</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88.4</v>
      </c>
      <c r="D27" s="393">
        <f>SUMIFS('Surv2-3'!J:J,'Surv2-3'!$H:$H,$I$2,'Surv2-3'!$I:$I,$O27)</f>
        <v>79.33</v>
      </c>
      <c r="E27" s="1022">
        <f t="shared" si="0"/>
        <v>167.73000000000002</v>
      </c>
      <c r="F27" s="1022"/>
      <c r="G27" s="1023">
        <f>Consolidated!$F29</f>
        <v>1.081</v>
      </c>
      <c r="H27" s="1023">
        <f>Consolidated!$H$9</f>
        <v>1</v>
      </c>
      <c r="I27" s="22">
        <f t="shared" si="3"/>
        <v>181.31610000000001</v>
      </c>
      <c r="J27" s="116">
        <f t="shared" si="1"/>
        <v>1008720.81</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423.1</v>
      </c>
      <c r="D28" s="822">
        <f>SUM(D12:D27)</f>
        <v>405.23</v>
      </c>
      <c r="E28" s="1025">
        <f>SUM(E12:E27)</f>
        <v>828.32999999999993</v>
      </c>
      <c r="F28" s="1025"/>
      <c r="G28" s="1020"/>
      <c r="H28" s="1020"/>
      <c r="I28" s="23">
        <f>SUM(I12:I27)</f>
        <v>831.82040000000006</v>
      </c>
      <c r="J28" s="116">
        <f>SUM(J12:J27)</f>
        <v>4627689.1400000006</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831.82040000000006</v>
      </c>
      <c r="H33" s="1020" t="s">
        <v>45</v>
      </c>
      <c r="I33" s="1020"/>
      <c r="J33" s="32">
        <f>SUM(J32,J28)</f>
        <v>4627689.1400000006</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3884600.52</v>
      </c>
      <c r="H36" s="37" t="s">
        <v>49</v>
      </c>
      <c r="I36" s="38">
        <v>6.6699999999999995E-2</v>
      </c>
      <c r="J36" s="120">
        <f>ROUND(G36*I36,2)</f>
        <v>259102.85</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3884600.52</v>
      </c>
      <c r="H37" s="37" t="s">
        <v>49</v>
      </c>
      <c r="I37" s="38">
        <v>5.4000000000000003E-3</v>
      </c>
      <c r="J37" s="120">
        <f>ROUND(G37*I37,2)</f>
        <v>20976.84</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280079.69</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652"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37" t="s">
        <v>59</v>
      </c>
      <c r="H41" s="37">
        <v>251</v>
      </c>
      <c r="I41" s="125">
        <f>Consolidated!$H59</f>
        <v>1047</v>
      </c>
      <c r="J41" s="46">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4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46">
        <f t="shared" si="9"/>
        <v>0</v>
      </c>
      <c r="M43" s="2"/>
      <c r="R43" s="958"/>
      <c r="S43" s="958"/>
      <c r="T43" s="960"/>
      <c r="U43" s="960"/>
      <c r="V43" s="162" t="s">
        <v>59</v>
      </c>
      <c r="W43" s="162">
        <v>253</v>
      </c>
      <c r="X43" s="123">
        <f>Consolidated!$H61</f>
        <v>6896</v>
      </c>
      <c r="Y43" s="213">
        <f t="shared" si="10"/>
        <v>0</v>
      </c>
    </row>
    <row r="44" spans="1:25" ht="20.25" customHeight="1"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10</v>
      </c>
      <c r="D45" s="824">
        <f>SUMIFS('Surv2-3'!L:L,'Surv2-3'!$H:$H,$I$2,'Surv2-3'!$I:$I,$H45-140)</f>
        <v>10.01</v>
      </c>
      <c r="E45" s="1013">
        <f t="shared" si="8"/>
        <v>20.009999999999998</v>
      </c>
      <c r="F45" s="1013"/>
      <c r="G45" s="47" t="s">
        <v>60</v>
      </c>
      <c r="H45" s="37">
        <v>252</v>
      </c>
      <c r="I45" s="125">
        <f>Consolidated!$H63</f>
        <v>3506</v>
      </c>
      <c r="J45" s="46">
        <f t="shared" si="9"/>
        <v>70155.06</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4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4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34.840000000000003</v>
      </c>
      <c r="D49" s="824">
        <f>SUMIFS('Surv2-3'!M:M,'Surv2-3'!$H:$H,$I$2,'Surv2-3'!$I:$I,$H49-140)</f>
        <v>32.42</v>
      </c>
      <c r="E49" s="1014">
        <f t="shared" si="8"/>
        <v>67.260000000000005</v>
      </c>
      <c r="F49" s="1014"/>
      <c r="G49" s="47" t="s">
        <v>61</v>
      </c>
      <c r="H49" s="37">
        <v>253</v>
      </c>
      <c r="I49" s="125">
        <f>Consolidated!$H67</f>
        <v>6685</v>
      </c>
      <c r="J49" s="46">
        <f t="shared" si="9"/>
        <v>449633.1</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44.84</v>
      </c>
      <c r="D50" s="825">
        <f>SUM(D41:D49)</f>
        <v>42.43</v>
      </c>
      <c r="E50" s="1015">
        <f>SUM(E41:E49)</f>
        <v>87.27000000000001</v>
      </c>
      <c r="F50" s="1015"/>
      <c r="G50" s="970" t="s">
        <v>63</v>
      </c>
      <c r="H50" s="970"/>
      <c r="I50" s="970"/>
      <c r="J50" s="220">
        <f>SUM(J41:J49)</f>
        <v>519788.16</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48">
        <f>E28</f>
        <v>828.32999999999993</v>
      </c>
      <c r="D53" s="49" t="s">
        <v>66</v>
      </c>
      <c r="G53" s="3"/>
      <c r="H53" s="50" t="s">
        <v>67</v>
      </c>
      <c r="I53" s="654">
        <f>Consolidated!H$71</f>
        <v>207716.69</v>
      </c>
      <c r="J53" s="653"/>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IFERROR(ROUND(C53/I53,6),0)</f>
        <v>3.9880000000000002E-3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48">
        <f>G33</f>
        <v>831.82040000000006</v>
      </c>
      <c r="D56" s="49" t="s">
        <v>66</v>
      </c>
      <c r="G56" s="3"/>
      <c r="H56" s="50" t="s">
        <v>71</v>
      </c>
      <c r="I56" s="654">
        <f>Consolidated!H$74</f>
        <v>221131.37000000002</v>
      </c>
      <c r="J56" s="653"/>
      <c r="M56" s="2"/>
      <c r="R56" s="176"/>
      <c r="S56" s="159"/>
      <c r="T56" s="159"/>
      <c r="U56" s="159"/>
      <c r="V56" s="159"/>
      <c r="W56" s="178" t="s">
        <v>68</v>
      </c>
      <c r="X56" s="978">
        <f>ROUND(T55/X55,6)</f>
        <v>0</v>
      </c>
      <c r="Y56" s="978"/>
    </row>
    <row r="57" spans="1:25" ht="18.75" customHeight="1" x14ac:dyDescent="0.25">
      <c r="A57" s="51"/>
      <c r="H57" s="53" t="s">
        <v>68</v>
      </c>
      <c r="I57" s="1004">
        <f>IFERROR(ROUND(C56/I56,6),0)</f>
        <v>3.7620000000000002E-3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48">
        <f>E28</f>
        <v>828.32999999999993</v>
      </c>
      <c r="D59" s="49" t="s">
        <v>66</v>
      </c>
      <c r="F59" s="1027" t="s">
        <v>74</v>
      </c>
      <c r="G59" s="1027"/>
      <c r="H59" s="1027"/>
      <c r="I59" s="654">
        <f>Consolidated!H$77</f>
        <v>178668.19</v>
      </c>
      <c r="J59" s="653"/>
      <c r="M59" s="2"/>
      <c r="R59" s="176"/>
      <c r="S59" s="159"/>
      <c r="T59" s="159"/>
      <c r="U59" s="159"/>
      <c r="V59" s="159"/>
      <c r="W59" s="178" t="s">
        <v>68</v>
      </c>
      <c r="X59" s="978">
        <f>ROUND(T58/X58,6)</f>
        <v>0</v>
      </c>
      <c r="Y59" s="978"/>
    </row>
    <row r="60" spans="1:25" ht="18" customHeight="1" x14ac:dyDescent="0.25">
      <c r="A60" s="51"/>
      <c r="H60" s="53" t="s">
        <v>68</v>
      </c>
      <c r="I60" s="1004">
        <f>IFERROR(ROUND(C59/I59,6),0)</f>
        <v>4.6360000000000004E-3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20.25" customHeight="1" x14ac:dyDescent="0.25">
      <c r="A62" s="953" t="s">
        <v>73</v>
      </c>
      <c r="B62" s="953"/>
      <c r="C62" s="48">
        <f>E28</f>
        <v>828.32999999999993</v>
      </c>
      <c r="D62" s="49" t="s">
        <v>66</v>
      </c>
      <c r="F62" s="1027" t="s">
        <v>76</v>
      </c>
      <c r="G62" s="1027"/>
      <c r="H62" s="1027"/>
      <c r="I62" s="654">
        <f>Consolidated!H$80</f>
        <v>207376.94</v>
      </c>
      <c r="J62" s="653"/>
      <c r="M62" s="2"/>
      <c r="R62" s="176"/>
      <c r="S62" s="159"/>
      <c r="T62" s="159"/>
      <c r="U62" s="159"/>
      <c r="V62" s="159"/>
      <c r="W62" s="178" t="s">
        <v>68</v>
      </c>
      <c r="X62" s="978">
        <f>ROUND(T61/X61,6)</f>
        <v>0</v>
      </c>
      <c r="Y62" s="978"/>
    </row>
    <row r="63" spans="1:25" ht="19.5" customHeight="1" x14ac:dyDescent="0.25">
      <c r="A63" s="51"/>
      <c r="H63" s="53" t="s">
        <v>68</v>
      </c>
      <c r="I63" s="1004">
        <f>IFERROR(ROUND(C62/I62,6),0)</f>
        <v>3.9940000000000002E-3</v>
      </c>
      <c r="J63" s="1004"/>
      <c r="L63" s="55"/>
      <c r="M63" s="56"/>
      <c r="O63" s="57"/>
      <c r="P63" s="58"/>
      <c r="R63" s="955" t="s">
        <v>77</v>
      </c>
      <c r="S63" s="955"/>
      <c r="T63" s="955"/>
      <c r="U63" s="955"/>
      <c r="V63" s="955"/>
      <c r="W63" s="955"/>
      <c r="X63" s="955"/>
      <c r="Y63" s="955"/>
    </row>
    <row r="64" spans="1:25" ht="22.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x14ac:dyDescent="0.25">
      <c r="A65" s="953" t="s">
        <v>73</v>
      </c>
      <c r="B65" s="953"/>
      <c r="C65" s="48">
        <f>E28</f>
        <v>828.32999999999993</v>
      </c>
      <c r="D65" s="1027" t="s">
        <v>606</v>
      </c>
      <c r="E65" s="1027"/>
      <c r="F65" s="1027"/>
      <c r="G65" s="1027"/>
      <c r="H65" s="1027"/>
      <c r="I65" s="654">
        <f>Consolidated!H$83</f>
        <v>178328.44</v>
      </c>
      <c r="J65" s="653"/>
      <c r="M65" s="2"/>
      <c r="R65" s="179"/>
      <c r="S65" s="159"/>
      <c r="T65" s="159"/>
      <c r="U65" s="159"/>
      <c r="V65" s="159"/>
      <c r="W65" s="178" t="s">
        <v>68</v>
      </c>
      <c r="X65" s="978">
        <f>ROUND(T64/X64,6)</f>
        <v>0</v>
      </c>
      <c r="Y65" s="978"/>
    </row>
    <row r="66" spans="1:26" ht="19.5" customHeight="1" x14ac:dyDescent="0.25">
      <c r="A66" s="51"/>
      <c r="H66" s="53" t="s">
        <v>68</v>
      </c>
      <c r="I66" s="1004">
        <f>IFERROR(ROUND(C65/I65,6),0)</f>
        <v>4.6449999999999998E-3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3.9940000000000002E-3</v>
      </c>
      <c r="J68" s="127">
        <f>ROUND(G68*I68,2)</f>
        <v>182168.27</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3.9880000000000002E-3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4.6449999999999998E-3</v>
      </c>
      <c r="J71" s="127">
        <f>ROUND(G71*I71,2)</f>
        <v>88068.76</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4.6360000000000004E-3</v>
      </c>
      <c r="J72" s="127">
        <f>ROUND(G72*I72,2)</f>
        <v>52425.7</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v>9.44</v>
      </c>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v>3.2</v>
      </c>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v>64.3</v>
      </c>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v>0</v>
      </c>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v>9.36</v>
      </c>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86.3</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6.6880000000000004E-3</v>
      </c>
      <c r="J84" s="62">
        <f>ROUND(G84*I84,2)</f>
        <v>391266.66</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3.7620000000000002E-3</v>
      </c>
      <c r="J85" s="127">
        <f>ROUND(G85*I85,2)</f>
        <v>1011286.84</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3.7620000000000002E-3</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3.9880000000000002E-3</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130">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168.30149999999998</v>
      </c>
      <c r="C91" s="80"/>
      <c r="D91" s="921">
        <f>I6</f>
        <v>1.0355000000000001</v>
      </c>
      <c r="E91" s="921"/>
      <c r="F91" s="921"/>
      <c r="G91" s="113">
        <f>Consolidated!F$119</f>
        <v>915.09</v>
      </c>
      <c r="H91" s="47" t="s">
        <v>68</v>
      </c>
      <c r="I91" s="129">
        <f>ROUND(B91*D91*G91,2)</f>
        <v>159478.41</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663.51890000000003</v>
      </c>
      <c r="C92" s="80"/>
      <c r="D92" s="921">
        <f>I6</f>
        <v>1.0355000000000001</v>
      </c>
      <c r="E92" s="921"/>
      <c r="F92" s="921"/>
      <c r="G92" s="113">
        <f>Consolidated!F$120</f>
        <v>917.3</v>
      </c>
      <c r="H92" s="47" t="s">
        <v>68</v>
      </c>
      <c r="I92" s="130">
        <f>ROUND(B92*D92*G92,2)</f>
        <v>630252.81999999995</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831.82040000000006</v>
      </c>
      <c r="C93" s="80"/>
      <c r="D93" s="80"/>
      <c r="E93" s="999" t="s">
        <v>112</v>
      </c>
      <c r="F93" s="999"/>
      <c r="G93" s="999"/>
      <c r="H93" s="999"/>
      <c r="I93" s="999"/>
      <c r="J93" s="116">
        <f>IF(A1=75,0,I92+I91+I90)</f>
        <v>789731.23</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502</v>
      </c>
      <c r="D97" s="223">
        <v>513</v>
      </c>
      <c r="E97" s="1044">
        <f>IF(D97&gt;0,(C97+D97)/2,C97)</f>
        <v>507.5</v>
      </c>
      <c r="F97" s="922"/>
      <c r="G97" s="922"/>
      <c r="H97" s="85" t="s">
        <v>117</v>
      </c>
      <c r="I97" s="119">
        <f>Consolidated!G$127</f>
        <v>578</v>
      </c>
      <c r="J97" s="127">
        <f>ROUND(I97*E97,2)</f>
        <v>293335</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c r="E98" s="1002">
        <f>(C98+D98)/2</f>
        <v>0</v>
      </c>
      <c r="F98" s="1002"/>
      <c r="G98" s="1002"/>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8"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970" t="s">
        <v>125</v>
      </c>
      <c r="B107" s="970"/>
      <c r="C107" s="970"/>
      <c r="D107" s="970"/>
      <c r="E107" s="970"/>
      <c r="F107" s="970"/>
      <c r="G107" s="970"/>
      <c r="H107" s="970"/>
      <c r="I107" s="970"/>
      <c r="J107" s="541">
        <f>SUM(J106,J105,J98,J97,J93,J86,J85,J71,J70,J68,J33,J72,J50,J87,J84)</f>
        <v>7955759.7600000007</v>
      </c>
      <c r="R107" s="955" t="s">
        <v>125</v>
      </c>
      <c r="S107" s="955"/>
      <c r="T107" s="955"/>
      <c r="U107" s="955"/>
      <c r="V107" s="955"/>
      <c r="W107" s="955"/>
      <c r="X107" s="955"/>
      <c r="Y107" s="208">
        <f>SUM(Y106,Y105,Y97,Y96,Y93,Y86,Y85,Y84,Y70,Y69,Y67,Y33,Y71,Y50,Y87,Y83)</f>
        <v>0</v>
      </c>
    </row>
    <row r="108" spans="1:25" ht="15.75" customHeight="1" thickTop="1" x14ac:dyDescent="0.25">
      <c r="A108" s="920"/>
      <c r="B108" s="920"/>
      <c r="C108" s="920"/>
      <c r="D108" s="920"/>
      <c r="E108" s="920"/>
      <c r="F108" s="920"/>
      <c r="G108" s="920"/>
      <c r="H108" s="920"/>
      <c r="I108" s="920"/>
      <c r="J108" s="920"/>
      <c r="R108" s="928"/>
      <c r="S108" s="928"/>
      <c r="T108" s="928"/>
      <c r="U108" s="928"/>
      <c r="V108" s="928"/>
      <c r="W108" s="928"/>
      <c r="X108" s="928"/>
      <c r="Y108" s="928"/>
    </row>
    <row r="109" spans="1:25" ht="17.25" customHeight="1" thickBot="1" x14ac:dyDescent="0.3">
      <c r="A109" s="952" t="s">
        <v>131</v>
      </c>
      <c r="B109" s="952"/>
      <c r="C109" s="952"/>
      <c r="D109" s="952"/>
      <c r="E109" s="952"/>
      <c r="F109" s="920"/>
      <c r="G109" s="920"/>
      <c r="H109" s="920"/>
      <c r="I109" s="2" t="s">
        <v>132</v>
      </c>
      <c r="J109" s="543">
        <f>J107-J38</f>
        <v>7675680.0700000003</v>
      </c>
      <c r="R109" s="159" t="s">
        <v>176</v>
      </c>
      <c r="S109" s="159"/>
      <c r="T109" s="159"/>
      <c r="U109" s="159"/>
      <c r="V109" s="159"/>
      <c r="W109" s="159"/>
      <c r="X109" s="159"/>
      <c r="Y109" s="209">
        <f>Y107-Y38</f>
        <v>0</v>
      </c>
    </row>
    <row r="110" spans="1:25" ht="18.75" customHeight="1" thickTop="1" x14ac:dyDescent="0.25">
      <c r="A110" s="952" t="s">
        <v>133</v>
      </c>
      <c r="B110" s="952"/>
      <c r="C110" s="952"/>
      <c r="D110" s="952"/>
      <c r="E110" s="952"/>
      <c r="F110" s="952"/>
      <c r="G110" s="952"/>
      <c r="H110" s="952"/>
      <c r="I110" s="42" t="s">
        <v>134</v>
      </c>
      <c r="J110" s="72"/>
      <c r="R110" s="1012" t="s">
        <v>136</v>
      </c>
      <c r="S110" s="1012"/>
      <c r="T110" s="1012"/>
      <c r="U110" s="1012"/>
      <c r="V110" s="1012"/>
      <c r="W110" s="1012"/>
      <c r="X110" s="1012"/>
      <c r="Y110" s="1012"/>
    </row>
    <row r="111" spans="1:25" ht="15.75" customHeight="1" x14ac:dyDescent="0.25">
      <c r="A111" s="953" t="s">
        <v>135</v>
      </c>
      <c r="B111" s="953"/>
      <c r="C111" s="953"/>
      <c r="D111" s="953"/>
      <c r="E111" s="953"/>
      <c r="F111" s="953"/>
      <c r="G111" s="953"/>
      <c r="H111" s="953"/>
      <c r="I111" s="224"/>
      <c r="J111" s="4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H113" s="51"/>
      <c r="I113" s="90"/>
      <c r="J113" s="72"/>
      <c r="R113" s="229"/>
      <c r="S113" s="229"/>
      <c r="T113" s="229"/>
      <c r="U113" s="229"/>
      <c r="V113" s="229"/>
      <c r="W113" s="229"/>
      <c r="X113" s="229"/>
      <c r="Y113" s="229"/>
    </row>
    <row r="114" spans="1:26" x14ac:dyDescent="0.25">
      <c r="A114" s="230" t="s">
        <v>180</v>
      </c>
      <c r="B114" s="231"/>
      <c r="C114" s="231"/>
      <c r="D114" s="231"/>
      <c r="E114" s="231"/>
      <c r="F114" s="231"/>
      <c r="G114" s="231"/>
      <c r="H114" s="658" t="s">
        <v>495</v>
      </c>
      <c r="I114" s="659">
        <f>IF(I111=1,J111,J109)</f>
        <v>7675680.0700000003</v>
      </c>
      <c r="J114" s="660">
        <f>ROUND(IF(E28=0,0,IF(E28&gt;250,-(((250/E28)*I114)*IF(H114="H",0.02,0.05)),IF(H114="H",-0.02*I114,-0.05*I114))),2)</f>
        <v>-46332.26</v>
      </c>
      <c r="M114" s="2"/>
      <c r="N114" s="3"/>
      <c r="R114" s="2"/>
      <c r="T114" s="4"/>
      <c r="W114" s="2"/>
      <c r="X114" s="5"/>
    </row>
    <row r="115" spans="1:26" ht="16.5" customHeight="1" x14ac:dyDescent="0.25">
      <c r="A115" s="231"/>
      <c r="B115" s="231"/>
      <c r="C115" s="231"/>
      <c r="D115" s="231"/>
      <c r="E115" s="231"/>
      <c r="F115" s="231"/>
      <c r="G115" s="231"/>
      <c r="H115" s="661"/>
      <c r="I115" s="662"/>
      <c r="J115" s="663"/>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664"/>
      <c r="I116" s="665"/>
      <c r="J116" s="666">
        <f>J107+J114</f>
        <v>7909427.5000000009</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61"/>
      <c r="I117" s="662"/>
      <c r="J117" s="663"/>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1"/>
      <c r="F118" s="230"/>
      <c r="G118" s="231"/>
      <c r="H118" s="661"/>
      <c r="I118" s="662"/>
      <c r="J118" s="667">
        <f>-'Cumulative Payments'!R76</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61"/>
      <c r="I119" s="662"/>
      <c r="J119" s="663"/>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661"/>
      <c r="I120" s="662"/>
      <c r="J120" s="663">
        <f>J116+J118</f>
        <v>7909427.5000000009</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61"/>
      <c r="I121" s="662"/>
      <c r="J121" s="663"/>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661"/>
      <c r="I122" s="662"/>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61"/>
      <c r="I123" s="662"/>
      <c r="J123" s="663"/>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661"/>
      <c r="I124" s="662"/>
      <c r="J124" s="669">
        <f>ROUND(J120/J122,2)</f>
        <v>659118.96</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61"/>
      <c r="I125" s="662"/>
      <c r="J125" s="663"/>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661"/>
      <c r="I126" s="662"/>
      <c r="J126" s="670">
        <f>ROUND(IF(H114="H",(I114*0.02)+J114,(I114*0.05)+J114),2)</f>
        <v>107181.34</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62"/>
      <c r="I127" s="671"/>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D65:H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X62:Y62"/>
    <mergeCell ref="A59:B59"/>
    <mergeCell ref="X59:Y59"/>
    <mergeCell ref="I60:J60"/>
    <mergeCell ref="R60:Y60"/>
    <mergeCell ref="F62:H62"/>
    <mergeCell ref="F59:H59"/>
    <mergeCell ref="I57:J57"/>
    <mergeCell ref="R57:Y57"/>
    <mergeCell ref="A58:J58"/>
    <mergeCell ref="R58:S58"/>
    <mergeCell ref="V58:W58"/>
    <mergeCell ref="X58:Y58"/>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6D7F8-ADC8-4D87-BA31-2337C86B2E39}">
  <dimension ref="A1:Z207"/>
  <sheetViews>
    <sheetView topLeftCell="A38" workbookViewId="0">
      <selection activeCell="C42" sqref="C42"/>
    </sheetView>
  </sheetViews>
  <sheetFormatPr defaultRowHeight="15.75" x14ac:dyDescent="0.25"/>
  <cols>
    <col min="1" max="1" width="13" style="42" customWidth="1"/>
    <col min="2" max="2" width="33.5703125" style="2" customWidth="1"/>
    <col min="3" max="4" width="14.28515625" style="2" customWidth="1"/>
    <col min="5" max="5" width="9" style="2" bestFit="1"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498</v>
      </c>
      <c r="B2" s="101"/>
      <c r="C2" s="101"/>
      <c r="D2" s="101"/>
      <c r="E2" s="6"/>
      <c r="F2" s="6"/>
      <c r="G2" s="6"/>
      <c r="H2" s="6"/>
      <c r="I2" s="706" t="str">
        <f>RIGHT(A2,4)</f>
        <v>1571</v>
      </c>
      <c r="J2" s="6"/>
      <c r="K2" s="6"/>
      <c r="L2" s="6"/>
      <c r="M2" s="6"/>
      <c r="N2" s="6"/>
      <c r="O2" s="6"/>
      <c r="P2" s="6"/>
      <c r="Q2" s="6"/>
      <c r="R2" s="927" t="str">
        <f>Revenue_Estimate_Worksheet_for___________Charter_School</f>
        <v>Revenue Estimate Worksheet: South Tech Charter Academy - 1571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H</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0</v>
      </c>
      <c r="D14" s="392">
        <f>SUMIFS('Surv2-3'!L:L,'Surv2-3'!$H:$H,$I$2,'Surv2-3'!$I:$I,$O14)</f>
        <v>0.11</v>
      </c>
      <c r="E14" s="1020">
        <f t="shared" si="0"/>
        <v>0.11</v>
      </c>
      <c r="F14" s="1020"/>
      <c r="G14" s="1026">
        <f>Consolidated!$F16</f>
        <v>1</v>
      </c>
      <c r="H14" s="1026">
        <f>Consolidated!$H$9</f>
        <v>1</v>
      </c>
      <c r="I14" s="539">
        <f t="shared" si="3"/>
        <v>0.11</v>
      </c>
      <c r="J14" s="540">
        <f>ROUND(ROUND(ROUND(I14*$E$6,4)*($I$6),2)*(MAX($I$7,1)),2)</f>
        <v>611.97</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0</v>
      </c>
      <c r="D15" s="392">
        <f>SUMIFS('Surv2-3'!L:L,'Surv2-3'!$H:$H,$I$2,'Surv2-3'!$I:$I,$O15)</f>
        <v>0</v>
      </c>
      <c r="E15" s="1020">
        <f t="shared" si="0"/>
        <v>0</v>
      </c>
      <c r="F15" s="1020"/>
      <c r="G15" s="1026">
        <f>Consolidated!$F17</f>
        <v>1</v>
      </c>
      <c r="H15" s="1026">
        <f>Consolidated!$H$9</f>
        <v>1</v>
      </c>
      <c r="I15" s="539">
        <f t="shared" si="3"/>
        <v>0</v>
      </c>
      <c r="J15" s="540">
        <f t="shared" si="1"/>
        <v>0</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286.32</v>
      </c>
      <c r="D16" s="392">
        <f>SUMIFS('Surv2-3'!M:M,'Surv2-3'!$H:$H,$I$2,'Surv2-3'!$I:$I,$O16)</f>
        <v>273.25</v>
      </c>
      <c r="E16" s="1020">
        <f t="shared" si="0"/>
        <v>559.56999999999994</v>
      </c>
      <c r="F16" s="1020"/>
      <c r="G16" s="1026">
        <f>Consolidated!$F18</f>
        <v>0.97199999999999998</v>
      </c>
      <c r="H16" s="1026">
        <f>Consolidated!$H$9</f>
        <v>1</v>
      </c>
      <c r="I16" s="539">
        <f t="shared" si="3"/>
        <v>543.90200000000004</v>
      </c>
      <c r="J16" s="540">
        <f t="shared" si="1"/>
        <v>3025904.85</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144.73000000000002</v>
      </c>
      <c r="D17" s="392">
        <f>SUMIFS('Surv2-3'!M:M,'Surv2-3'!$H:$H,$I$2,'Surv2-3'!$I:$I,$O17)</f>
        <v>137.68</v>
      </c>
      <c r="E17" s="1020">
        <f t="shared" si="0"/>
        <v>282.41000000000003</v>
      </c>
      <c r="F17" s="1020"/>
      <c r="G17" s="1026">
        <f>Consolidated!$F19</f>
        <v>0.97199999999999998</v>
      </c>
      <c r="H17" s="1026">
        <f>Consolidated!$H$9</f>
        <v>1</v>
      </c>
      <c r="I17" s="539">
        <f t="shared" si="3"/>
        <v>274.5025</v>
      </c>
      <c r="J17" s="540">
        <f t="shared" si="1"/>
        <v>1527147.25</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v>
      </c>
      <c r="D25" s="392">
        <f>SUMIFS('Surv2-3'!L:L,'Surv2-3'!$H:$H,$I$2,'Surv2-3'!$I:$I,$O25)</f>
        <v>0</v>
      </c>
      <c r="E25" s="1020">
        <f t="shared" si="0"/>
        <v>0</v>
      </c>
      <c r="F25" s="1020"/>
      <c r="G25" s="1026">
        <f>Consolidated!$F27</f>
        <v>1.165</v>
      </c>
      <c r="H25" s="1026">
        <f>Consolidated!$H$9</f>
        <v>1</v>
      </c>
      <c r="I25" s="539">
        <f t="shared" si="3"/>
        <v>0</v>
      </c>
      <c r="J25" s="540">
        <f t="shared" si="1"/>
        <v>0</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1.5099999999999998</v>
      </c>
      <c r="D26" s="392">
        <f>SUMIFS('Surv2-3'!M:M,'Surv2-3'!$H:$H,$I$2,'Surv2-3'!$I:$I,$O26)</f>
        <v>1.33</v>
      </c>
      <c r="E26" s="1020">
        <f t="shared" si="0"/>
        <v>2.84</v>
      </c>
      <c r="F26" s="1020"/>
      <c r="G26" s="1026">
        <f>Consolidated!$F28</f>
        <v>1.165</v>
      </c>
      <c r="H26" s="1026">
        <f>Consolidated!$H$9</f>
        <v>1</v>
      </c>
      <c r="I26" s="539">
        <f t="shared" si="3"/>
        <v>3.3086000000000002</v>
      </c>
      <c r="J26" s="540">
        <f t="shared" si="1"/>
        <v>18406.82</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127.35000000000001</v>
      </c>
      <c r="D27" s="393">
        <f>SUMIFS('Surv2-3'!J:J,'Surv2-3'!$H:$H,$I$2,'Surv2-3'!$I:$I,$O27)</f>
        <v>126</v>
      </c>
      <c r="E27" s="1022">
        <f t="shared" si="0"/>
        <v>253.35000000000002</v>
      </c>
      <c r="F27" s="1022"/>
      <c r="G27" s="1023">
        <f>Consolidated!$F29</f>
        <v>1.081</v>
      </c>
      <c r="H27" s="1023">
        <f>Consolidated!$H$9</f>
        <v>1</v>
      </c>
      <c r="I27" s="22">
        <f t="shared" si="3"/>
        <v>273.87139999999999</v>
      </c>
      <c r="J27" s="116">
        <f t="shared" si="1"/>
        <v>1523636.24</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559.91</v>
      </c>
      <c r="D28" s="822">
        <f>SUM(D12:D27)</f>
        <v>538.37</v>
      </c>
      <c r="E28" s="1048">
        <f>SUM(E12:E27)</f>
        <v>1098.28</v>
      </c>
      <c r="F28" s="1048"/>
      <c r="G28" s="1020"/>
      <c r="H28" s="1020"/>
      <c r="I28" s="23">
        <f>SUM(I12:I27)</f>
        <v>1095.6945000000001</v>
      </c>
      <c r="J28" s="116">
        <f>SUM(J12:J27)</f>
        <v>6095707.1300000008</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1095.6945000000001</v>
      </c>
      <c r="H33" s="1020" t="s">
        <v>45</v>
      </c>
      <c r="I33" s="1020"/>
      <c r="J33" s="32">
        <f>SUM(J32,J28)</f>
        <v>6095707.1300000008</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6179477.4900000002</v>
      </c>
      <c r="H36" s="37" t="s">
        <v>49</v>
      </c>
      <c r="I36" s="38">
        <v>6.6699999999999995E-2</v>
      </c>
      <c r="J36" s="120">
        <f>ROUND(G36*I36,2)</f>
        <v>412171.15</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6179477.4900000002</v>
      </c>
      <c r="H37" s="37" t="s">
        <v>49</v>
      </c>
      <c r="I37" s="38">
        <v>5.4000000000000003E-3</v>
      </c>
      <c r="J37" s="120">
        <f>ROUND(G37*I37,2)</f>
        <v>33369.18</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445540.33</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37" t="s">
        <v>59</v>
      </c>
      <c r="H41" s="37">
        <v>251</v>
      </c>
      <c r="I41" s="125">
        <f>Consolidated!$H59</f>
        <v>1047</v>
      </c>
      <c r="J41" s="46">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4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46">
        <f t="shared" si="9"/>
        <v>0</v>
      </c>
      <c r="M43" s="2"/>
      <c r="R43" s="958"/>
      <c r="S43" s="958"/>
      <c r="T43" s="960"/>
      <c r="U43" s="960"/>
      <c r="V43" s="162" t="s">
        <v>59</v>
      </c>
      <c r="W43" s="162">
        <v>253</v>
      </c>
      <c r="X43" s="123">
        <f>Consolidated!$H61</f>
        <v>6896</v>
      </c>
      <c r="Y43" s="213">
        <f t="shared" si="10"/>
        <v>0</v>
      </c>
    </row>
    <row r="44" spans="1:25" ht="20.25" customHeight="1"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0</v>
      </c>
      <c r="D45" s="824">
        <f>SUMIFS('Surv2-3'!L:L,'Surv2-3'!$H:$H,$I$2,'Surv2-3'!$I:$I,$H45-140)</f>
        <v>0</v>
      </c>
      <c r="E45" s="1013">
        <f t="shared" si="8"/>
        <v>0</v>
      </c>
      <c r="F45" s="1013"/>
      <c r="G45" s="47" t="s">
        <v>60</v>
      </c>
      <c r="H45" s="37">
        <v>252</v>
      </c>
      <c r="I45" s="125">
        <f>Consolidated!$H63</f>
        <v>3506</v>
      </c>
      <c r="J45" s="46">
        <f t="shared" si="9"/>
        <v>0</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12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12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144.73000000000002</v>
      </c>
      <c r="D49" s="824">
        <f>SUMIFS('Surv2-3'!M:M,'Surv2-3'!$H:$H,$I$2,'Surv2-3'!$I:$I,$H49-140)</f>
        <v>137.68</v>
      </c>
      <c r="E49" s="1014">
        <f t="shared" si="8"/>
        <v>282.41000000000003</v>
      </c>
      <c r="F49" s="1014"/>
      <c r="G49" s="47" t="s">
        <v>61</v>
      </c>
      <c r="H49" s="37">
        <v>253</v>
      </c>
      <c r="I49" s="125">
        <f>Consolidated!$H67</f>
        <v>6685</v>
      </c>
      <c r="J49" s="46">
        <f t="shared" si="9"/>
        <v>1887910.85</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144.73000000000002</v>
      </c>
      <c r="D50" s="825">
        <f>SUM(D41:D49)</f>
        <v>137.68</v>
      </c>
      <c r="E50" s="1015">
        <f>SUM(E41:E49)</f>
        <v>282.41000000000003</v>
      </c>
      <c r="F50" s="1015"/>
      <c r="G50" s="970" t="s">
        <v>63</v>
      </c>
      <c r="H50" s="970"/>
      <c r="I50" s="970"/>
      <c r="J50" s="220">
        <f>SUM(J41:J49)</f>
        <v>1887910.85</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1098.28</v>
      </c>
      <c r="F53" s="49" t="s">
        <v>66</v>
      </c>
      <c r="G53" s="3"/>
      <c r="H53" s="50" t="s">
        <v>67</v>
      </c>
      <c r="I53" s="654">
        <f>Consolidated!H$71</f>
        <v>207716.69</v>
      </c>
      <c r="J53" s="653"/>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5.287E-3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E56</f>
        <v>1095.6945000000001</v>
      </c>
      <c r="U55" s="173" t="s">
        <v>66</v>
      </c>
      <c r="V55" s="174"/>
      <c r="W55" s="175" t="s">
        <v>71</v>
      </c>
      <c r="X55" s="977">
        <f>I56</f>
        <v>221131.37000000002</v>
      </c>
      <c r="Y55" s="977"/>
    </row>
    <row r="56" spans="1:25" ht="16.5" customHeight="1" x14ac:dyDescent="0.25">
      <c r="A56" s="953" t="s">
        <v>70</v>
      </c>
      <c r="B56" s="953"/>
      <c r="C56" s="51"/>
      <c r="D56" s="51"/>
      <c r="E56" s="48">
        <f>G33</f>
        <v>1095.6945000000001</v>
      </c>
      <c r="F56" s="49" t="s">
        <v>66</v>
      </c>
      <c r="G56" s="3"/>
      <c r="H56" s="50" t="s">
        <v>71</v>
      </c>
      <c r="I56" s="654">
        <f>Consolidated!H$74</f>
        <v>221131.37000000002</v>
      </c>
      <c r="J56" s="653"/>
      <c r="M56" s="2"/>
      <c r="R56" s="176"/>
      <c r="S56" s="159"/>
      <c r="T56" s="159"/>
      <c r="U56" s="159"/>
      <c r="V56" s="159"/>
      <c r="W56" s="178" t="s">
        <v>68</v>
      </c>
      <c r="X56" s="978">
        <f>ROUND(T55/X55,6)</f>
        <v>4.9550000000000002E-3</v>
      </c>
      <c r="Y56" s="978"/>
    </row>
    <row r="57" spans="1:25" ht="18.75" customHeight="1" x14ac:dyDescent="0.25">
      <c r="A57" s="51"/>
      <c r="H57" s="53" t="s">
        <v>68</v>
      </c>
      <c r="I57" s="1004">
        <f>IFERROR(ROUND(E56/I56,6),0)</f>
        <v>4.9550000000000002E-3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1098.28</v>
      </c>
      <c r="F59" s="49" t="s">
        <v>66</v>
      </c>
      <c r="G59" s="1046" t="s">
        <v>74</v>
      </c>
      <c r="H59" s="1046"/>
      <c r="I59" s="654">
        <f>Consolidated!H$77</f>
        <v>178668.19</v>
      </c>
      <c r="J59" s="653"/>
      <c r="M59" s="2"/>
      <c r="R59" s="176"/>
      <c r="S59" s="159"/>
      <c r="T59" s="159"/>
      <c r="U59" s="159"/>
      <c r="V59" s="159"/>
      <c r="W59" s="178" t="s">
        <v>68</v>
      </c>
      <c r="X59" s="978">
        <f>ROUND(T58/X58,6)</f>
        <v>0</v>
      </c>
      <c r="Y59" s="978"/>
    </row>
    <row r="60" spans="1:25" ht="18" customHeight="1" x14ac:dyDescent="0.25">
      <c r="A60" s="51"/>
      <c r="H60" s="53" t="s">
        <v>68</v>
      </c>
      <c r="I60" s="1004">
        <f>IFERROR(ROUND(E59/I59,6),0)</f>
        <v>6.1469999999999997E-3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1098.28</v>
      </c>
      <c r="F62" s="49" t="s">
        <v>66</v>
      </c>
      <c r="G62" s="1046" t="s">
        <v>76</v>
      </c>
      <c r="H62" s="1046"/>
      <c r="I62" s="654">
        <f>Consolidated!H$80</f>
        <v>207376.94</v>
      </c>
      <c r="J62" s="653"/>
      <c r="M62" s="2"/>
      <c r="R62" s="176"/>
      <c r="S62" s="159"/>
      <c r="T62" s="159"/>
      <c r="U62" s="159"/>
      <c r="V62" s="159"/>
      <c r="W62" s="178" t="s">
        <v>68</v>
      </c>
      <c r="X62" s="978">
        <f>ROUND(T61/X61,6)</f>
        <v>0</v>
      </c>
      <c r="Y62" s="978"/>
    </row>
    <row r="63" spans="1:25" ht="19.5" customHeight="1" x14ac:dyDescent="0.25">
      <c r="A63" s="51"/>
      <c r="H63" s="53" t="s">
        <v>68</v>
      </c>
      <c r="I63" s="1004">
        <f>IFERROR(ROUND(E62/I62,6),0)</f>
        <v>5.2960000000000004E-3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1098.28</v>
      </c>
      <c r="F65" s="49" t="s">
        <v>66</v>
      </c>
      <c r="G65" s="1046" t="s">
        <v>78</v>
      </c>
      <c r="H65" s="1046"/>
      <c r="I65" s="654">
        <f>Consolidated!H$83</f>
        <v>178328.44</v>
      </c>
      <c r="J65" s="653"/>
      <c r="M65" s="2"/>
      <c r="R65" s="179"/>
      <c r="S65" s="159"/>
      <c r="T65" s="159"/>
      <c r="U65" s="159"/>
      <c r="V65" s="159"/>
      <c r="W65" s="178" t="s">
        <v>68</v>
      </c>
      <c r="X65" s="978">
        <f>ROUND(T64/X64,6)</f>
        <v>0</v>
      </c>
      <c r="Y65" s="978"/>
    </row>
    <row r="66" spans="1:26" ht="19.5" customHeight="1" x14ac:dyDescent="0.25">
      <c r="A66" s="51"/>
      <c r="H66" s="53" t="s">
        <v>68</v>
      </c>
      <c r="I66" s="1004">
        <f>IFERROR(ROUND(E65/I65,6),0)</f>
        <v>6.1590000000000004E-3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5.2960000000000004E-3</v>
      </c>
      <c r="J68" s="127">
        <f>ROUND(G68*I68,2)</f>
        <v>241553.12</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5.287E-3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6.1590000000000004E-3</v>
      </c>
      <c r="J71" s="127">
        <f>ROUND(G71*I71,2)</f>
        <v>116774.06</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6.1469999999999997E-3</v>
      </c>
      <c r="J72" s="127">
        <f>ROUND(G72*I72,2)</f>
        <v>69512.679999999993</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v>28.64</v>
      </c>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v>146.30000000000001</v>
      </c>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v>2.5</v>
      </c>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v>1.76</v>
      </c>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179.2</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20" t="s">
        <v>101</v>
      </c>
      <c r="B84" s="920"/>
      <c r="C84" s="920"/>
      <c r="D84" s="52"/>
      <c r="G84" s="112">
        <f>Consolidated!F$106</f>
        <v>58502790</v>
      </c>
      <c r="H84" s="37" t="s">
        <v>81</v>
      </c>
      <c r="I84" s="41">
        <f>IFERROR(ROUND(J81/J82,6),0)</f>
        <v>1.3887999999999999E-2</v>
      </c>
      <c r="J84" s="62">
        <f>ROUND(G84*I84,2)</f>
        <v>812486.75</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4.9550000000000002E-3</v>
      </c>
      <c r="J85" s="127">
        <f>ROUND(G85*I85,2)</f>
        <v>1331984.6599999999</v>
      </c>
      <c r="K85" s="70"/>
      <c r="L85" s="70"/>
      <c r="M85" s="71"/>
      <c r="N85" s="70"/>
      <c r="O85" s="70"/>
      <c r="P85" s="70"/>
      <c r="Q85" s="70"/>
      <c r="R85" s="955" t="s">
        <v>168</v>
      </c>
      <c r="S85" s="955"/>
      <c r="T85" s="955"/>
      <c r="U85" s="158"/>
      <c r="V85" s="160">
        <f>G85</f>
        <v>268816278</v>
      </c>
      <c r="W85" s="162" t="s">
        <v>81</v>
      </c>
      <c r="X85" s="165">
        <f>X56</f>
        <v>4.9550000000000002E-3</v>
      </c>
      <c r="Y85" s="212">
        <f t="shared" ref="Y85:Y87" si="12">ROUND(V85*X85,2)</f>
        <v>1331984.6599999999</v>
      </c>
    </row>
    <row r="86" spans="1:26" ht="14.25" customHeight="1" x14ac:dyDescent="0.25">
      <c r="A86" s="952" t="s">
        <v>104</v>
      </c>
      <c r="B86" s="952"/>
      <c r="C86" s="952"/>
      <c r="D86" s="952"/>
      <c r="E86" s="952"/>
      <c r="F86" s="36" t="s">
        <v>103</v>
      </c>
      <c r="G86" s="128">
        <v>0</v>
      </c>
      <c r="H86" s="37" t="s">
        <v>81</v>
      </c>
      <c r="I86" s="41">
        <f>I57</f>
        <v>4.9550000000000002E-3</v>
      </c>
      <c r="J86" s="127">
        <f>ROUND(G86*I86,2)</f>
        <v>0</v>
      </c>
      <c r="K86" s="70"/>
      <c r="L86" s="71"/>
      <c r="M86" s="76"/>
      <c r="N86" s="76"/>
      <c r="O86" s="76"/>
      <c r="P86" s="76"/>
      <c r="Q86" s="70"/>
      <c r="R86" s="955" t="s">
        <v>169</v>
      </c>
      <c r="S86" s="955"/>
      <c r="T86" s="955"/>
      <c r="U86" s="158"/>
      <c r="V86" s="192">
        <f>G86</f>
        <v>0</v>
      </c>
      <c r="W86" s="162" t="s">
        <v>81</v>
      </c>
      <c r="X86" s="165">
        <f>X56</f>
        <v>4.9550000000000002E-3</v>
      </c>
      <c r="Y86" s="212">
        <f t="shared" si="12"/>
        <v>0</v>
      </c>
    </row>
    <row r="87" spans="1:26" ht="18" customHeight="1" x14ac:dyDescent="0.25">
      <c r="A87" s="952" t="s">
        <v>105</v>
      </c>
      <c r="B87" s="952"/>
      <c r="C87" s="952"/>
      <c r="D87" s="952"/>
      <c r="E87" s="952"/>
      <c r="F87" s="36" t="s">
        <v>84</v>
      </c>
      <c r="G87" s="128">
        <v>0</v>
      </c>
      <c r="H87" s="37" t="s">
        <v>81</v>
      </c>
      <c r="I87" s="41">
        <f>I54</f>
        <v>5.287E-3</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130">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0.11</v>
      </c>
      <c r="C91" s="80"/>
      <c r="D91" s="921">
        <f>I6</f>
        <v>1.0355000000000001</v>
      </c>
      <c r="E91" s="921"/>
      <c r="F91" s="921"/>
      <c r="G91" s="113">
        <f>Consolidated!F$119</f>
        <v>915.09</v>
      </c>
      <c r="H91" s="47" t="s">
        <v>68</v>
      </c>
      <c r="I91" s="129">
        <f>ROUND(B91*D91*G91,2)</f>
        <v>104.23</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1095.5844999999999</v>
      </c>
      <c r="C92" s="80"/>
      <c r="D92" s="921">
        <f>I6</f>
        <v>1.0355000000000001</v>
      </c>
      <c r="E92" s="921"/>
      <c r="F92" s="921"/>
      <c r="G92" s="113">
        <f>Consolidated!F$120</f>
        <v>917.3</v>
      </c>
      <c r="H92" s="47" t="s">
        <v>68</v>
      </c>
      <c r="I92" s="537">
        <f>ROUND(B92*D92*G92,2)</f>
        <v>1040656.44</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1095.6944999999998</v>
      </c>
      <c r="C93" s="80"/>
      <c r="D93" s="80"/>
      <c r="E93" s="999" t="s">
        <v>112</v>
      </c>
      <c r="F93" s="999"/>
      <c r="G93" s="999"/>
      <c r="H93" s="999"/>
      <c r="I93" s="999"/>
      <c r="J93" s="116">
        <f>IF(A1=75,0,I92+I91+I90)</f>
        <v>1040760.6699999999</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823</v>
      </c>
      <c r="D97" s="223">
        <v>743</v>
      </c>
      <c r="E97" s="1049">
        <f>IF(D97&gt;0,(C97+D97)/2,C97)</f>
        <v>783</v>
      </c>
      <c r="F97" s="1049"/>
      <c r="G97" s="1049"/>
      <c r="H97" s="85" t="s">
        <v>117</v>
      </c>
      <c r="I97" s="119">
        <f>Consolidated!G$127</f>
        <v>578</v>
      </c>
      <c r="J97" s="127">
        <f>ROUND(I97*E97,2)</f>
        <v>452574</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c r="E98" s="1002">
        <f>(C98+D98)/2</f>
        <v>0</v>
      </c>
      <c r="F98" s="1002"/>
      <c r="G98" s="1002"/>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8"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970" t="s">
        <v>125</v>
      </c>
      <c r="B107" s="970"/>
      <c r="C107" s="970"/>
      <c r="D107" s="970"/>
      <c r="E107" s="970"/>
      <c r="F107" s="970"/>
      <c r="G107" s="970"/>
      <c r="H107" s="970"/>
      <c r="I107" s="970"/>
      <c r="J107" s="541">
        <f>SUM(J106,J105,J98,J97,J93,J86,J85,J71,J70,J68,J33,J72,J50,J87,J84)</f>
        <v>12049263.92</v>
      </c>
      <c r="R107" s="955" t="s">
        <v>125</v>
      </c>
      <c r="S107" s="955"/>
      <c r="T107" s="955"/>
      <c r="U107" s="955"/>
      <c r="V107" s="955"/>
      <c r="W107" s="955"/>
      <c r="X107" s="955"/>
      <c r="Y107" s="208">
        <f>SUM(Y106,Y105,Y97,Y96,Y93,Y86,Y85,Y84,Y70,Y69,Y67,Y33,Y71,Y50,Y87,Y83)</f>
        <v>1331984.6599999999</v>
      </c>
    </row>
    <row r="108" spans="1:25" ht="15.75" customHeight="1" thickTop="1" x14ac:dyDescent="0.25">
      <c r="A108" s="920"/>
      <c r="B108" s="920"/>
      <c r="C108" s="920"/>
      <c r="D108" s="920"/>
      <c r="E108" s="920"/>
      <c r="F108" s="920"/>
      <c r="G108" s="920"/>
      <c r="H108" s="920"/>
      <c r="I108" s="920"/>
      <c r="J108" s="920"/>
      <c r="R108" s="928"/>
      <c r="S108" s="928"/>
      <c r="T108" s="928"/>
      <c r="U108" s="928"/>
      <c r="V108" s="928"/>
      <c r="W108" s="928"/>
      <c r="X108" s="928"/>
      <c r="Y108" s="928"/>
    </row>
    <row r="109" spans="1:25" ht="17.25" customHeight="1" thickBot="1" x14ac:dyDescent="0.3">
      <c r="A109" s="952" t="s">
        <v>131</v>
      </c>
      <c r="B109" s="952"/>
      <c r="C109" s="952"/>
      <c r="D109" s="952"/>
      <c r="E109" s="952"/>
      <c r="F109" s="920"/>
      <c r="G109" s="920"/>
      <c r="H109" s="920"/>
      <c r="I109" s="2" t="s">
        <v>132</v>
      </c>
      <c r="J109" s="543">
        <f>J107-J38</f>
        <v>11603723.59</v>
      </c>
      <c r="R109" s="159" t="s">
        <v>176</v>
      </c>
      <c r="S109" s="159"/>
      <c r="T109" s="159"/>
      <c r="U109" s="159"/>
      <c r="V109" s="159"/>
      <c r="W109" s="159"/>
      <c r="X109" s="159"/>
      <c r="Y109" s="209">
        <f>Y107-Y38</f>
        <v>1331984.6599999999</v>
      </c>
    </row>
    <row r="110" spans="1:25" ht="18.75" customHeight="1" thickTop="1" x14ac:dyDescent="0.25">
      <c r="A110" s="952" t="s">
        <v>133</v>
      </c>
      <c r="B110" s="952"/>
      <c r="C110" s="952"/>
      <c r="D110" s="952"/>
      <c r="E110" s="952"/>
      <c r="F110" s="952"/>
      <c r="G110" s="952"/>
      <c r="H110" s="952"/>
      <c r="I110" s="42" t="s">
        <v>134</v>
      </c>
      <c r="J110" s="72"/>
      <c r="R110" s="1012" t="s">
        <v>136</v>
      </c>
      <c r="S110" s="1012"/>
      <c r="T110" s="1012"/>
      <c r="U110" s="1012"/>
      <c r="V110" s="1012"/>
      <c r="W110" s="1012"/>
      <c r="X110" s="1012"/>
      <c r="Y110" s="1012"/>
    </row>
    <row r="111" spans="1:25" ht="15.75" customHeight="1" x14ac:dyDescent="0.25">
      <c r="A111" s="953" t="s">
        <v>135</v>
      </c>
      <c r="B111" s="953"/>
      <c r="C111" s="953"/>
      <c r="D111" s="953"/>
      <c r="E111" s="953"/>
      <c r="F111" s="953"/>
      <c r="G111" s="953"/>
      <c r="H111" s="953"/>
      <c r="I111" s="224"/>
      <c r="J111" s="46">
        <f>Y109</f>
        <v>1331984.6599999999</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H113" s="51"/>
      <c r="I113" s="90"/>
      <c r="J113" s="72"/>
      <c r="R113" s="229"/>
      <c r="S113" s="229"/>
      <c r="T113" s="229"/>
      <c r="U113" s="229"/>
      <c r="V113" s="229"/>
      <c r="W113" s="229"/>
      <c r="X113" s="229"/>
      <c r="Y113" s="229"/>
    </row>
    <row r="114" spans="1:26" x14ac:dyDescent="0.25">
      <c r="A114" s="230" t="s">
        <v>180</v>
      </c>
      <c r="B114" s="231"/>
      <c r="C114" s="231"/>
      <c r="D114" s="231"/>
      <c r="E114" s="231"/>
      <c r="F114" s="231"/>
      <c r="G114" s="231"/>
      <c r="H114" s="658" t="s">
        <v>495</v>
      </c>
      <c r="I114" s="659">
        <f>IF(I111=1,J111,J109)</f>
        <v>11603723.59</v>
      </c>
      <c r="J114" s="660">
        <f>ROUND(IF(E28=0,0,IF(E28&gt;250,-(((250/E28)*I114)*IF(H114="H",0.02,0.05)),IF(H114="H",-0.02*I114,-0.05*I114))),2)</f>
        <v>-52826.8</v>
      </c>
      <c r="M114" s="2"/>
      <c r="N114" s="3"/>
      <c r="R114" s="2"/>
      <c r="T114" s="4"/>
      <c r="W114" s="2"/>
      <c r="X114" s="5"/>
    </row>
    <row r="115" spans="1:26" ht="16.5" customHeight="1" x14ac:dyDescent="0.25">
      <c r="A115" s="231"/>
      <c r="B115" s="231"/>
      <c r="C115" s="231"/>
      <c r="D115" s="231"/>
      <c r="E115" s="231"/>
      <c r="F115" s="231"/>
      <c r="G115" s="231"/>
      <c r="H115" s="661"/>
      <c r="I115" s="662"/>
      <c r="J115" s="663"/>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664"/>
      <c r="I116" s="665"/>
      <c r="J116" s="666">
        <f>J107+J114</f>
        <v>11996437.119999999</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61"/>
      <c r="I117" s="662"/>
      <c r="J117" s="663"/>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1"/>
      <c r="F118" s="230"/>
      <c r="G118" s="231"/>
      <c r="H118" s="661"/>
      <c r="I118" s="662"/>
      <c r="J118" s="667">
        <f>-'Cumulative Payments'!R77</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61"/>
      <c r="I119" s="662"/>
      <c r="J119" s="663"/>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661"/>
      <c r="I120" s="662"/>
      <c r="J120" s="663">
        <f>J116+J118</f>
        <v>11996437.119999999</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61"/>
      <c r="I121" s="662"/>
      <c r="J121" s="663"/>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661"/>
      <c r="I122" s="662"/>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61"/>
      <c r="I123" s="662"/>
      <c r="J123" s="663"/>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661"/>
      <c r="I124" s="662"/>
      <c r="J124" s="669">
        <f>ROUND(J120/J122,2)</f>
        <v>999703.09</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61"/>
      <c r="I125" s="662"/>
      <c r="J125" s="663"/>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661"/>
      <c r="I126" s="662"/>
      <c r="J126" s="670">
        <f>ROUND(IF(H114="H",(I114*0.02)+J114,(I114*0.05)+J114),2)</f>
        <v>179247.67</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X62:Y62"/>
    <mergeCell ref="A59:B59"/>
    <mergeCell ref="G59:H59"/>
    <mergeCell ref="X59:Y59"/>
    <mergeCell ref="I60:J60"/>
    <mergeCell ref="R60:Y60"/>
    <mergeCell ref="I57:J57"/>
    <mergeCell ref="R57:Y57"/>
    <mergeCell ref="A58:J58"/>
    <mergeCell ref="R58:S58"/>
    <mergeCell ref="V58:W58"/>
    <mergeCell ref="X58:Y58"/>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55E08-26EF-42D2-A8F6-5DD120B76666}">
  <dimension ref="A1:Z207"/>
  <sheetViews>
    <sheetView topLeftCell="A36" workbookViewId="0">
      <selection activeCell="C42" sqref="C42"/>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3.28515625" style="5" bestFit="1"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499</v>
      </c>
      <c r="B2" s="101"/>
      <c r="C2" s="101"/>
      <c r="D2" s="101"/>
      <c r="E2" s="6"/>
      <c r="F2" s="6"/>
      <c r="G2" s="6"/>
      <c r="H2" s="6"/>
      <c r="I2" s="706" t="str">
        <f>RIGHT(A2,4)</f>
        <v>2521</v>
      </c>
      <c r="J2" s="6"/>
      <c r="K2" s="6"/>
      <c r="L2" s="6"/>
      <c r="M2" s="6"/>
      <c r="N2" s="6"/>
      <c r="O2" s="6"/>
      <c r="P2" s="6"/>
      <c r="Q2" s="6"/>
      <c r="R2" s="927" t="str">
        <f>Revenue_Estimate_Worksheet_for___________Charter_School</f>
        <v>Revenue Estimate Worksheet: Ed Venture Charter School - 2521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H</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0</v>
      </c>
      <c r="D14" s="392">
        <f>SUMIFS('Surv2-3'!L:L,'Surv2-3'!$H:$H,$I$2,'Surv2-3'!$I:$I,$O14)</f>
        <v>0</v>
      </c>
      <c r="E14" s="1020">
        <f t="shared" si="0"/>
        <v>0</v>
      </c>
      <c r="F14" s="1020"/>
      <c r="G14" s="1026">
        <f>Consolidated!$F16</f>
        <v>1</v>
      </c>
      <c r="H14" s="1026">
        <f>Consolidated!$H$9</f>
        <v>1</v>
      </c>
      <c r="I14" s="539">
        <f t="shared" si="3"/>
        <v>0</v>
      </c>
      <c r="J14" s="540">
        <f>ROUND(ROUND(ROUND(I14*$E$6,4)*($I$6),2)*(MAX($I$7,1)),2)</f>
        <v>0</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0</v>
      </c>
      <c r="D15" s="392">
        <f>SUMIFS('Surv2-3'!L:L,'Surv2-3'!$H:$H,$I$2,'Surv2-3'!$I:$I,$O15)</f>
        <v>0</v>
      </c>
      <c r="E15" s="1020">
        <f t="shared" si="0"/>
        <v>0</v>
      </c>
      <c r="F15" s="1020"/>
      <c r="G15" s="1026">
        <f>Consolidated!$F17</f>
        <v>1</v>
      </c>
      <c r="H15" s="1026">
        <f>Consolidated!$H$9</f>
        <v>1</v>
      </c>
      <c r="I15" s="539">
        <f t="shared" si="3"/>
        <v>0</v>
      </c>
      <c r="J15" s="540">
        <f t="shared" si="1"/>
        <v>0</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27.79</v>
      </c>
      <c r="D17" s="392">
        <f>SUMIFS('Surv2-3'!M:M,'Surv2-3'!$H:$H,$I$2,'Surv2-3'!$I:$I,$O17)</f>
        <v>27.189999999999998</v>
      </c>
      <c r="E17" s="1020">
        <f t="shared" si="0"/>
        <v>54.98</v>
      </c>
      <c r="F17" s="1020"/>
      <c r="G17" s="1026">
        <f>Consolidated!$F19</f>
        <v>0.97199999999999998</v>
      </c>
      <c r="H17" s="1026">
        <f>Consolidated!$H$9</f>
        <v>1</v>
      </c>
      <c r="I17" s="539">
        <f t="shared" si="3"/>
        <v>53.440600000000003</v>
      </c>
      <c r="J17" s="540">
        <f t="shared" si="1"/>
        <v>297307.55</v>
      </c>
      <c r="M17" s="2"/>
      <c r="O17" s="2" t="str">
        <f t="shared" si="2"/>
        <v>113</v>
      </c>
      <c r="R17" s="946" t="s">
        <v>25</v>
      </c>
      <c r="S17" s="946"/>
      <c r="T17" s="944">
        <f t="shared" si="4"/>
        <v>54.98</v>
      </c>
      <c r="U17" s="944"/>
      <c r="V17" s="950">
        <v>1</v>
      </c>
      <c r="W17" s="950"/>
      <c r="X17" s="145">
        <f t="shared" si="5"/>
        <v>54.98</v>
      </c>
      <c r="Y17" s="212">
        <f t="shared" si="7"/>
        <v>305871.73</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9.35</v>
      </c>
      <c r="D20" s="392">
        <f>SUMIFS('Surv2-3'!M:M,'Surv2-3'!$H:$H,$I$2,'Surv2-3'!$I:$I,$O20)</f>
        <v>9.36</v>
      </c>
      <c r="E20" s="1020">
        <f t="shared" si="0"/>
        <v>18.71</v>
      </c>
      <c r="F20" s="1020"/>
      <c r="G20" s="1026">
        <f>Consolidated!$F22</f>
        <v>3.609</v>
      </c>
      <c r="H20" s="1026">
        <f>Consolidated!$H$9</f>
        <v>1</v>
      </c>
      <c r="I20" s="539">
        <f t="shared" si="3"/>
        <v>67.5244</v>
      </c>
      <c r="J20" s="540">
        <f t="shared" si="1"/>
        <v>375660.34</v>
      </c>
      <c r="M20" s="2"/>
      <c r="O20" s="2" t="str">
        <f t="shared" si="2"/>
        <v>254</v>
      </c>
      <c r="R20" s="946" t="s">
        <v>28</v>
      </c>
      <c r="S20" s="946"/>
      <c r="T20" s="944">
        <f t="shared" si="4"/>
        <v>18.71</v>
      </c>
      <c r="U20" s="944"/>
      <c r="V20" s="950">
        <v>1</v>
      </c>
      <c r="W20" s="950"/>
      <c r="X20" s="145">
        <f t="shared" si="5"/>
        <v>18.71</v>
      </c>
      <c r="Y20" s="212">
        <f t="shared" si="7"/>
        <v>104089.85</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v>
      </c>
      <c r="D25" s="392">
        <f>SUMIFS('Surv2-3'!L:L,'Surv2-3'!$H:$H,$I$2,'Surv2-3'!$I:$I,$O25)</f>
        <v>0</v>
      </c>
      <c r="E25" s="1020">
        <f t="shared" si="0"/>
        <v>0</v>
      </c>
      <c r="F25" s="1020"/>
      <c r="G25" s="1026">
        <f>Consolidated!$F27</f>
        <v>1.165</v>
      </c>
      <c r="H25" s="1026">
        <f>Consolidated!$H$9</f>
        <v>1</v>
      </c>
      <c r="I25" s="539">
        <f t="shared" si="3"/>
        <v>0</v>
      </c>
      <c r="J25" s="540">
        <f t="shared" si="1"/>
        <v>0</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37.14</v>
      </c>
      <c r="D28" s="822">
        <f>SUM(D12:D27)</f>
        <v>36.549999999999997</v>
      </c>
      <c r="E28" s="1025">
        <f>SUM(E12:E27)</f>
        <v>73.69</v>
      </c>
      <c r="F28" s="1025"/>
      <c r="G28" s="1020"/>
      <c r="H28" s="1020"/>
      <c r="I28" s="23">
        <f>SUM(I12:I27)</f>
        <v>120.965</v>
      </c>
      <c r="J28" s="116">
        <f>SUM(J12:J27)</f>
        <v>672967.89</v>
      </c>
      <c r="M28" s="2"/>
      <c r="R28" s="963" t="s">
        <v>36</v>
      </c>
      <c r="S28" s="963"/>
      <c r="T28" s="964">
        <f>SUM(T12:T27)</f>
        <v>73.69</v>
      </c>
      <c r="U28" s="964"/>
      <c r="V28" s="965"/>
      <c r="W28" s="965"/>
      <c r="X28" s="147">
        <f>SUM(X12:X27)</f>
        <v>73.69</v>
      </c>
      <c r="Y28" s="212">
        <f>SUM(Y12:Y27)</f>
        <v>409961.57999999996</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120.965</v>
      </c>
      <c r="H33" s="1020" t="s">
        <v>45</v>
      </c>
      <c r="I33" s="1020"/>
      <c r="J33" s="32">
        <f>SUM(J32,J28)</f>
        <v>672967.89</v>
      </c>
      <c r="M33" s="2"/>
      <c r="R33" s="969" t="s">
        <v>44</v>
      </c>
      <c r="S33" s="969"/>
      <c r="T33" s="969"/>
      <c r="U33" s="969"/>
      <c r="V33" s="153">
        <f>V32+X28</f>
        <v>73.69</v>
      </c>
      <c r="W33" s="965" t="s">
        <v>45</v>
      </c>
      <c r="X33" s="965"/>
      <c r="Y33" s="154">
        <f>SUM(Y32,Y28)</f>
        <v>409961.57999999996</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707050.5</v>
      </c>
      <c r="H36" s="37" t="s">
        <v>49</v>
      </c>
      <c r="I36" s="38">
        <v>6.6699999999999995E-2</v>
      </c>
      <c r="J36" s="120">
        <f>ROUND(G36*I36,2)</f>
        <v>47160.27</v>
      </c>
      <c r="K36" s="39"/>
      <c r="L36" s="33"/>
      <c r="M36" s="33"/>
      <c r="N36" s="33"/>
      <c r="O36" s="31"/>
      <c r="P36" s="34"/>
      <c r="Q36" s="34"/>
      <c r="R36" s="946" t="s">
        <v>47</v>
      </c>
      <c r="S36" s="946"/>
      <c r="T36" s="946"/>
      <c r="U36" s="158"/>
      <c r="V36" s="161">
        <v>412576.36</v>
      </c>
      <c r="W36" s="162" t="s">
        <v>49</v>
      </c>
      <c r="X36" s="163">
        <v>6.6699999999999995E-2</v>
      </c>
      <c r="Y36" s="212">
        <f>J36</f>
        <v>47160.27</v>
      </c>
    </row>
    <row r="37" spans="1:25" ht="20.25" customHeight="1" x14ac:dyDescent="0.25">
      <c r="A37" s="916" t="s">
        <v>50</v>
      </c>
      <c r="B37" s="916"/>
      <c r="C37" s="916"/>
      <c r="D37" s="916"/>
      <c r="E37" s="916"/>
      <c r="F37" s="36" t="s">
        <v>48</v>
      </c>
      <c r="G37" s="121">
        <v>707050.5</v>
      </c>
      <c r="H37" s="37" t="s">
        <v>49</v>
      </c>
      <c r="I37" s="38">
        <v>5.4000000000000003E-3</v>
      </c>
      <c r="J37" s="120">
        <f>ROUND(G37*I37,2)</f>
        <v>3818.07</v>
      </c>
      <c r="K37" s="39"/>
      <c r="L37" s="33"/>
      <c r="M37" s="33"/>
      <c r="N37" s="33"/>
      <c r="O37" s="31"/>
      <c r="P37" s="34"/>
      <c r="Q37" s="34"/>
      <c r="R37" s="946" t="s">
        <v>50</v>
      </c>
      <c r="S37" s="946"/>
      <c r="T37" s="946"/>
      <c r="U37" s="158"/>
      <c r="V37" s="161">
        <v>412576.36</v>
      </c>
      <c r="W37" s="162" t="s">
        <v>49</v>
      </c>
      <c r="X37" s="163">
        <v>5.4000000000000003E-3</v>
      </c>
      <c r="Y37" s="212">
        <f>J37</f>
        <v>3818.07</v>
      </c>
    </row>
    <row r="38" spans="1:25" ht="20.25" customHeight="1" x14ac:dyDescent="0.25">
      <c r="A38" s="952" t="s">
        <v>51</v>
      </c>
      <c r="B38" s="952"/>
      <c r="C38" s="952"/>
      <c r="D38" s="952"/>
      <c r="E38" s="952"/>
      <c r="F38" s="36" t="s">
        <v>52</v>
      </c>
      <c r="G38" s="40"/>
      <c r="H38" s="37"/>
      <c r="I38" s="41"/>
      <c r="J38" s="120">
        <f>SUM(J36:J37)</f>
        <v>50978.34</v>
      </c>
      <c r="K38" s="39"/>
      <c r="L38" s="33"/>
      <c r="M38" s="33"/>
      <c r="N38" s="33"/>
      <c r="O38" s="31"/>
      <c r="P38" s="34"/>
      <c r="Q38" s="34"/>
      <c r="R38" s="955" t="s">
        <v>51</v>
      </c>
      <c r="S38" s="955"/>
      <c r="T38" s="955"/>
      <c r="U38" s="158" t="s">
        <v>52</v>
      </c>
      <c r="V38" s="164"/>
      <c r="W38" s="162"/>
      <c r="X38" s="165"/>
      <c r="Y38" s="212">
        <f>Y36+Y37</f>
        <v>50978.34</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37" t="s">
        <v>59</v>
      </c>
      <c r="H41" s="37">
        <v>251</v>
      </c>
      <c r="I41" s="125">
        <f>Consolidated!$H59</f>
        <v>1047</v>
      </c>
      <c r="J41" s="46">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4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46">
        <f t="shared" si="9"/>
        <v>0</v>
      </c>
      <c r="M43" s="2"/>
      <c r="R43" s="958"/>
      <c r="S43" s="958"/>
      <c r="T43" s="960"/>
      <c r="U43" s="960"/>
      <c r="V43" s="162" t="s">
        <v>59</v>
      </c>
      <c r="W43" s="162">
        <v>253</v>
      </c>
      <c r="X43" s="123">
        <f>Consolidated!$H61</f>
        <v>6896</v>
      </c>
      <c r="Y43" s="213">
        <f t="shared" si="10"/>
        <v>0</v>
      </c>
    </row>
    <row r="44" spans="1:25" ht="20.25" customHeight="1"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0</v>
      </c>
      <c r="D45" s="824">
        <f>SUMIFS('Surv2-3'!L:L,'Surv2-3'!$H:$H,$I$2,'Surv2-3'!$I:$I,$H45-140)</f>
        <v>0</v>
      </c>
      <c r="E45" s="1013">
        <f t="shared" si="8"/>
        <v>0</v>
      </c>
      <c r="F45" s="1013"/>
      <c r="G45" s="47" t="s">
        <v>60</v>
      </c>
      <c r="H45" s="37">
        <v>252</v>
      </c>
      <c r="I45" s="125">
        <f>Consolidated!$H63</f>
        <v>3506</v>
      </c>
      <c r="J45" s="46">
        <f t="shared" si="9"/>
        <v>0</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4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12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27.79</v>
      </c>
      <c r="D49" s="824">
        <f>SUMIFS('Surv2-3'!M:M,'Surv2-3'!$H:$H,$I$2,'Surv2-3'!$I:$I,$H49-140)</f>
        <v>27.189999999999998</v>
      </c>
      <c r="E49" s="1014">
        <f t="shared" si="8"/>
        <v>54.98</v>
      </c>
      <c r="F49" s="1014"/>
      <c r="G49" s="47" t="s">
        <v>61</v>
      </c>
      <c r="H49" s="37">
        <v>253</v>
      </c>
      <c r="I49" s="125">
        <f>Consolidated!$H67</f>
        <v>6685</v>
      </c>
      <c r="J49" s="126">
        <f t="shared" si="9"/>
        <v>367541.3</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27.79</v>
      </c>
      <c r="D50" s="825">
        <f>SUM(D41:D49)</f>
        <v>27.189999999999998</v>
      </c>
      <c r="E50" s="1015">
        <f>SUM(E41:E49)</f>
        <v>54.98</v>
      </c>
      <c r="F50" s="1015"/>
      <c r="G50" s="970" t="s">
        <v>63</v>
      </c>
      <c r="H50" s="970"/>
      <c r="I50" s="970"/>
      <c r="J50" s="220">
        <f>SUM(J41:J49)</f>
        <v>367541.3</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73.69</v>
      </c>
      <c r="U52" s="173" t="s">
        <v>66</v>
      </c>
      <c r="V52" s="174"/>
      <c r="W52" s="175" t="s">
        <v>67</v>
      </c>
      <c r="X52" s="977">
        <f>I53</f>
        <v>207716.69</v>
      </c>
      <c r="Y52" s="977"/>
    </row>
    <row r="53" spans="1:25" ht="16.5" customHeight="1" x14ac:dyDescent="0.25">
      <c r="A53" s="953" t="s">
        <v>65</v>
      </c>
      <c r="B53" s="953"/>
      <c r="C53" s="51"/>
      <c r="D53" s="51"/>
      <c r="E53" s="48">
        <f>E28</f>
        <v>73.69</v>
      </c>
      <c r="F53" s="49" t="s">
        <v>66</v>
      </c>
      <c r="G53" s="3"/>
      <c r="H53" s="50" t="s">
        <v>67</v>
      </c>
      <c r="I53" s="654">
        <f>Consolidated!H$71</f>
        <v>207716.69</v>
      </c>
      <c r="J53" s="653"/>
      <c r="M53" s="2"/>
      <c r="R53" s="176"/>
      <c r="S53" s="177"/>
      <c r="T53" s="159"/>
      <c r="U53" s="159"/>
      <c r="V53" s="159"/>
      <c r="W53" s="178" t="s">
        <v>68</v>
      </c>
      <c r="X53" s="978">
        <f>ROUND(T52/X52,6)</f>
        <v>3.5500000000000001E-4</v>
      </c>
      <c r="Y53" s="978"/>
    </row>
    <row r="54" spans="1:25" ht="22.5" customHeight="1" x14ac:dyDescent="0.25">
      <c r="A54" s="51"/>
      <c r="B54" s="52"/>
      <c r="C54" s="52"/>
      <c r="D54" s="52"/>
      <c r="H54" s="53" t="s">
        <v>68</v>
      </c>
      <c r="I54" s="1004">
        <f>IFERROR(ROUND(E53/I53,6),0)</f>
        <v>3.5500000000000001E-4</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73.69</v>
      </c>
      <c r="U55" s="173" t="s">
        <v>66</v>
      </c>
      <c r="V55" s="174"/>
      <c r="W55" s="175" t="s">
        <v>71</v>
      </c>
      <c r="X55" s="977">
        <f>I56</f>
        <v>221131.37000000002</v>
      </c>
      <c r="Y55" s="977"/>
    </row>
    <row r="56" spans="1:25" ht="16.5" customHeight="1" x14ac:dyDescent="0.25">
      <c r="A56" s="953" t="s">
        <v>70</v>
      </c>
      <c r="B56" s="953"/>
      <c r="C56" s="51"/>
      <c r="D56" s="51"/>
      <c r="E56" s="48">
        <f>G33</f>
        <v>120.965</v>
      </c>
      <c r="F56" s="49" t="s">
        <v>66</v>
      </c>
      <c r="G56" s="3"/>
      <c r="H56" s="50" t="s">
        <v>71</v>
      </c>
      <c r="I56" s="654">
        <f>Consolidated!H$74</f>
        <v>221131.37000000002</v>
      </c>
      <c r="J56" s="653"/>
      <c r="M56" s="2"/>
      <c r="R56" s="176"/>
      <c r="S56" s="159"/>
      <c r="T56" s="159"/>
      <c r="U56" s="159"/>
      <c r="V56" s="159"/>
      <c r="W56" s="178" t="s">
        <v>68</v>
      </c>
      <c r="X56" s="978">
        <f>ROUND(T55/X55,6)</f>
        <v>3.3300000000000002E-4</v>
      </c>
      <c r="Y56" s="978"/>
    </row>
    <row r="57" spans="1:25" ht="18.75" customHeight="1" x14ac:dyDescent="0.25">
      <c r="A57" s="51"/>
      <c r="H57" s="53" t="s">
        <v>68</v>
      </c>
      <c r="I57" s="1004">
        <f>IFERROR(ROUND(E56/I56,6),0)</f>
        <v>5.4699999999999996E-4</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73.69</v>
      </c>
      <c r="U58" s="173" t="s">
        <v>66</v>
      </c>
      <c r="V58" s="976" t="s">
        <v>74</v>
      </c>
      <c r="W58" s="976"/>
      <c r="X58" s="977">
        <f>I59</f>
        <v>178668.19</v>
      </c>
      <c r="Y58" s="977"/>
    </row>
    <row r="59" spans="1:25" ht="18.75" customHeight="1" x14ac:dyDescent="0.25">
      <c r="A59" s="953" t="s">
        <v>73</v>
      </c>
      <c r="B59" s="953"/>
      <c r="C59" s="51"/>
      <c r="D59" s="51"/>
      <c r="E59" s="48">
        <f>E28</f>
        <v>73.69</v>
      </c>
      <c r="F59" s="49" t="s">
        <v>66</v>
      </c>
      <c r="G59" s="1046" t="s">
        <v>74</v>
      </c>
      <c r="H59" s="1046"/>
      <c r="I59" s="654">
        <f>Consolidated!H$77</f>
        <v>178668.19</v>
      </c>
      <c r="J59" s="653"/>
      <c r="M59" s="2"/>
      <c r="R59" s="176"/>
      <c r="S59" s="159"/>
      <c r="T59" s="159"/>
      <c r="U59" s="159"/>
      <c r="V59" s="159"/>
      <c r="W59" s="178" t="s">
        <v>68</v>
      </c>
      <c r="X59" s="978">
        <f>ROUND(T58/X58,6)</f>
        <v>4.1199999999999999E-4</v>
      </c>
      <c r="Y59" s="978"/>
    </row>
    <row r="60" spans="1:25" ht="18" customHeight="1" x14ac:dyDescent="0.25">
      <c r="A60" s="51"/>
      <c r="H60" s="53" t="s">
        <v>68</v>
      </c>
      <c r="I60" s="1004">
        <f>IFERROR(ROUND(E59/I59,6),0)</f>
        <v>4.1199999999999999E-4</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73.69</v>
      </c>
      <c r="U61" s="173" t="s">
        <v>66</v>
      </c>
      <c r="V61" s="976" t="s">
        <v>76</v>
      </c>
      <c r="W61" s="976"/>
      <c r="X61" s="977">
        <f>I62</f>
        <v>207376.94</v>
      </c>
      <c r="Y61" s="977"/>
    </row>
    <row r="62" spans="1:25" x14ac:dyDescent="0.25">
      <c r="A62" s="953" t="s">
        <v>73</v>
      </c>
      <c r="B62" s="953"/>
      <c r="C62" s="51"/>
      <c r="D62" s="51"/>
      <c r="E62" s="48">
        <f>E28</f>
        <v>73.69</v>
      </c>
      <c r="F62" s="49" t="s">
        <v>66</v>
      </c>
      <c r="G62" s="1046" t="s">
        <v>76</v>
      </c>
      <c r="H62" s="1046"/>
      <c r="I62" s="654">
        <f>Consolidated!H$80</f>
        <v>207376.94</v>
      </c>
      <c r="J62" s="653"/>
      <c r="M62" s="2"/>
      <c r="R62" s="176"/>
      <c r="S62" s="159"/>
      <c r="T62" s="159"/>
      <c r="U62" s="159"/>
      <c r="V62" s="159"/>
      <c r="W62" s="178" t="s">
        <v>68</v>
      </c>
      <c r="X62" s="978">
        <f>ROUND(T61/X61,6)</f>
        <v>3.5500000000000001E-4</v>
      </c>
      <c r="Y62" s="978"/>
    </row>
    <row r="63" spans="1:25" ht="19.5" customHeight="1" x14ac:dyDescent="0.25">
      <c r="A63" s="51"/>
      <c r="H63" s="53" t="s">
        <v>68</v>
      </c>
      <c r="I63" s="1004">
        <f>IFERROR(ROUND(E62/I62,6),0)</f>
        <v>3.5500000000000001E-4</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73.69</v>
      </c>
      <c r="U64" s="173" t="s">
        <v>66</v>
      </c>
      <c r="V64" s="1050" t="s">
        <v>161</v>
      </c>
      <c r="W64" s="1050"/>
      <c r="X64" s="977">
        <f>I65</f>
        <v>178328.44</v>
      </c>
      <c r="Y64" s="977"/>
    </row>
    <row r="65" spans="1:26" ht="49.5" customHeight="1" x14ac:dyDescent="0.25">
      <c r="A65" s="953" t="s">
        <v>73</v>
      </c>
      <c r="B65" s="953"/>
      <c r="C65" s="51"/>
      <c r="D65" s="51"/>
      <c r="E65" s="48">
        <f>E28</f>
        <v>73.69</v>
      </c>
      <c r="F65" s="49" t="s">
        <v>66</v>
      </c>
      <c r="G65" s="1046" t="s">
        <v>78</v>
      </c>
      <c r="H65" s="1046"/>
      <c r="I65" s="654">
        <f>Consolidated!H$83</f>
        <v>178328.44</v>
      </c>
      <c r="J65" s="653"/>
      <c r="M65" s="2"/>
      <c r="R65" s="179"/>
      <c r="S65" s="159"/>
      <c r="T65" s="159"/>
      <c r="U65" s="159"/>
      <c r="V65" s="159"/>
      <c r="W65" s="178" t="s">
        <v>68</v>
      </c>
      <c r="X65" s="978">
        <f>ROUND(T64/X64,6)</f>
        <v>4.1300000000000001E-4</v>
      </c>
      <c r="Y65" s="978"/>
    </row>
    <row r="66" spans="1:26" ht="19.5" customHeight="1" x14ac:dyDescent="0.25">
      <c r="A66" s="51"/>
      <c r="H66" s="53" t="s">
        <v>68</v>
      </c>
      <c r="I66" s="1004">
        <f>IFERROR(ROUND(E65/I65,6),0)</f>
        <v>4.1300000000000001E-4</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3.5500000000000001E-4</v>
      </c>
      <c r="Y67" s="215">
        <f>ROUND(V67*X67,2)</f>
        <v>16191.72</v>
      </c>
    </row>
    <row r="68" spans="1:26" ht="30.75" customHeight="1" x14ac:dyDescent="0.25">
      <c r="A68" s="1005" t="s">
        <v>79</v>
      </c>
      <c r="B68" s="1005"/>
      <c r="C68" s="1005"/>
      <c r="D68" s="1005"/>
      <c r="E68" s="1005"/>
      <c r="F68" s="36" t="s">
        <v>80</v>
      </c>
      <c r="G68" s="221">
        <f>Consolidated!F$86</f>
        <v>45610484</v>
      </c>
      <c r="H68" s="37" t="s">
        <v>81</v>
      </c>
      <c r="I68" s="41">
        <f>I63</f>
        <v>3.5500000000000001E-4</v>
      </c>
      <c r="J68" s="127">
        <f>ROUND(G68*I68,2)</f>
        <v>16191.72</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3.5500000000000001E-4</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3.5500000000000001E-4</v>
      </c>
      <c r="J70" s="127">
        <f>ROUND(G70*I70,2)</f>
        <v>0</v>
      </c>
      <c r="M70" s="2"/>
      <c r="R70" s="955" t="s">
        <v>163</v>
      </c>
      <c r="S70" s="955"/>
      <c r="T70" s="955"/>
      <c r="U70" s="158"/>
      <c r="V70" s="182">
        <f>G71</f>
        <v>18959906</v>
      </c>
      <c r="W70" s="162" t="s">
        <v>81</v>
      </c>
      <c r="X70" s="165">
        <f>X65</f>
        <v>4.1300000000000001E-4</v>
      </c>
      <c r="Y70" s="212">
        <f t="shared" si="11"/>
        <v>7830.44</v>
      </c>
    </row>
    <row r="71" spans="1:26" ht="19.5" customHeight="1" x14ac:dyDescent="0.25">
      <c r="A71" s="952" t="s">
        <v>85</v>
      </c>
      <c r="B71" s="952"/>
      <c r="C71" s="952"/>
      <c r="D71" s="952"/>
      <c r="E71" s="952"/>
      <c r="F71" s="36" t="s">
        <v>86</v>
      </c>
      <c r="G71" s="221">
        <f>Consolidated!F$91</f>
        <v>18959906</v>
      </c>
      <c r="H71" s="37" t="s">
        <v>81</v>
      </c>
      <c r="I71" s="41">
        <f>I66</f>
        <v>4.1300000000000001E-4</v>
      </c>
      <c r="J71" s="127">
        <f>ROUND(G71*I71,2)</f>
        <v>7830.44</v>
      </c>
      <c r="M71" s="2"/>
      <c r="R71" s="166" t="s">
        <v>164</v>
      </c>
      <c r="S71" s="166"/>
      <c r="T71" s="166"/>
      <c r="U71" s="158"/>
      <c r="V71" s="160">
        <f>G72</f>
        <v>11308391</v>
      </c>
      <c r="W71" s="162" t="s">
        <v>81</v>
      </c>
      <c r="X71" s="165">
        <f>X59</f>
        <v>4.1199999999999999E-4</v>
      </c>
      <c r="Y71" s="212">
        <f t="shared" si="11"/>
        <v>4659.0600000000004</v>
      </c>
    </row>
    <row r="72" spans="1:26" ht="19.5" customHeight="1" x14ac:dyDescent="0.25">
      <c r="A72" s="42" t="s">
        <v>87</v>
      </c>
      <c r="B72" s="42"/>
      <c r="C72" s="42"/>
      <c r="D72" s="42"/>
      <c r="E72" s="42"/>
      <c r="F72" s="36" t="s">
        <v>88</v>
      </c>
      <c r="G72" s="221">
        <f>Consolidated!F$93</f>
        <v>11308391</v>
      </c>
      <c r="H72" s="37" t="s">
        <v>81</v>
      </c>
      <c r="I72" s="41">
        <f>I60</f>
        <v>4.1199999999999999E-4</v>
      </c>
      <c r="J72" s="127">
        <f>ROUND(G72*I72,2)</f>
        <v>4659.0600000000004</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f>J79</f>
        <v>1</v>
      </c>
      <c r="Z78" s="72"/>
    </row>
    <row r="79" spans="1:26" ht="18.75" customHeight="1" x14ac:dyDescent="0.25">
      <c r="A79" s="899" t="s">
        <v>97</v>
      </c>
      <c r="B79" s="899"/>
      <c r="C79" s="69"/>
      <c r="D79" s="69"/>
      <c r="E79" s="65"/>
      <c r="F79" s="65"/>
      <c r="G79" s="65"/>
      <c r="H79" s="65"/>
      <c r="I79" s="65"/>
      <c r="J79" s="118">
        <v>1</v>
      </c>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1</v>
      </c>
      <c r="Z80" s="72"/>
    </row>
    <row r="81" spans="1:26" ht="17.25" customHeight="1" x14ac:dyDescent="0.25">
      <c r="A81" s="33"/>
      <c r="B81" s="33"/>
      <c r="C81" s="33"/>
      <c r="D81" s="33"/>
      <c r="E81" s="33"/>
      <c r="F81" s="33"/>
      <c r="G81" s="31"/>
      <c r="H81" s="34"/>
      <c r="I81" s="34" t="s">
        <v>99</v>
      </c>
      <c r="J81" s="74">
        <f>SUM(J75:J80)</f>
        <v>1</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7.7999999999999999E-5</v>
      </c>
      <c r="Y83" s="212">
        <f>ROUND(V83*X83,2)</f>
        <v>4563.22</v>
      </c>
      <c r="Z83" s="72"/>
    </row>
    <row r="84" spans="1:26" ht="21" customHeight="1" x14ac:dyDescent="0.25">
      <c r="A84" s="920" t="s">
        <v>101</v>
      </c>
      <c r="B84" s="920"/>
      <c r="C84" s="920"/>
      <c r="D84" s="52"/>
      <c r="G84" s="112">
        <f>Consolidated!F$106</f>
        <v>58502790</v>
      </c>
      <c r="H84" s="37" t="s">
        <v>81</v>
      </c>
      <c r="I84" s="41">
        <f>IFERROR(ROUND(J81/J82,6),0)</f>
        <v>7.7999999999999999E-5</v>
      </c>
      <c r="J84" s="127">
        <f>ROUND(G84*I84,2)</f>
        <v>4563.22</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5.4699999999999996E-4</v>
      </c>
      <c r="J85" s="127">
        <f>ROUND(G85*I85,2)</f>
        <v>147042.5</v>
      </c>
      <c r="K85" s="70"/>
      <c r="L85" s="70"/>
      <c r="M85" s="71"/>
      <c r="N85" s="70"/>
      <c r="O85" s="70"/>
      <c r="P85" s="70"/>
      <c r="Q85" s="70"/>
      <c r="R85" s="955" t="s">
        <v>168</v>
      </c>
      <c r="S85" s="955"/>
      <c r="T85" s="955"/>
      <c r="U85" s="158"/>
      <c r="V85" s="160">
        <f>G85</f>
        <v>268816278</v>
      </c>
      <c r="W85" s="162" t="s">
        <v>81</v>
      </c>
      <c r="X85" s="165">
        <f>X56</f>
        <v>3.3300000000000002E-4</v>
      </c>
      <c r="Y85" s="212">
        <f t="shared" ref="Y85:Y87" si="12">ROUND(V85*X85,2)</f>
        <v>89515.82</v>
      </c>
    </row>
    <row r="86" spans="1:26" ht="14.25" customHeight="1" x14ac:dyDescent="0.25">
      <c r="A86" s="952" t="s">
        <v>104</v>
      </c>
      <c r="B86" s="952"/>
      <c r="C86" s="952"/>
      <c r="D86" s="952"/>
      <c r="E86" s="952"/>
      <c r="F86" s="36" t="s">
        <v>103</v>
      </c>
      <c r="G86" s="128">
        <v>0</v>
      </c>
      <c r="H86" s="37" t="s">
        <v>81</v>
      </c>
      <c r="I86" s="41">
        <f>I57</f>
        <v>5.4699999999999996E-4</v>
      </c>
      <c r="J86" s="127">
        <f>ROUND(G86*I86,2)</f>
        <v>0</v>
      </c>
      <c r="K86" s="70"/>
      <c r="L86" s="71"/>
      <c r="M86" s="76"/>
      <c r="N86" s="76"/>
      <c r="O86" s="76"/>
      <c r="P86" s="76"/>
      <c r="Q86" s="70"/>
      <c r="R86" s="955" t="s">
        <v>169</v>
      </c>
      <c r="S86" s="955"/>
      <c r="T86" s="955"/>
      <c r="U86" s="158"/>
      <c r="V86" s="192">
        <f>G86</f>
        <v>0</v>
      </c>
      <c r="W86" s="162" t="s">
        <v>81</v>
      </c>
      <c r="X86" s="165">
        <f>X56</f>
        <v>3.3300000000000002E-4</v>
      </c>
      <c r="Y86" s="212">
        <f t="shared" si="12"/>
        <v>0</v>
      </c>
    </row>
    <row r="87" spans="1:26" ht="18" customHeight="1" x14ac:dyDescent="0.25">
      <c r="A87" s="952" t="s">
        <v>105</v>
      </c>
      <c r="B87" s="952"/>
      <c r="C87" s="952"/>
      <c r="D87" s="952"/>
      <c r="E87" s="952"/>
      <c r="F87" s="36" t="s">
        <v>84</v>
      </c>
      <c r="G87" s="128">
        <v>0</v>
      </c>
      <c r="H87" s="37" t="s">
        <v>81</v>
      </c>
      <c r="I87" s="41">
        <f>I54</f>
        <v>3.5500000000000001E-4</v>
      </c>
      <c r="J87" s="62">
        <f>ROUND(G87*I87,2)</f>
        <v>0</v>
      </c>
      <c r="K87" s="77"/>
      <c r="L87" s="70"/>
      <c r="M87" s="71"/>
      <c r="N87" s="70"/>
      <c r="O87" s="70"/>
      <c r="P87" s="70"/>
      <c r="Q87" s="70"/>
      <c r="R87" s="166" t="s">
        <v>170</v>
      </c>
      <c r="S87" s="166"/>
      <c r="T87" s="166"/>
      <c r="U87" s="158"/>
      <c r="V87" s="192">
        <f>G87</f>
        <v>0</v>
      </c>
      <c r="W87" s="162" t="s">
        <v>81</v>
      </c>
      <c r="X87" s="165">
        <f>X53</f>
        <v>3.5500000000000001E-4</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130">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0</v>
      </c>
      <c r="C91" s="80"/>
      <c r="D91" s="921">
        <f>I6</f>
        <v>1.0355000000000001</v>
      </c>
      <c r="E91" s="921"/>
      <c r="F91" s="921"/>
      <c r="G91" s="113">
        <f>Consolidated!F$119</f>
        <v>915.09</v>
      </c>
      <c r="H91" s="47" t="s">
        <v>68</v>
      </c>
      <c r="I91" s="129">
        <f>ROUND(B91*D91*G91,2)</f>
        <v>0</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120.965</v>
      </c>
      <c r="C92" s="80"/>
      <c r="D92" s="921">
        <f>I6</f>
        <v>1.0355000000000001</v>
      </c>
      <c r="E92" s="921"/>
      <c r="F92" s="921"/>
      <c r="G92" s="113">
        <f>Consolidated!F$120</f>
        <v>917.3</v>
      </c>
      <c r="H92" s="47" t="s">
        <v>68</v>
      </c>
      <c r="I92" s="537">
        <f>ROUND(B92*D92*G92,2)</f>
        <v>114900.32</v>
      </c>
      <c r="K92" s="70"/>
      <c r="L92" s="70"/>
      <c r="M92" s="71"/>
      <c r="N92" s="70"/>
      <c r="O92" s="70"/>
      <c r="P92" s="70"/>
      <c r="Q92" s="70"/>
      <c r="R92" s="196" t="s">
        <v>61</v>
      </c>
      <c r="S92" s="197">
        <f>X16+X17+X20+X23+X26+X27</f>
        <v>73.69</v>
      </c>
      <c r="T92" s="984">
        <f>X6</f>
        <v>1.0355000000000001</v>
      </c>
      <c r="U92" s="984"/>
      <c r="V92" s="113">
        <f>G92</f>
        <v>917.3</v>
      </c>
      <c r="W92" s="171" t="s">
        <v>68</v>
      </c>
      <c r="X92" s="216">
        <f>ROUND(S92*T92*V92,2)</f>
        <v>69995.490000000005</v>
      </c>
      <c r="Y92" s="159"/>
    </row>
    <row r="93" spans="1:26" ht="18.75" customHeight="1" thickBot="1" x14ac:dyDescent="0.3">
      <c r="A93" s="84" t="s">
        <v>111</v>
      </c>
      <c r="B93" s="80">
        <f>SUM(B90:B92)</f>
        <v>120.965</v>
      </c>
      <c r="C93" s="80"/>
      <c r="D93" s="80"/>
      <c r="E93" s="999" t="s">
        <v>112</v>
      </c>
      <c r="F93" s="999"/>
      <c r="G93" s="999"/>
      <c r="H93" s="999"/>
      <c r="I93" s="999"/>
      <c r="J93" s="116">
        <f>IF(A1=75,0,I92+I91+I90)</f>
        <v>114900.32</v>
      </c>
      <c r="K93" s="70"/>
      <c r="L93" s="70"/>
      <c r="M93" s="71"/>
      <c r="N93" s="70"/>
      <c r="O93" s="70"/>
      <c r="P93" s="70"/>
      <c r="Q93" s="70"/>
      <c r="R93" s="198" t="s">
        <v>111</v>
      </c>
      <c r="S93" s="199">
        <f>SUM(S90:S92)</f>
        <v>73.69</v>
      </c>
      <c r="T93" s="985" t="s">
        <v>112</v>
      </c>
      <c r="U93" s="986"/>
      <c r="V93" s="986"/>
      <c r="W93" s="986"/>
      <c r="X93" s="986"/>
      <c r="Y93" s="212">
        <f>IF(R1=75,0,X92+X91+X90)</f>
        <v>69995.490000000005</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48</v>
      </c>
      <c r="U96" s="990"/>
      <c r="V96" s="990"/>
      <c r="W96" s="200" t="s">
        <v>117</v>
      </c>
      <c r="X96" s="201">
        <f>I97</f>
        <v>578</v>
      </c>
      <c r="Y96" s="212">
        <f>ROUND(X96*T96,2)</f>
        <v>27744</v>
      </c>
    </row>
    <row r="97" spans="1:25" ht="17.25" customHeight="1" x14ac:dyDescent="0.25">
      <c r="A97" s="970" t="s">
        <v>116</v>
      </c>
      <c r="B97" s="970"/>
      <c r="C97" s="223">
        <v>47</v>
      </c>
      <c r="D97" s="223">
        <v>49</v>
      </c>
      <c r="E97" s="1044">
        <f>IF(D97&gt;0,(C97+D97)/2,C97)</f>
        <v>48</v>
      </c>
      <c r="F97" s="922"/>
      <c r="G97" s="922"/>
      <c r="H97" s="85" t="s">
        <v>117</v>
      </c>
      <c r="I97" s="119">
        <f>Consolidated!G$127</f>
        <v>578</v>
      </c>
      <c r="J97" s="127">
        <f>ROUND(I97*E97,2)</f>
        <v>27744</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c r="E98" s="1002">
        <f>(C98+D98)/2</f>
        <v>0</v>
      </c>
      <c r="F98" s="1002"/>
      <c r="G98" s="1002"/>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970" t="s">
        <v>125</v>
      </c>
      <c r="B107" s="970"/>
      <c r="C107" s="970"/>
      <c r="D107" s="970"/>
      <c r="E107" s="970"/>
      <c r="F107" s="970"/>
      <c r="G107" s="970"/>
      <c r="H107" s="970"/>
      <c r="I107" s="970"/>
      <c r="J107" s="95">
        <f>SUM(J106,J105,J98,J97,J93,J86,J85,J71,J70,J68,J33,J72,J50,J87,J84)</f>
        <v>1363440.45</v>
      </c>
      <c r="L107" s="538"/>
      <c r="R107" s="955" t="s">
        <v>125</v>
      </c>
      <c r="S107" s="955"/>
      <c r="T107" s="955"/>
      <c r="U107" s="955"/>
      <c r="V107" s="955"/>
      <c r="W107" s="955"/>
      <c r="X107" s="955"/>
      <c r="Y107" s="208">
        <f>SUM(Y106,Y105,Y97,Y96,Y93,Y86,Y85,Y84,Y70,Y69,Y67,Y33,Y71,Y50,Y87,Y83)</f>
        <v>630461.32999999996</v>
      </c>
    </row>
    <row r="108" spans="1:25" ht="15.75" customHeight="1" thickTop="1" x14ac:dyDescent="0.25">
      <c r="A108" s="920"/>
      <c r="B108" s="920"/>
      <c r="C108" s="920"/>
      <c r="D108" s="920"/>
      <c r="E108" s="920"/>
      <c r="F108" s="920"/>
      <c r="G108" s="920"/>
      <c r="H108" s="920"/>
      <c r="I108" s="920"/>
      <c r="J108" s="920"/>
      <c r="R108" s="928"/>
      <c r="S108" s="928"/>
      <c r="T108" s="928"/>
      <c r="U108" s="928"/>
      <c r="V108" s="928"/>
      <c r="W108" s="928"/>
      <c r="X108" s="928"/>
      <c r="Y108" s="928"/>
    </row>
    <row r="109" spans="1:25" ht="17.25" customHeight="1" thickBot="1" x14ac:dyDescent="0.3">
      <c r="A109" s="952" t="s">
        <v>131</v>
      </c>
      <c r="B109" s="952"/>
      <c r="C109" s="952"/>
      <c r="D109" s="952"/>
      <c r="E109" s="952"/>
      <c r="F109" s="920"/>
      <c r="G109" s="920"/>
      <c r="H109" s="920"/>
      <c r="I109" s="2" t="s">
        <v>132</v>
      </c>
      <c r="J109" s="96">
        <f>J107-J38</f>
        <v>1312462.1099999999</v>
      </c>
      <c r="R109" s="159" t="s">
        <v>176</v>
      </c>
      <c r="S109" s="159"/>
      <c r="T109" s="159"/>
      <c r="U109" s="159"/>
      <c r="V109" s="159"/>
      <c r="W109" s="159"/>
      <c r="X109" s="159"/>
      <c r="Y109" s="209">
        <f>Y107-Y38</f>
        <v>579482.99</v>
      </c>
    </row>
    <row r="110" spans="1:25" ht="18.75" customHeight="1" thickTop="1" x14ac:dyDescent="0.25">
      <c r="A110" s="952" t="s">
        <v>133</v>
      </c>
      <c r="B110" s="952"/>
      <c r="C110" s="952"/>
      <c r="D110" s="952"/>
      <c r="E110" s="952"/>
      <c r="F110" s="952"/>
      <c r="G110" s="952"/>
      <c r="H110" s="952"/>
      <c r="I110" s="42" t="s">
        <v>134</v>
      </c>
      <c r="J110" s="72"/>
      <c r="R110" s="1012" t="s">
        <v>136</v>
      </c>
      <c r="S110" s="1012"/>
      <c r="T110" s="1012"/>
      <c r="U110" s="1012"/>
      <c r="V110" s="1012"/>
      <c r="W110" s="1012"/>
      <c r="X110" s="1012"/>
      <c r="Y110" s="1012"/>
    </row>
    <row r="111" spans="1:25" ht="15.75" customHeight="1" x14ac:dyDescent="0.25">
      <c r="A111" s="953" t="s">
        <v>135</v>
      </c>
      <c r="B111" s="953"/>
      <c r="C111" s="953"/>
      <c r="D111" s="953"/>
      <c r="E111" s="953"/>
      <c r="F111" s="953"/>
      <c r="G111" s="953"/>
      <c r="H111" s="953"/>
      <c r="I111" s="224">
        <v>1</v>
      </c>
      <c r="J111" s="46">
        <f>Y109</f>
        <v>579482.99</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H113" s="658"/>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I114" s="659">
        <f>IF(I111=1,J111,J109)</f>
        <v>579482.99</v>
      </c>
      <c r="J114" s="660">
        <f>ROUND(IF(E28=0,0,IF(E28&gt;250,-(((250/E28)*I114)*IF(H113="H",0.02,0.05)),IF(H113="H",-0.02*I114,-0.05*I114))),2)</f>
        <v>-28974.15</v>
      </c>
      <c r="M114" s="2"/>
      <c r="N114" s="3"/>
      <c r="R114" s="2"/>
      <c r="T114" s="4"/>
      <c r="W114" s="2"/>
      <c r="X114" s="5"/>
    </row>
    <row r="115" spans="1:26" ht="16.5" customHeight="1" x14ac:dyDescent="0.25">
      <c r="A115" s="231"/>
      <c r="B115" s="231"/>
      <c r="C115" s="231"/>
      <c r="D115" s="231"/>
      <c r="E115" s="231"/>
      <c r="F115" s="231"/>
      <c r="G115" s="231"/>
      <c r="H115" s="661"/>
      <c r="I115" s="662"/>
      <c r="J115" s="663"/>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664"/>
      <c r="I116" s="665"/>
      <c r="J116" s="666">
        <f>J107+J114</f>
        <v>1334466.3</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61"/>
      <c r="I117" s="662"/>
      <c r="J117" s="663"/>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1"/>
      <c r="F118" s="230"/>
      <c r="G118" s="231"/>
      <c r="H118" s="661"/>
      <c r="I118" s="662"/>
      <c r="J118" s="667">
        <f>-'Cumulative Payments'!R78</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61"/>
      <c r="I119" s="662"/>
      <c r="J119" s="663"/>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661"/>
      <c r="I120" s="662"/>
      <c r="J120" s="663">
        <f>J116+J118</f>
        <v>1334466.3</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61"/>
      <c r="I121" s="662"/>
      <c r="J121" s="663"/>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661"/>
      <c r="I122" s="662"/>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61"/>
      <c r="I123" s="662"/>
      <c r="J123" s="663"/>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661"/>
      <c r="I124" s="662"/>
      <c r="J124" s="669">
        <f>ROUND(J120/J122,2)</f>
        <v>111205.53</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61"/>
      <c r="I125" s="662"/>
      <c r="J125" s="663"/>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661"/>
      <c r="I126" s="662"/>
      <c r="J126" s="670">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62"/>
      <c r="I127" s="671"/>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X62:Y62"/>
    <mergeCell ref="A59:B59"/>
    <mergeCell ref="G59:H59"/>
    <mergeCell ref="X59:Y59"/>
    <mergeCell ref="I60:J60"/>
    <mergeCell ref="R60:Y60"/>
    <mergeCell ref="I57:J57"/>
    <mergeCell ref="R57:Y57"/>
    <mergeCell ref="A58:J58"/>
    <mergeCell ref="R58:S58"/>
    <mergeCell ref="V58:W58"/>
    <mergeCell ref="X58:Y58"/>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80017-8300-4415-9334-B0335F4A03A8}">
  <dimension ref="A1:Z207"/>
  <sheetViews>
    <sheetView topLeftCell="A24" workbookViewId="0">
      <selection activeCell="A24" sqref="A24:B24"/>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500</v>
      </c>
      <c r="B2" s="101"/>
      <c r="C2" s="101"/>
      <c r="D2" s="101"/>
      <c r="E2" s="6"/>
      <c r="F2" s="6"/>
      <c r="G2" s="6"/>
      <c r="H2" s="6"/>
      <c r="I2" s="706" t="str">
        <f>RIGHT(A2,4)</f>
        <v>2531</v>
      </c>
      <c r="J2" s="6"/>
      <c r="K2" s="6"/>
      <c r="L2" s="6"/>
      <c r="M2" s="6"/>
      <c r="N2" s="6"/>
      <c r="O2" s="6"/>
      <c r="P2" s="6"/>
      <c r="Q2" s="6"/>
      <c r="R2" s="927" t="str">
        <f>Revenue_Estimate_Worksheet_for___________Charter_School</f>
        <v>Revenue Estimate Worksheet: Bodwell Academy - 2531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H</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0</v>
      </c>
      <c r="D14" s="392">
        <f>SUMIFS('Surv2-3'!L:L,'Surv2-3'!$H:$H,$I$2,'Surv2-3'!$I:$I,$O14)</f>
        <v>0</v>
      </c>
      <c r="E14" s="1020">
        <f t="shared" si="0"/>
        <v>0</v>
      </c>
      <c r="F14" s="1020"/>
      <c r="G14" s="1026">
        <f>Consolidated!$F16</f>
        <v>1</v>
      </c>
      <c r="H14" s="1026">
        <f>Consolidated!$H$9</f>
        <v>1</v>
      </c>
      <c r="I14" s="539">
        <f t="shared" si="3"/>
        <v>0</v>
      </c>
      <c r="J14" s="540">
        <f>ROUND(ROUND(ROUND(I14*$E$6,4)*($I$6),2)*(MAX($I$7,1)),2)</f>
        <v>0</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0</v>
      </c>
      <c r="D15" s="392">
        <f>SUMIFS('Surv2-3'!L:L,'Surv2-3'!$H:$H,$I$2,'Surv2-3'!$I:$I,$O15)</f>
        <v>0.5</v>
      </c>
      <c r="E15" s="1020">
        <f t="shared" si="0"/>
        <v>0.5</v>
      </c>
      <c r="F15" s="1020"/>
      <c r="G15" s="1026">
        <f>Consolidated!$F17</f>
        <v>1</v>
      </c>
      <c r="H15" s="1026">
        <f>Consolidated!$H$9</f>
        <v>1</v>
      </c>
      <c r="I15" s="539">
        <f t="shared" si="3"/>
        <v>0.5</v>
      </c>
      <c r="J15" s="540">
        <f t="shared" si="1"/>
        <v>2781.66</v>
      </c>
      <c r="M15" s="2"/>
      <c r="O15" s="2" t="str">
        <f t="shared" si="2"/>
        <v>112</v>
      </c>
      <c r="R15" s="946" t="s">
        <v>23</v>
      </c>
      <c r="S15" s="946"/>
      <c r="T15" s="944">
        <f t="shared" si="4"/>
        <v>0.5</v>
      </c>
      <c r="U15" s="944"/>
      <c r="V15" s="950">
        <v>1</v>
      </c>
      <c r="W15" s="950"/>
      <c r="X15" s="145">
        <f t="shared" si="5"/>
        <v>0.5</v>
      </c>
      <c r="Y15" s="212">
        <f t="shared" ref="Y15:Y27" si="7">ROUND(ROUND(ROUND(X15*$E$6,4)*($I$6),2)*(MAX($I$7,1)),2)</f>
        <v>2781.66</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11.5</v>
      </c>
      <c r="D17" s="392">
        <f>SUMIFS('Surv2-3'!M:M,'Surv2-3'!$H:$H,$I$2,'Surv2-3'!$I:$I,$O17)</f>
        <v>10.98</v>
      </c>
      <c r="E17" s="1020">
        <f t="shared" si="0"/>
        <v>22.48</v>
      </c>
      <c r="F17" s="1020"/>
      <c r="G17" s="1026">
        <f>Consolidated!$F19</f>
        <v>0.97199999999999998</v>
      </c>
      <c r="H17" s="1026">
        <f>Consolidated!$H$9</f>
        <v>1</v>
      </c>
      <c r="I17" s="539">
        <f t="shared" si="3"/>
        <v>21.8506</v>
      </c>
      <c r="J17" s="540">
        <f t="shared" si="1"/>
        <v>121562.04</v>
      </c>
      <c r="M17" s="2"/>
      <c r="O17" s="2" t="str">
        <f t="shared" si="2"/>
        <v>113</v>
      </c>
      <c r="R17" s="946" t="s">
        <v>25</v>
      </c>
      <c r="S17" s="946"/>
      <c r="T17" s="944">
        <f t="shared" si="4"/>
        <v>22.48</v>
      </c>
      <c r="U17" s="944"/>
      <c r="V17" s="950">
        <v>1</v>
      </c>
      <c r="W17" s="950"/>
      <c r="X17" s="145">
        <f t="shared" si="5"/>
        <v>22.48</v>
      </c>
      <c r="Y17" s="212">
        <f t="shared" si="7"/>
        <v>125063.6</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0.5</v>
      </c>
      <c r="D19" s="392">
        <f>SUMIFS('Surv2-3'!L:L,'Surv2-3'!$H:$H,$I$2,'Surv2-3'!$I:$I,$O19)</f>
        <v>0.5</v>
      </c>
      <c r="E19" s="1020">
        <f t="shared" si="0"/>
        <v>1</v>
      </c>
      <c r="F19" s="1020"/>
      <c r="G19" s="1026">
        <f>Consolidated!$F21</f>
        <v>3.609</v>
      </c>
      <c r="H19" s="1026">
        <f>Consolidated!$H$9</f>
        <v>1</v>
      </c>
      <c r="I19" s="539">
        <f t="shared" si="3"/>
        <v>3.609</v>
      </c>
      <c r="J19" s="540">
        <f t="shared" si="1"/>
        <v>20078.05</v>
      </c>
      <c r="M19" s="2"/>
      <c r="O19" s="2" t="str">
        <f t="shared" si="2"/>
        <v>254</v>
      </c>
      <c r="R19" s="946" t="s">
        <v>27</v>
      </c>
      <c r="S19" s="946"/>
      <c r="T19" s="944">
        <f t="shared" si="4"/>
        <v>1</v>
      </c>
      <c r="U19" s="944"/>
      <c r="V19" s="950">
        <v>1</v>
      </c>
      <c r="W19" s="950"/>
      <c r="X19" s="145">
        <f t="shared" si="5"/>
        <v>1</v>
      </c>
      <c r="Y19" s="212">
        <f t="shared" si="7"/>
        <v>5563.33</v>
      </c>
    </row>
    <row r="20" spans="1:25" x14ac:dyDescent="0.25">
      <c r="A20" s="916" t="s">
        <v>28</v>
      </c>
      <c r="B20" s="916"/>
      <c r="C20" s="392">
        <f>SUMIFS('Surv2-3'!F:F,'Surv2-3'!$A:$A,$I$2,'Surv2-3'!$B:$B,$O20)</f>
        <v>1.5</v>
      </c>
      <c r="D20" s="392">
        <f>SUMIFS('Surv2-3'!M:M,'Surv2-3'!$H:$H,$I$2,'Surv2-3'!$I:$I,$O20)</f>
        <v>2.02</v>
      </c>
      <c r="E20" s="1020">
        <f t="shared" si="0"/>
        <v>3.52</v>
      </c>
      <c r="F20" s="1020"/>
      <c r="G20" s="1026">
        <f>Consolidated!$F22</f>
        <v>3.609</v>
      </c>
      <c r="H20" s="1026">
        <f>Consolidated!$H$9</f>
        <v>1</v>
      </c>
      <c r="I20" s="539">
        <f t="shared" si="3"/>
        <v>12.7037</v>
      </c>
      <c r="J20" s="540">
        <f t="shared" si="1"/>
        <v>70674.84</v>
      </c>
      <c r="M20" s="2"/>
      <c r="O20" s="2" t="str">
        <f t="shared" si="2"/>
        <v>254</v>
      </c>
      <c r="R20" s="946" t="s">
        <v>28</v>
      </c>
      <c r="S20" s="946"/>
      <c r="T20" s="944">
        <f t="shared" si="4"/>
        <v>3.52</v>
      </c>
      <c r="U20" s="944"/>
      <c r="V20" s="950">
        <v>1</v>
      </c>
      <c r="W20" s="950"/>
      <c r="X20" s="145">
        <f t="shared" si="5"/>
        <v>3.52</v>
      </c>
      <c r="Y20" s="212">
        <f t="shared" si="7"/>
        <v>19582.91</v>
      </c>
    </row>
    <row r="21" spans="1:25" ht="15" customHeight="1" x14ac:dyDescent="0.25">
      <c r="A21" s="916" t="s">
        <v>29</v>
      </c>
      <c r="B21" s="916"/>
      <c r="C21" s="392">
        <f>SUMIFS('Surv2-3'!D:D,'Surv2-3'!$A:$A,$I$2,'Surv2-3'!$B:$B,$O21)</f>
        <v>4</v>
      </c>
      <c r="D21" s="392">
        <f>SUMIFS('Surv2-3'!K:K,'Surv2-3'!$H:$H,$I$2,'Surv2-3'!$I:$I,$O21)</f>
        <v>4.0199999999999996</v>
      </c>
      <c r="E21" s="1020">
        <f t="shared" si="0"/>
        <v>8.02</v>
      </c>
      <c r="F21" s="1020"/>
      <c r="G21" s="1026">
        <f>Consolidated!$F23</f>
        <v>6.0640000000000001</v>
      </c>
      <c r="H21" s="1026">
        <f>Consolidated!$H$9</f>
        <v>1</v>
      </c>
      <c r="I21" s="539">
        <f t="shared" si="3"/>
        <v>48.633299999999998</v>
      </c>
      <c r="J21" s="540">
        <f t="shared" si="1"/>
        <v>270562.96999999997</v>
      </c>
      <c r="M21" s="2"/>
      <c r="O21" s="2" t="str">
        <f t="shared" si="2"/>
        <v>255</v>
      </c>
      <c r="R21" s="946" t="s">
        <v>29</v>
      </c>
      <c r="S21" s="946"/>
      <c r="T21" s="944">
        <f t="shared" si="4"/>
        <v>8.02</v>
      </c>
      <c r="U21" s="944"/>
      <c r="V21" s="950">
        <v>1</v>
      </c>
      <c r="W21" s="950"/>
      <c r="X21" s="145">
        <f t="shared" si="5"/>
        <v>8.02</v>
      </c>
      <c r="Y21" s="212">
        <f t="shared" si="7"/>
        <v>44617.88</v>
      </c>
    </row>
    <row r="22" spans="1:25" ht="15" customHeight="1" x14ac:dyDescent="0.25">
      <c r="A22" s="916" t="s">
        <v>30</v>
      </c>
      <c r="B22" s="916"/>
      <c r="C22" s="392">
        <f>SUMIFS('Surv2-3'!E:E,'Surv2-3'!$A:$A,$I$2,'Surv2-3'!$B:$B,$O22)</f>
        <v>2.5</v>
      </c>
      <c r="D22" s="392">
        <f>SUMIFS('Surv2-3'!L:L,'Surv2-3'!$H:$H,$I$2,'Surv2-3'!$I:$I,$O22)</f>
        <v>2.5</v>
      </c>
      <c r="E22" s="1020">
        <f t="shared" si="0"/>
        <v>5</v>
      </c>
      <c r="F22" s="1020"/>
      <c r="G22" s="1026">
        <f>Consolidated!$F24</f>
        <v>6.0640000000000001</v>
      </c>
      <c r="H22" s="1026">
        <f>Consolidated!$H$9</f>
        <v>1</v>
      </c>
      <c r="I22" s="539">
        <f t="shared" si="3"/>
        <v>30.32</v>
      </c>
      <c r="J22" s="540">
        <f t="shared" si="1"/>
        <v>168680.08</v>
      </c>
      <c r="M22" s="2"/>
      <c r="O22" s="2" t="str">
        <f t="shared" si="2"/>
        <v>255</v>
      </c>
      <c r="R22" s="946" t="s">
        <v>30</v>
      </c>
      <c r="S22" s="946"/>
      <c r="T22" s="944">
        <f t="shared" si="4"/>
        <v>5</v>
      </c>
      <c r="U22" s="944"/>
      <c r="V22" s="950">
        <v>1</v>
      </c>
      <c r="W22" s="950"/>
      <c r="X22" s="145">
        <f t="shared" si="5"/>
        <v>5</v>
      </c>
      <c r="Y22" s="212">
        <f t="shared" si="7"/>
        <v>27816.639999999999</v>
      </c>
    </row>
    <row r="23" spans="1:25" ht="15" customHeight="1" x14ac:dyDescent="0.25">
      <c r="A23" s="916" t="s">
        <v>31</v>
      </c>
      <c r="B23" s="916"/>
      <c r="C23" s="392">
        <f>SUMIFS('Surv2-3'!F:F,'Surv2-3'!$A:$A,$I$2,'Surv2-3'!$B:$B,$O23)</f>
        <v>4</v>
      </c>
      <c r="D23" s="392">
        <f>SUMIFS('Surv2-3'!M:M,'Surv2-3'!$H:$H,$I$2,'Surv2-3'!$I:$I,$O23)</f>
        <v>4.0199999999999996</v>
      </c>
      <c r="E23" s="1020">
        <f t="shared" si="0"/>
        <v>8.02</v>
      </c>
      <c r="F23" s="1020"/>
      <c r="G23" s="1026">
        <f>Consolidated!$F25</f>
        <v>6.0640000000000001</v>
      </c>
      <c r="H23" s="1026">
        <f>Consolidated!$H$9</f>
        <v>1</v>
      </c>
      <c r="I23" s="539">
        <f t="shared" si="3"/>
        <v>48.633299999999998</v>
      </c>
      <c r="J23" s="540">
        <f t="shared" si="1"/>
        <v>270562.96999999997</v>
      </c>
      <c r="M23" s="2"/>
      <c r="O23" s="2" t="str">
        <f t="shared" si="2"/>
        <v>255</v>
      </c>
      <c r="R23" s="946" t="s">
        <v>31</v>
      </c>
      <c r="S23" s="946"/>
      <c r="T23" s="944">
        <f t="shared" si="4"/>
        <v>8.02</v>
      </c>
      <c r="U23" s="944"/>
      <c r="V23" s="950">
        <v>1</v>
      </c>
      <c r="W23" s="950"/>
      <c r="X23" s="145">
        <f t="shared" si="5"/>
        <v>8.02</v>
      </c>
      <c r="Y23" s="212">
        <f t="shared" si="7"/>
        <v>44617.88</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v>
      </c>
      <c r="D25" s="392">
        <f>SUMIFS('Surv2-3'!L:L,'Surv2-3'!$H:$H,$I$2,'Surv2-3'!$I:$I,$O25)</f>
        <v>0</v>
      </c>
      <c r="E25" s="1020">
        <f t="shared" si="0"/>
        <v>0</v>
      </c>
      <c r="F25" s="1020"/>
      <c r="G25" s="1026">
        <f>Consolidated!$F27</f>
        <v>1.165</v>
      </c>
      <c r="H25" s="1026">
        <f>Consolidated!$H$9</f>
        <v>1</v>
      </c>
      <c r="I25" s="539">
        <f t="shared" si="3"/>
        <v>0</v>
      </c>
      <c r="J25" s="540">
        <f t="shared" si="1"/>
        <v>0</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24</v>
      </c>
      <c r="D28" s="822">
        <f>SUM(D12:D27)</f>
        <v>24.54</v>
      </c>
      <c r="E28" s="1025">
        <f>SUM(E12:E27)</f>
        <v>48.539999999999992</v>
      </c>
      <c r="F28" s="1025"/>
      <c r="G28" s="1020"/>
      <c r="H28" s="1020"/>
      <c r="I28" s="23">
        <f>SUM(I12:I27)</f>
        <v>166.2499</v>
      </c>
      <c r="J28" s="116">
        <f>SUM(J12:J27)</f>
        <v>924902.60999999987</v>
      </c>
      <c r="M28" s="2"/>
      <c r="R28" s="963" t="s">
        <v>36</v>
      </c>
      <c r="S28" s="963"/>
      <c r="T28" s="964">
        <f>SUM(T12:T27)</f>
        <v>48.539999999999992</v>
      </c>
      <c r="U28" s="964"/>
      <c r="V28" s="965"/>
      <c r="W28" s="965"/>
      <c r="X28" s="147">
        <f>SUM(X12:X27)</f>
        <v>48.539999999999992</v>
      </c>
      <c r="Y28" s="212">
        <f>SUM(Y12:Y27)</f>
        <v>270043.90000000002</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166.2499</v>
      </c>
      <c r="H33" s="1020" t="s">
        <v>45</v>
      </c>
      <c r="I33" s="1020"/>
      <c r="J33" s="32">
        <f>SUM(J32,J28)</f>
        <v>924902.60999999987</v>
      </c>
      <c r="M33" s="2"/>
      <c r="R33" s="969" t="s">
        <v>44</v>
      </c>
      <c r="S33" s="969"/>
      <c r="T33" s="969"/>
      <c r="U33" s="969"/>
      <c r="V33" s="153">
        <f>V32+X28</f>
        <v>48.539999999999992</v>
      </c>
      <c r="W33" s="965" t="s">
        <v>45</v>
      </c>
      <c r="X33" s="965"/>
      <c r="Y33" s="154">
        <f>SUM(Y32,Y28)</f>
        <v>270043.90000000002</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1046534.2</v>
      </c>
      <c r="H36" s="37" t="s">
        <v>49</v>
      </c>
      <c r="I36" s="38">
        <v>6.6699999999999995E-2</v>
      </c>
      <c r="J36" s="120">
        <f>ROUND(G36*I36,2)</f>
        <v>69803.83</v>
      </c>
      <c r="K36" s="39"/>
      <c r="L36" s="33"/>
      <c r="M36" s="33"/>
      <c r="N36" s="33"/>
      <c r="O36" s="31"/>
      <c r="P36" s="34"/>
      <c r="Q36" s="34"/>
      <c r="R36" s="946" t="s">
        <v>47</v>
      </c>
      <c r="S36" s="946"/>
      <c r="T36" s="946"/>
      <c r="U36" s="158"/>
      <c r="V36" s="161">
        <v>272603.03000000003</v>
      </c>
      <c r="W36" s="162" t="s">
        <v>49</v>
      </c>
      <c r="X36" s="163">
        <v>6.6699999999999995E-2</v>
      </c>
      <c r="Y36" s="212">
        <f>J36</f>
        <v>69803.83</v>
      </c>
    </row>
    <row r="37" spans="1:25" ht="20.25" customHeight="1" x14ac:dyDescent="0.25">
      <c r="A37" s="916" t="s">
        <v>50</v>
      </c>
      <c r="B37" s="916"/>
      <c r="C37" s="916"/>
      <c r="D37" s="916"/>
      <c r="E37" s="916"/>
      <c r="F37" s="36" t="s">
        <v>48</v>
      </c>
      <c r="G37" s="121">
        <v>1046534.2</v>
      </c>
      <c r="H37" s="37" t="s">
        <v>49</v>
      </c>
      <c r="I37" s="38">
        <v>5.4000000000000003E-3</v>
      </c>
      <c r="J37" s="120">
        <f>ROUND(G37*I37,2)</f>
        <v>5651.28</v>
      </c>
      <c r="K37" s="39"/>
      <c r="L37" s="33"/>
      <c r="M37" s="33"/>
      <c r="N37" s="33"/>
      <c r="O37" s="31"/>
      <c r="P37" s="34"/>
      <c r="Q37" s="34"/>
      <c r="R37" s="946" t="s">
        <v>50</v>
      </c>
      <c r="S37" s="946"/>
      <c r="T37" s="946"/>
      <c r="U37" s="158"/>
      <c r="V37" s="161">
        <v>272603.03000000003</v>
      </c>
      <c r="W37" s="162" t="s">
        <v>49</v>
      </c>
      <c r="X37" s="163">
        <v>5.4000000000000003E-3</v>
      </c>
      <c r="Y37" s="212">
        <f>J37</f>
        <v>5651.28</v>
      </c>
    </row>
    <row r="38" spans="1:25" ht="20.25" customHeight="1" x14ac:dyDescent="0.25">
      <c r="A38" s="952" t="s">
        <v>51</v>
      </c>
      <c r="B38" s="952"/>
      <c r="C38" s="952"/>
      <c r="D38" s="952"/>
      <c r="E38" s="952"/>
      <c r="F38" s="36" t="s">
        <v>52</v>
      </c>
      <c r="G38" s="40"/>
      <c r="H38" s="37"/>
      <c r="I38" s="41"/>
      <c r="J38" s="120">
        <f>SUM(J36:J37)</f>
        <v>75455.11</v>
      </c>
      <c r="K38" s="39"/>
      <c r="L38" s="33"/>
      <c r="M38" s="33"/>
      <c r="N38" s="33"/>
      <c r="O38" s="31"/>
      <c r="P38" s="34"/>
      <c r="Q38" s="34"/>
      <c r="R38" s="955" t="s">
        <v>51</v>
      </c>
      <c r="S38" s="955"/>
      <c r="T38" s="955"/>
      <c r="U38" s="158" t="s">
        <v>52</v>
      </c>
      <c r="V38" s="164"/>
      <c r="W38" s="162"/>
      <c r="X38" s="165"/>
      <c r="Y38" s="146">
        <f>Y36+Y37</f>
        <v>75455.11</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37" t="s">
        <v>59</v>
      </c>
      <c r="H41" s="37">
        <v>251</v>
      </c>
      <c r="I41" s="125">
        <f>Consolidated!$H59</f>
        <v>1047</v>
      </c>
      <c r="J41" s="46">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4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46">
        <f t="shared" si="9"/>
        <v>0</v>
      </c>
      <c r="M43" s="2"/>
      <c r="R43" s="958"/>
      <c r="S43" s="958"/>
      <c r="T43" s="960"/>
      <c r="U43" s="960"/>
      <c r="V43" s="162" t="s">
        <v>59</v>
      </c>
      <c r="W43" s="162">
        <v>253</v>
      </c>
      <c r="X43" s="123">
        <f>Consolidated!$H61</f>
        <v>6896</v>
      </c>
      <c r="Y43" s="213">
        <f t="shared" si="10"/>
        <v>0</v>
      </c>
    </row>
    <row r="44" spans="1:25" ht="20.25" customHeight="1"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0</v>
      </c>
      <c r="D45" s="824">
        <f>SUMIFS('Surv2-3'!L:L,'Surv2-3'!$H:$H,$I$2,'Surv2-3'!$I:$I,$H45-140)</f>
        <v>0.5</v>
      </c>
      <c r="E45" s="1013">
        <f t="shared" si="8"/>
        <v>0.5</v>
      </c>
      <c r="F45" s="1013"/>
      <c r="G45" s="47" t="s">
        <v>60</v>
      </c>
      <c r="H45" s="37">
        <v>252</v>
      </c>
      <c r="I45" s="125">
        <f>Consolidated!$H63</f>
        <v>3506</v>
      </c>
      <c r="J45" s="46">
        <f t="shared" si="9"/>
        <v>1753</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4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4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11.5</v>
      </c>
      <c r="D49" s="824">
        <f>SUMIFS('Surv2-3'!M:M,'Surv2-3'!$H:$H,$I$2,'Surv2-3'!$I:$I,$H49-140)</f>
        <v>10.98</v>
      </c>
      <c r="E49" s="1014">
        <f t="shared" si="8"/>
        <v>22.48</v>
      </c>
      <c r="F49" s="1014"/>
      <c r="G49" s="47" t="s">
        <v>61</v>
      </c>
      <c r="H49" s="37">
        <v>253</v>
      </c>
      <c r="I49" s="125">
        <f>Consolidated!$H67</f>
        <v>6685</v>
      </c>
      <c r="J49" s="46">
        <f t="shared" si="9"/>
        <v>150278.79999999999</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11.5</v>
      </c>
      <c r="D50" s="825">
        <f>SUM(D41:D49)</f>
        <v>11.48</v>
      </c>
      <c r="E50" s="1015">
        <f>SUM(E41:E49)</f>
        <v>22.98</v>
      </c>
      <c r="F50" s="1015"/>
      <c r="G50" s="970" t="s">
        <v>63</v>
      </c>
      <c r="H50" s="970"/>
      <c r="I50" s="970"/>
      <c r="J50" s="220">
        <f>SUM(J41:J49)</f>
        <v>152031.79999999999</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48.539999999999992</v>
      </c>
      <c r="U52" s="173" t="s">
        <v>66</v>
      </c>
      <c r="V52" s="174"/>
      <c r="W52" s="175" t="s">
        <v>67</v>
      </c>
      <c r="X52" s="977">
        <f>I53</f>
        <v>207716.69</v>
      </c>
      <c r="Y52" s="977"/>
    </row>
    <row r="53" spans="1:25" ht="16.5" customHeight="1" x14ac:dyDescent="0.25">
      <c r="A53" s="953" t="s">
        <v>65</v>
      </c>
      <c r="B53" s="953"/>
      <c r="C53" s="51"/>
      <c r="D53" s="51"/>
      <c r="E53" s="48">
        <f>E28</f>
        <v>48.539999999999992</v>
      </c>
      <c r="F53" s="49" t="s">
        <v>66</v>
      </c>
      <c r="G53" s="3"/>
      <c r="H53" s="50" t="s">
        <v>67</v>
      </c>
      <c r="I53" s="1051">
        <f>Consolidated!H$71</f>
        <v>207716.69</v>
      </c>
      <c r="J53" s="1051"/>
      <c r="M53" s="2"/>
      <c r="R53" s="176"/>
      <c r="S53" s="177"/>
      <c r="T53" s="159"/>
      <c r="U53" s="159"/>
      <c r="V53" s="159"/>
      <c r="W53" s="178" t="s">
        <v>68</v>
      </c>
      <c r="X53" s="978">
        <f>ROUND(T52/X52,6)</f>
        <v>2.34E-4</v>
      </c>
      <c r="Y53" s="978"/>
    </row>
    <row r="54" spans="1:25" ht="22.5" customHeight="1" x14ac:dyDescent="0.25">
      <c r="A54" s="51"/>
      <c r="B54" s="52"/>
      <c r="C54" s="52"/>
      <c r="D54" s="52"/>
      <c r="H54" s="53" t="s">
        <v>68</v>
      </c>
      <c r="I54" s="1004">
        <f>IFERROR(ROUND(E53/I53,6),0)</f>
        <v>2.34E-4</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48.539999999999992</v>
      </c>
      <c r="U55" s="173" t="s">
        <v>66</v>
      </c>
      <c r="V55" s="174"/>
      <c r="W55" s="175" t="s">
        <v>71</v>
      </c>
      <c r="X55" s="977">
        <f>I56</f>
        <v>221131.37000000002</v>
      </c>
      <c r="Y55" s="977"/>
    </row>
    <row r="56" spans="1:25" ht="16.5" customHeight="1" x14ac:dyDescent="0.25">
      <c r="A56" s="953" t="s">
        <v>70</v>
      </c>
      <c r="B56" s="953"/>
      <c r="C56" s="51"/>
      <c r="D56" s="51"/>
      <c r="E56" s="48">
        <f>G33</f>
        <v>166.2499</v>
      </c>
      <c r="F56" s="49" t="s">
        <v>66</v>
      </c>
      <c r="G56" s="3"/>
      <c r="H56" s="50" t="s">
        <v>71</v>
      </c>
      <c r="I56" s="1051">
        <f>Consolidated!H$74</f>
        <v>221131.37000000002</v>
      </c>
      <c r="J56" s="1051"/>
      <c r="M56" s="2"/>
      <c r="R56" s="176"/>
      <c r="S56" s="159"/>
      <c r="T56" s="159"/>
      <c r="U56" s="159"/>
      <c r="V56" s="159"/>
      <c r="W56" s="178" t="s">
        <v>68</v>
      </c>
      <c r="X56" s="978">
        <f>ROUND(T55/X55,6)</f>
        <v>2.2000000000000001E-4</v>
      </c>
      <c r="Y56" s="978"/>
    </row>
    <row r="57" spans="1:25" ht="18.75" customHeight="1" x14ac:dyDescent="0.25">
      <c r="A57" s="51"/>
      <c r="H57" s="53" t="s">
        <v>68</v>
      </c>
      <c r="I57" s="1004">
        <f>IFERROR(ROUND(E56/I56,6),0)</f>
        <v>7.5199999999999996E-4</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48.539999999999992</v>
      </c>
      <c r="U58" s="173" t="s">
        <v>66</v>
      </c>
      <c r="V58" s="976" t="s">
        <v>74</v>
      </c>
      <c r="W58" s="976"/>
      <c r="X58" s="977">
        <f>I59</f>
        <v>178668.19</v>
      </c>
      <c r="Y58" s="977"/>
    </row>
    <row r="59" spans="1:25" ht="18.75" customHeight="1" x14ac:dyDescent="0.25">
      <c r="A59" s="953" t="s">
        <v>73</v>
      </c>
      <c r="B59" s="953"/>
      <c r="C59" s="51"/>
      <c r="D59" s="51"/>
      <c r="E59" s="48">
        <f>E28</f>
        <v>48.539999999999992</v>
      </c>
      <c r="F59" s="49" t="s">
        <v>66</v>
      </c>
      <c r="G59" s="1046" t="s">
        <v>74</v>
      </c>
      <c r="H59" s="1046"/>
      <c r="I59" s="1051">
        <f>Consolidated!H$77</f>
        <v>178668.19</v>
      </c>
      <c r="J59" s="1051"/>
      <c r="M59" s="2"/>
      <c r="R59" s="176"/>
      <c r="S59" s="159"/>
      <c r="T59" s="159"/>
      <c r="U59" s="159"/>
      <c r="V59" s="159"/>
      <c r="W59" s="178" t="s">
        <v>68</v>
      </c>
      <c r="X59" s="978">
        <f>ROUND(T58/X58,6)</f>
        <v>2.72E-4</v>
      </c>
      <c r="Y59" s="978"/>
    </row>
    <row r="60" spans="1:25" ht="18" customHeight="1" x14ac:dyDescent="0.25">
      <c r="A60" s="51"/>
      <c r="H60" s="53" t="s">
        <v>68</v>
      </c>
      <c r="I60" s="1004">
        <f>IFERROR(ROUND(E59/I59,6),0)</f>
        <v>2.72E-4</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48.539999999999992</v>
      </c>
      <c r="U61" s="173" t="s">
        <v>66</v>
      </c>
      <c r="V61" s="976" t="s">
        <v>76</v>
      </c>
      <c r="W61" s="976"/>
      <c r="X61" s="977">
        <f>I62</f>
        <v>207376.94</v>
      </c>
      <c r="Y61" s="977"/>
    </row>
    <row r="62" spans="1:25" ht="30.75" customHeight="1" x14ac:dyDescent="0.25">
      <c r="A62" s="953" t="s">
        <v>73</v>
      </c>
      <c r="B62" s="953"/>
      <c r="C62" s="51"/>
      <c r="D62" s="51"/>
      <c r="E62" s="48">
        <f>E28</f>
        <v>48.539999999999992</v>
      </c>
      <c r="F62" s="49" t="s">
        <v>66</v>
      </c>
      <c r="G62" s="1046" t="s">
        <v>76</v>
      </c>
      <c r="H62" s="1046"/>
      <c r="I62" s="1051">
        <f>Consolidated!H$80</f>
        <v>207376.94</v>
      </c>
      <c r="J62" s="1051"/>
      <c r="M62" s="2"/>
      <c r="R62" s="176"/>
      <c r="S62" s="159"/>
      <c r="T62" s="159"/>
      <c r="U62" s="159"/>
      <c r="V62" s="159"/>
      <c r="W62" s="178" t="s">
        <v>68</v>
      </c>
      <c r="X62" s="978">
        <f>ROUND(T61/X61,6)</f>
        <v>2.34E-4</v>
      </c>
      <c r="Y62" s="978"/>
    </row>
    <row r="63" spans="1:25" ht="19.5" customHeight="1" x14ac:dyDescent="0.25">
      <c r="A63" s="51"/>
      <c r="H63" s="53" t="s">
        <v>68</v>
      </c>
      <c r="I63" s="1004">
        <f>IFERROR(ROUND(E62/I62,6),0)</f>
        <v>2.34E-4</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48.539999999999992</v>
      </c>
      <c r="U64" s="173" t="s">
        <v>66</v>
      </c>
      <c r="V64" s="976" t="s">
        <v>161</v>
      </c>
      <c r="W64" s="976"/>
      <c r="X64" s="977">
        <f>I65</f>
        <v>178328.44</v>
      </c>
      <c r="Y64" s="977"/>
    </row>
    <row r="65" spans="1:26" ht="49.5" customHeight="1" x14ac:dyDescent="0.25">
      <c r="A65" s="953" t="s">
        <v>73</v>
      </c>
      <c r="B65" s="953"/>
      <c r="C65" s="51"/>
      <c r="D65" s="51"/>
      <c r="E65" s="48">
        <f>E28</f>
        <v>48.539999999999992</v>
      </c>
      <c r="F65" s="49" t="s">
        <v>66</v>
      </c>
      <c r="G65" s="1046" t="s">
        <v>78</v>
      </c>
      <c r="H65" s="1046"/>
      <c r="I65" s="1051">
        <f>Consolidated!H$83</f>
        <v>178328.44</v>
      </c>
      <c r="J65" s="1051"/>
      <c r="M65" s="2"/>
      <c r="R65" s="179"/>
      <c r="S65" s="159"/>
      <c r="T65" s="159"/>
      <c r="U65" s="159"/>
      <c r="V65" s="159"/>
      <c r="W65" s="178" t="s">
        <v>68</v>
      </c>
      <c r="X65" s="978">
        <f>ROUND(T64/X64,6)</f>
        <v>2.72E-4</v>
      </c>
      <c r="Y65" s="978"/>
    </row>
    <row r="66" spans="1:26" ht="19.5" customHeight="1" x14ac:dyDescent="0.25">
      <c r="A66" s="51"/>
      <c r="H66" s="53" t="s">
        <v>68</v>
      </c>
      <c r="I66" s="1004">
        <f>IFERROR(ROUND(E65/I65,6),0)</f>
        <v>2.72E-4</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2.34E-4</v>
      </c>
      <c r="Y67" s="215">
        <f>ROUND(V67*X67,2)</f>
        <v>10672.85</v>
      </c>
    </row>
    <row r="68" spans="1:26" ht="30.75" customHeight="1" x14ac:dyDescent="0.25">
      <c r="A68" s="1005" t="s">
        <v>79</v>
      </c>
      <c r="B68" s="1005"/>
      <c r="C68" s="1005"/>
      <c r="D68" s="1005"/>
      <c r="E68" s="1005"/>
      <c r="F68" s="36" t="s">
        <v>80</v>
      </c>
      <c r="G68" s="221">
        <f>Consolidated!F$86</f>
        <v>45610484</v>
      </c>
      <c r="H68" s="37" t="s">
        <v>81</v>
      </c>
      <c r="I68" s="41">
        <f>I63</f>
        <v>2.34E-4</v>
      </c>
      <c r="J68" s="127">
        <f>ROUND(G68*I68,2)</f>
        <v>10672.85</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2.34E-4</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2.34E-4</v>
      </c>
      <c r="J70" s="127">
        <f>ROUND(G70*I70,2)</f>
        <v>0</v>
      </c>
      <c r="M70" s="2"/>
      <c r="R70" s="955" t="s">
        <v>163</v>
      </c>
      <c r="S70" s="955"/>
      <c r="T70" s="955"/>
      <c r="U70" s="158"/>
      <c r="V70" s="182">
        <f>G71</f>
        <v>18959906</v>
      </c>
      <c r="W70" s="162" t="s">
        <v>81</v>
      </c>
      <c r="X70" s="165">
        <f>X65</f>
        <v>2.72E-4</v>
      </c>
      <c r="Y70" s="212">
        <f t="shared" si="11"/>
        <v>5157.09</v>
      </c>
    </row>
    <row r="71" spans="1:26" ht="19.5" customHeight="1" x14ac:dyDescent="0.25">
      <c r="A71" s="952" t="s">
        <v>85</v>
      </c>
      <c r="B71" s="952"/>
      <c r="C71" s="952"/>
      <c r="D71" s="952"/>
      <c r="E71" s="952"/>
      <c r="F71" s="36" t="s">
        <v>86</v>
      </c>
      <c r="G71" s="221">
        <f>Consolidated!F$91</f>
        <v>18959906</v>
      </c>
      <c r="H71" s="37" t="s">
        <v>81</v>
      </c>
      <c r="I71" s="41">
        <f>I66</f>
        <v>2.72E-4</v>
      </c>
      <c r="J71" s="127">
        <f>ROUND(G71*I71,2)</f>
        <v>5157.09</v>
      </c>
      <c r="M71" s="2"/>
      <c r="R71" s="166" t="s">
        <v>164</v>
      </c>
      <c r="S71" s="166"/>
      <c r="T71" s="166"/>
      <c r="U71" s="158"/>
      <c r="V71" s="160">
        <f>G72</f>
        <v>11308391</v>
      </c>
      <c r="W71" s="162" t="s">
        <v>81</v>
      </c>
      <c r="X71" s="165">
        <f>X59</f>
        <v>2.72E-4</v>
      </c>
      <c r="Y71" s="212">
        <f t="shared" si="11"/>
        <v>3075.88</v>
      </c>
    </row>
    <row r="72" spans="1:26" ht="19.5" customHeight="1" x14ac:dyDescent="0.25">
      <c r="A72" s="42" t="s">
        <v>87</v>
      </c>
      <c r="B72" s="42"/>
      <c r="C72" s="42"/>
      <c r="D72" s="42"/>
      <c r="E72" s="42"/>
      <c r="F72" s="36" t="s">
        <v>88</v>
      </c>
      <c r="G72" s="221">
        <f>Consolidated!F$93</f>
        <v>11308391</v>
      </c>
      <c r="H72" s="37" t="s">
        <v>81</v>
      </c>
      <c r="I72" s="41">
        <f>I60</f>
        <v>2.72E-4</v>
      </c>
      <c r="J72" s="127">
        <f>ROUND(G72*I72,2)</f>
        <v>3075.88</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7.5199999999999996E-4</v>
      </c>
      <c r="J85" s="127">
        <f>ROUND(G85*I85,2)</f>
        <v>202149.84</v>
      </c>
      <c r="K85" s="70"/>
      <c r="L85" s="70"/>
      <c r="M85" s="71"/>
      <c r="N85" s="70"/>
      <c r="O85" s="70"/>
      <c r="P85" s="70"/>
      <c r="Q85" s="70"/>
      <c r="R85" s="955" t="s">
        <v>168</v>
      </c>
      <c r="S85" s="955"/>
      <c r="T85" s="955"/>
      <c r="U85" s="158"/>
      <c r="V85" s="160">
        <f>G85</f>
        <v>268816278</v>
      </c>
      <c r="W85" s="162" t="s">
        <v>81</v>
      </c>
      <c r="X85" s="165">
        <f>X56</f>
        <v>2.2000000000000001E-4</v>
      </c>
      <c r="Y85" s="212">
        <f t="shared" ref="Y85:Y87" si="12">ROUND(V85*X85,2)</f>
        <v>59139.58</v>
      </c>
    </row>
    <row r="86" spans="1:26" ht="14.25" customHeight="1" x14ac:dyDescent="0.25">
      <c r="A86" s="952" t="s">
        <v>104</v>
      </c>
      <c r="B86" s="952"/>
      <c r="C86" s="952"/>
      <c r="D86" s="952"/>
      <c r="E86" s="952"/>
      <c r="F86" s="36" t="s">
        <v>103</v>
      </c>
      <c r="G86" s="128">
        <v>0</v>
      </c>
      <c r="H86" s="37" t="s">
        <v>81</v>
      </c>
      <c r="I86" s="41">
        <f>I57</f>
        <v>7.5199999999999996E-4</v>
      </c>
      <c r="J86" s="127">
        <f>ROUND(G86*I86,2)</f>
        <v>0</v>
      </c>
      <c r="K86" s="70"/>
      <c r="L86" s="71"/>
      <c r="M86" s="76"/>
      <c r="N86" s="76"/>
      <c r="O86" s="76"/>
      <c r="P86" s="76"/>
      <c r="Q86" s="70"/>
      <c r="R86" s="955" t="s">
        <v>169</v>
      </c>
      <c r="S86" s="955"/>
      <c r="T86" s="955"/>
      <c r="U86" s="158"/>
      <c r="V86" s="192">
        <f>G86</f>
        <v>0</v>
      </c>
      <c r="W86" s="162" t="s">
        <v>81</v>
      </c>
      <c r="X86" s="165">
        <f>X56</f>
        <v>2.2000000000000001E-4</v>
      </c>
      <c r="Y86" s="212">
        <f t="shared" si="12"/>
        <v>0</v>
      </c>
    </row>
    <row r="87" spans="1:26" ht="18" customHeight="1" x14ac:dyDescent="0.25">
      <c r="A87" s="952" t="s">
        <v>105</v>
      </c>
      <c r="B87" s="952"/>
      <c r="C87" s="952"/>
      <c r="D87" s="952"/>
      <c r="E87" s="952"/>
      <c r="F87" s="36" t="s">
        <v>84</v>
      </c>
      <c r="G87" s="128">
        <v>0</v>
      </c>
      <c r="H87" s="37" t="s">
        <v>81</v>
      </c>
      <c r="I87" s="41">
        <f>I54</f>
        <v>2.34E-4</v>
      </c>
      <c r="J87" s="62">
        <f>ROUND(G87*I87,2)</f>
        <v>0</v>
      </c>
      <c r="K87" s="77"/>
      <c r="L87" s="70"/>
      <c r="M87" s="71"/>
      <c r="N87" s="70"/>
      <c r="O87" s="70"/>
      <c r="P87" s="70"/>
      <c r="Q87" s="70"/>
      <c r="R87" s="166" t="s">
        <v>170</v>
      </c>
      <c r="S87" s="166"/>
      <c r="T87" s="166"/>
      <c r="U87" s="158"/>
      <c r="V87" s="192">
        <f>G87</f>
        <v>0</v>
      </c>
      <c r="W87" s="162" t="s">
        <v>81</v>
      </c>
      <c r="X87" s="165">
        <f>X53</f>
        <v>2.34E-4</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48.633299999999998</v>
      </c>
      <c r="C90" s="80"/>
      <c r="D90" s="921">
        <f>I6</f>
        <v>1.0355000000000001</v>
      </c>
      <c r="E90" s="921"/>
      <c r="F90" s="921"/>
      <c r="G90" s="113">
        <f>Consolidated!F$118</f>
        <v>958.42</v>
      </c>
      <c r="H90" s="47" t="s">
        <v>68</v>
      </c>
      <c r="I90" s="130">
        <f>ROUND(B90*D90*G90,2)</f>
        <v>48265.82</v>
      </c>
      <c r="J90" s="81"/>
      <c r="K90" s="70"/>
      <c r="L90" s="70"/>
      <c r="M90" s="71"/>
      <c r="N90" s="70"/>
      <c r="O90" s="70"/>
      <c r="P90" s="70"/>
      <c r="Q90" s="70"/>
      <c r="R90" s="155" t="s">
        <v>110</v>
      </c>
      <c r="S90" s="193">
        <f>X12+X13+X18+X21+X24</f>
        <v>8.02</v>
      </c>
      <c r="T90" s="984">
        <f>X6</f>
        <v>1.0355000000000001</v>
      </c>
      <c r="U90" s="984"/>
      <c r="V90" s="113">
        <f>G90</f>
        <v>958.42</v>
      </c>
      <c r="W90" s="171" t="s">
        <v>68</v>
      </c>
      <c r="X90" s="216">
        <f>ROUND(S90*T90*V90,2)</f>
        <v>7959.4</v>
      </c>
      <c r="Y90" s="194"/>
    </row>
    <row r="91" spans="1:26" ht="21" customHeight="1" x14ac:dyDescent="0.25">
      <c r="A91" s="82" t="s">
        <v>60</v>
      </c>
      <c r="B91" s="80">
        <f>I14+I15+I19+I22+I25</f>
        <v>34.429000000000002</v>
      </c>
      <c r="C91" s="80"/>
      <c r="D91" s="921">
        <f>I6</f>
        <v>1.0355000000000001</v>
      </c>
      <c r="E91" s="921"/>
      <c r="F91" s="921"/>
      <c r="G91" s="113">
        <f>Consolidated!F$119</f>
        <v>915.09</v>
      </c>
      <c r="H91" s="47" t="s">
        <v>68</v>
      </c>
      <c r="I91" s="129">
        <f>ROUND(B91*D91*G91,2)</f>
        <v>32624.080000000002</v>
      </c>
      <c r="K91" s="70"/>
      <c r="L91" s="70"/>
      <c r="M91" s="71"/>
      <c r="N91" s="70"/>
      <c r="O91" s="70"/>
      <c r="P91" s="70"/>
      <c r="Q91" s="70"/>
      <c r="R91" s="195" t="s">
        <v>60</v>
      </c>
      <c r="S91" s="193">
        <f>X14+X15+X19+X22+X25</f>
        <v>6.5</v>
      </c>
      <c r="T91" s="984">
        <f>X6</f>
        <v>1.0355000000000001</v>
      </c>
      <c r="U91" s="984"/>
      <c r="V91" s="113">
        <f>G91</f>
        <v>915.09</v>
      </c>
      <c r="W91" s="171" t="s">
        <v>68</v>
      </c>
      <c r="X91" s="216">
        <f>ROUND(S91*T91*V91,2)</f>
        <v>6159.24</v>
      </c>
      <c r="Y91" s="159"/>
    </row>
    <row r="92" spans="1:26" ht="19.5" customHeight="1" thickBot="1" x14ac:dyDescent="0.3">
      <c r="A92" s="83" t="s">
        <v>61</v>
      </c>
      <c r="B92" s="80">
        <f>I16+I17+I20+I23+I26+I27</f>
        <v>83.187600000000003</v>
      </c>
      <c r="C92" s="80"/>
      <c r="D92" s="921">
        <f>I6</f>
        <v>1.0355000000000001</v>
      </c>
      <c r="E92" s="921"/>
      <c r="F92" s="921"/>
      <c r="G92" s="113">
        <f>Consolidated!F$120</f>
        <v>917.3</v>
      </c>
      <c r="H92" s="47" t="s">
        <v>68</v>
      </c>
      <c r="I92" s="537">
        <f>ROUND(B92*D92*G92,2)</f>
        <v>79016.92</v>
      </c>
      <c r="K92" s="70"/>
      <c r="L92" s="70"/>
      <c r="M92" s="71"/>
      <c r="N92" s="70"/>
      <c r="O92" s="70"/>
      <c r="P92" s="70"/>
      <c r="Q92" s="70"/>
      <c r="R92" s="196" t="s">
        <v>61</v>
      </c>
      <c r="S92" s="197">
        <f>X16+X17+X20+X23+X26+X27</f>
        <v>34.019999999999996</v>
      </c>
      <c r="T92" s="984">
        <f>X6</f>
        <v>1.0355000000000001</v>
      </c>
      <c r="U92" s="984"/>
      <c r="V92" s="113">
        <f>G92</f>
        <v>917.3</v>
      </c>
      <c r="W92" s="171" t="s">
        <v>68</v>
      </c>
      <c r="X92" s="216">
        <f>ROUND(S92*T92*V92,2)</f>
        <v>32314.38</v>
      </c>
      <c r="Y92" s="159"/>
    </row>
    <row r="93" spans="1:26" ht="18.75" customHeight="1" thickBot="1" x14ac:dyDescent="0.3">
      <c r="A93" s="84" t="s">
        <v>111</v>
      </c>
      <c r="B93" s="80">
        <f>SUM(B90:B92)</f>
        <v>166.2499</v>
      </c>
      <c r="C93" s="80"/>
      <c r="D93" s="80"/>
      <c r="E93" s="999" t="s">
        <v>112</v>
      </c>
      <c r="F93" s="999"/>
      <c r="G93" s="999"/>
      <c r="H93" s="999"/>
      <c r="I93" s="999"/>
      <c r="J93" s="116">
        <f>IF(A1=75,0,I92+I91+I90)</f>
        <v>159906.82</v>
      </c>
      <c r="K93" s="70"/>
      <c r="L93" s="70"/>
      <c r="M93" s="71"/>
      <c r="N93" s="70"/>
      <c r="O93" s="70"/>
      <c r="P93" s="70"/>
      <c r="Q93" s="70"/>
      <c r="R93" s="198" t="s">
        <v>111</v>
      </c>
      <c r="S93" s="199">
        <f>SUM(S90:S92)</f>
        <v>48.539999999999992</v>
      </c>
      <c r="T93" s="985" t="s">
        <v>112</v>
      </c>
      <c r="U93" s="986"/>
      <c r="V93" s="986"/>
      <c r="W93" s="986"/>
      <c r="X93" s="986"/>
      <c r="Y93" s="212">
        <f>IF(R1=75,0,X92+X91+X90)</f>
        <v>46433.020000000004</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27</v>
      </c>
      <c r="U96" s="990"/>
      <c r="V96" s="990"/>
      <c r="W96" s="200" t="s">
        <v>117</v>
      </c>
      <c r="X96" s="201">
        <f>I97</f>
        <v>578</v>
      </c>
      <c r="Y96" s="212">
        <f>ROUND(X96*T96,2)</f>
        <v>15606</v>
      </c>
    </row>
    <row r="97" spans="1:25" ht="17.25" customHeight="1" x14ac:dyDescent="0.25">
      <c r="A97" s="970" t="s">
        <v>116</v>
      </c>
      <c r="B97" s="970"/>
      <c r="C97" s="223">
        <v>26</v>
      </c>
      <c r="D97" s="223">
        <v>28</v>
      </c>
      <c r="E97" s="915">
        <f>IF(D97&gt;0,(C97+D97)/2,C97)</f>
        <v>27</v>
      </c>
      <c r="F97" s="915"/>
      <c r="G97" s="915"/>
      <c r="H97" s="85" t="s">
        <v>117</v>
      </c>
      <c r="I97" s="119">
        <f>Consolidated!G$127</f>
        <v>578</v>
      </c>
      <c r="J97" s="127">
        <f>ROUND(I97*E97,2)</f>
        <v>15606</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02">
        <f>(C98+D98)/2</f>
        <v>0</v>
      </c>
      <c r="F98" s="1002"/>
      <c r="G98" s="1002"/>
      <c r="H98" s="85" t="s">
        <v>117</v>
      </c>
      <c r="I98" s="119">
        <f>Consolidated!G$128</f>
        <v>1794</v>
      </c>
      <c r="J98" s="127">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970" t="s">
        <v>125</v>
      </c>
      <c r="B107" s="970"/>
      <c r="C107" s="970"/>
      <c r="D107" s="970"/>
      <c r="E107" s="970"/>
      <c r="F107" s="970"/>
      <c r="G107" s="970"/>
      <c r="H107" s="970"/>
      <c r="I107" s="970"/>
      <c r="J107" s="95">
        <f>SUM(J106,J105,J98,J97,J93,J86,J85,J71,J70,J68,J33,J72,J50,J87,J84)</f>
        <v>1473502.89</v>
      </c>
      <c r="L107" s="538"/>
      <c r="R107" s="955" t="s">
        <v>125</v>
      </c>
      <c r="S107" s="955"/>
      <c r="T107" s="955"/>
      <c r="U107" s="955"/>
      <c r="V107" s="955"/>
      <c r="W107" s="955"/>
      <c r="X107" s="955"/>
      <c r="Y107" s="208">
        <f>SUM(Y106,Y105,Y97,Y96,Y93,Y86,Y85,Y84,Y70,Y69,Y67,Y33,Y71,Y50,Y87,Y83)</f>
        <v>410128.32000000007</v>
      </c>
    </row>
    <row r="108" spans="1:25" ht="15.75" customHeight="1" thickTop="1" x14ac:dyDescent="0.25">
      <c r="A108" s="920"/>
      <c r="B108" s="920"/>
      <c r="C108" s="920"/>
      <c r="D108" s="920"/>
      <c r="E108" s="920"/>
      <c r="F108" s="920"/>
      <c r="G108" s="920"/>
      <c r="H108" s="920"/>
      <c r="I108" s="920"/>
      <c r="J108" s="920"/>
      <c r="R108" s="928"/>
      <c r="S108" s="928"/>
      <c r="T108" s="928"/>
      <c r="U108" s="928"/>
      <c r="V108" s="928"/>
      <c r="W108" s="928"/>
      <c r="X108" s="928"/>
      <c r="Y108" s="928"/>
    </row>
    <row r="109" spans="1:25" ht="17.25" customHeight="1" thickBot="1" x14ac:dyDescent="0.3">
      <c r="A109" s="952" t="s">
        <v>131</v>
      </c>
      <c r="B109" s="952"/>
      <c r="C109" s="952"/>
      <c r="D109" s="952"/>
      <c r="E109" s="952"/>
      <c r="F109" s="920"/>
      <c r="G109" s="920"/>
      <c r="H109" s="920"/>
      <c r="I109" s="2" t="s">
        <v>132</v>
      </c>
      <c r="J109" s="96">
        <f>J107-J38</f>
        <v>1398047.7799999998</v>
      </c>
      <c r="R109" s="159" t="s">
        <v>176</v>
      </c>
      <c r="S109" s="159"/>
      <c r="T109" s="159"/>
      <c r="U109" s="159"/>
      <c r="V109" s="159"/>
      <c r="W109" s="159"/>
      <c r="X109" s="159"/>
      <c r="Y109" s="209">
        <f>Y107-Y38</f>
        <v>334673.21000000008</v>
      </c>
    </row>
    <row r="110" spans="1:25" ht="18.75" customHeight="1" thickTop="1" x14ac:dyDescent="0.25">
      <c r="A110" s="952" t="s">
        <v>133</v>
      </c>
      <c r="B110" s="952"/>
      <c r="C110" s="952"/>
      <c r="D110" s="952"/>
      <c r="E110" s="952"/>
      <c r="F110" s="952"/>
      <c r="G110" s="952"/>
      <c r="H110" s="952"/>
      <c r="I110" s="42" t="s">
        <v>134</v>
      </c>
      <c r="J110" s="72"/>
      <c r="R110" s="1012" t="s">
        <v>136</v>
      </c>
      <c r="S110" s="1012"/>
      <c r="T110" s="1012"/>
      <c r="U110" s="1012"/>
      <c r="V110" s="1012"/>
      <c r="W110" s="1012"/>
      <c r="X110" s="1012"/>
      <c r="Y110" s="1012"/>
    </row>
    <row r="111" spans="1:25" ht="15.75" customHeight="1" x14ac:dyDescent="0.25">
      <c r="A111" s="953" t="s">
        <v>135</v>
      </c>
      <c r="B111" s="953"/>
      <c r="C111" s="953"/>
      <c r="D111" s="953"/>
      <c r="E111" s="953"/>
      <c r="F111" s="953"/>
      <c r="G111" s="953"/>
      <c r="H111" s="953"/>
      <c r="I111" s="224">
        <v>1</v>
      </c>
      <c r="J111" s="46">
        <f>Y109</f>
        <v>334673.21000000008</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H113" s="658"/>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I114" s="659">
        <f>IF(I111=1,J111,J109)</f>
        <v>334673.21000000008</v>
      </c>
      <c r="J114" s="660">
        <f>ROUND(IF(E28=0,0,IF(E28&gt;250,-(((250/E28)*I114)*IF(H113="H",0.02,0.05)),IF(H113="H",-0.02*I114,-0.05*I114))),2)</f>
        <v>-16733.66</v>
      </c>
      <c r="M114" s="2"/>
      <c r="N114" s="3"/>
      <c r="R114" s="2"/>
      <c r="T114" s="4"/>
      <c r="W114" s="2"/>
      <c r="X114" s="5"/>
    </row>
    <row r="115" spans="1:26" ht="16.5" customHeight="1" x14ac:dyDescent="0.25">
      <c r="A115" s="231"/>
      <c r="B115" s="231"/>
      <c r="C115" s="231"/>
      <c r="D115" s="231"/>
      <c r="E115" s="231"/>
      <c r="F115" s="231"/>
      <c r="G115" s="231"/>
      <c r="H115" s="661"/>
      <c r="I115" s="662"/>
      <c r="J115" s="663"/>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664"/>
      <c r="I116" s="665"/>
      <c r="J116" s="666">
        <f>J107+J114</f>
        <v>1456769.23</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61"/>
      <c r="I117" s="662"/>
      <c r="J117" s="663"/>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661"/>
      <c r="I118" s="662"/>
      <c r="J118" s="667">
        <f>-'Cumulative Payments'!R79</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61"/>
      <c r="I119" s="662"/>
      <c r="J119" s="663"/>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661"/>
      <c r="I120" s="662"/>
      <c r="J120" s="663">
        <f>J116+J118</f>
        <v>1456769.23</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61"/>
      <c r="I121" s="662"/>
      <c r="J121" s="663"/>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661"/>
      <c r="I122" s="662"/>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61"/>
      <c r="I123" s="662"/>
      <c r="J123" s="663"/>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661"/>
      <c r="I124" s="662"/>
      <c r="J124" s="669">
        <f>ROUND(J120/J122,2)</f>
        <v>121397.44</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61"/>
      <c r="I125" s="662"/>
      <c r="J125" s="663"/>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661"/>
      <c r="I126" s="662"/>
      <c r="J126" s="670">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62"/>
      <c r="I127" s="671"/>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6D6ED-DD5B-4F78-875E-84523061658F}">
  <dimension ref="A1:Z207"/>
  <sheetViews>
    <sheetView topLeftCell="A24" workbookViewId="0">
      <selection activeCell="A24" sqref="A24:B24"/>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501</v>
      </c>
      <c r="B2" s="101"/>
      <c r="C2" s="101"/>
      <c r="D2" s="101"/>
      <c r="E2" s="6"/>
      <c r="F2" s="6"/>
      <c r="G2" s="6"/>
      <c r="H2" s="6"/>
      <c r="I2" s="706" t="str">
        <f>RIGHT(A2,4)</f>
        <v>2791</v>
      </c>
      <c r="J2" s="6"/>
      <c r="K2" s="6"/>
      <c r="L2" s="6"/>
      <c r="M2" s="6"/>
      <c r="N2" s="6"/>
      <c r="O2" s="6"/>
      <c r="P2" s="6"/>
      <c r="Q2" s="6"/>
      <c r="R2" s="927" t="str">
        <f>Revenue_Estimate_Worksheet_for___________Charter_School</f>
        <v>Revenue Estimate Worksheet: The Learning Center at The Els Center of Excellence - 2791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E</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3</v>
      </c>
      <c r="D13" s="392">
        <f>SUMIFS('Surv2-3'!K:K,'Surv2-3'!$H:$H,$I$2,'Surv2-3'!$I:$I,$O13)</f>
        <v>1.04</v>
      </c>
      <c r="E13" s="1020">
        <f t="shared" si="0"/>
        <v>4.04</v>
      </c>
      <c r="F13" s="1020"/>
      <c r="G13" s="1026">
        <f>Consolidated!$F15</f>
        <v>1.1080000000000001</v>
      </c>
      <c r="H13" s="1026">
        <f>Consolidated!$H$9</f>
        <v>1</v>
      </c>
      <c r="I13" s="539">
        <f t="shared" ref="I13:I27" si="3">ROUND(E13*G13,4)</f>
        <v>4.4763000000000002</v>
      </c>
      <c r="J13" s="540">
        <f t="shared" si="1"/>
        <v>24903.119999999999</v>
      </c>
      <c r="L13" s="21"/>
      <c r="M13" s="2"/>
      <c r="O13" s="2" t="str">
        <f t="shared" si="2"/>
        <v>111</v>
      </c>
      <c r="R13" s="946" t="s">
        <v>21</v>
      </c>
      <c r="S13" s="946"/>
      <c r="T13" s="944">
        <f t="shared" ref="T13:T27" si="4">IF($I$111=1,E13,0)</f>
        <v>4.04</v>
      </c>
      <c r="U13" s="944"/>
      <c r="V13" s="950">
        <v>1</v>
      </c>
      <c r="W13" s="950"/>
      <c r="X13" s="145">
        <f t="shared" ref="X13:X27" si="5">ROUND(T13*V13,4)</f>
        <v>4.04</v>
      </c>
      <c r="Y13" s="212">
        <f t="shared" ref="Y13" si="6">ROUND(ROUND(ROUND(X13*$E$6,4)*($I$6),2)*(MAX($I$7,1)),2)</f>
        <v>22475.84</v>
      </c>
    </row>
    <row r="14" spans="1:25" x14ac:dyDescent="0.25">
      <c r="A14" s="916" t="s">
        <v>22</v>
      </c>
      <c r="B14" s="916"/>
      <c r="C14" s="392">
        <f>SUMIFS('Surv2-3'!E:E,'Surv2-3'!$A:$A,$I$2,'Surv2-3'!$B:$B,$O14)</f>
        <v>0</v>
      </c>
      <c r="D14" s="392">
        <f>SUMIFS('Surv2-3'!L:L,'Surv2-3'!$H:$H,$I$2,'Surv2-3'!$I:$I,$O14)</f>
        <v>0</v>
      </c>
      <c r="E14" s="1020">
        <f t="shared" si="0"/>
        <v>0</v>
      </c>
      <c r="F14" s="1020"/>
      <c r="G14" s="1026">
        <f>Consolidated!$F16</f>
        <v>1</v>
      </c>
      <c r="H14" s="1026">
        <f>Consolidated!$H$9</f>
        <v>1</v>
      </c>
      <c r="I14" s="539">
        <f t="shared" si="3"/>
        <v>0</v>
      </c>
      <c r="J14" s="540">
        <f>ROUND(ROUND(ROUND(I14*$E$6,4)*($I$6),2)*(MAX($I$7,1)),2)</f>
        <v>0</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1</v>
      </c>
      <c r="D15" s="392">
        <f>SUMIFS('Surv2-3'!L:L,'Surv2-3'!$H:$H,$I$2,'Surv2-3'!$I:$I,$O15)</f>
        <v>0</v>
      </c>
      <c r="E15" s="1020">
        <f t="shared" si="0"/>
        <v>1</v>
      </c>
      <c r="F15" s="1020"/>
      <c r="G15" s="1026">
        <f>Consolidated!$F17</f>
        <v>1</v>
      </c>
      <c r="H15" s="1026">
        <f>Consolidated!$H$9</f>
        <v>1</v>
      </c>
      <c r="I15" s="539">
        <f t="shared" si="3"/>
        <v>1</v>
      </c>
      <c r="J15" s="540">
        <f t="shared" si="1"/>
        <v>5563.33</v>
      </c>
      <c r="M15" s="2"/>
      <c r="O15" s="2" t="str">
        <f t="shared" si="2"/>
        <v>112</v>
      </c>
      <c r="R15" s="946" t="s">
        <v>23</v>
      </c>
      <c r="S15" s="946"/>
      <c r="T15" s="944">
        <f t="shared" si="4"/>
        <v>1</v>
      </c>
      <c r="U15" s="944"/>
      <c r="V15" s="950">
        <v>1</v>
      </c>
      <c r="W15" s="950"/>
      <c r="X15" s="145">
        <f t="shared" si="5"/>
        <v>1</v>
      </c>
      <c r="Y15" s="212">
        <f t="shared" ref="Y15:Y27" si="7">ROUND(ROUND(ROUND(X15*$E$6,4)*($I$6),2)*(MAX($I$7,1)),2)</f>
        <v>5563.33</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36</v>
      </c>
      <c r="D18" s="392">
        <f>SUMIFS('Surv2-3'!K:K,'Surv2-3'!$H:$H,$I$2,'Surv2-3'!$I:$I,$O18)</f>
        <v>28.52</v>
      </c>
      <c r="E18" s="1020">
        <f t="shared" si="0"/>
        <v>64.52</v>
      </c>
      <c r="F18" s="1020"/>
      <c r="G18" s="1026">
        <f>Consolidated!$F20</f>
        <v>3.609</v>
      </c>
      <c r="H18" s="1026">
        <f>Consolidated!$H$9</f>
        <v>1</v>
      </c>
      <c r="I18" s="539">
        <f t="shared" si="3"/>
        <v>232.8527</v>
      </c>
      <c r="J18" s="540">
        <f t="shared" si="1"/>
        <v>1295435.78</v>
      </c>
      <c r="M18" s="2"/>
      <c r="O18" s="2" t="str">
        <f t="shared" si="2"/>
        <v>254</v>
      </c>
      <c r="R18" s="946" t="s">
        <v>26</v>
      </c>
      <c r="S18" s="946"/>
      <c r="T18" s="944">
        <f t="shared" si="4"/>
        <v>64.52</v>
      </c>
      <c r="U18" s="944"/>
      <c r="V18" s="950">
        <v>1</v>
      </c>
      <c r="W18" s="950"/>
      <c r="X18" s="145">
        <f t="shared" si="5"/>
        <v>64.52</v>
      </c>
      <c r="Y18" s="212">
        <f t="shared" si="7"/>
        <v>358945.88</v>
      </c>
    </row>
    <row r="19" spans="1:25" x14ac:dyDescent="0.25">
      <c r="A19" s="916" t="s">
        <v>27</v>
      </c>
      <c r="B19" s="916"/>
      <c r="C19" s="392">
        <f>SUMIFS('Surv2-3'!E:E,'Surv2-3'!$A:$A,$I$2,'Surv2-3'!$B:$B,$O19)</f>
        <v>24.5</v>
      </c>
      <c r="D19" s="392">
        <f>SUMIFS('Surv2-3'!L:L,'Surv2-3'!$H:$H,$I$2,'Surv2-3'!$I:$I,$O19)</f>
        <v>19.5</v>
      </c>
      <c r="E19" s="1020">
        <f t="shared" si="0"/>
        <v>44</v>
      </c>
      <c r="F19" s="1020"/>
      <c r="G19" s="1026">
        <f>Consolidated!$F21</f>
        <v>3.609</v>
      </c>
      <c r="H19" s="1026">
        <f>Consolidated!$H$9</f>
        <v>1</v>
      </c>
      <c r="I19" s="539">
        <f t="shared" si="3"/>
        <v>158.79599999999999</v>
      </c>
      <c r="J19" s="540">
        <f t="shared" si="1"/>
        <v>883434.12</v>
      </c>
      <c r="M19" s="2"/>
      <c r="O19" s="2" t="str">
        <f t="shared" si="2"/>
        <v>254</v>
      </c>
      <c r="R19" s="946" t="s">
        <v>27</v>
      </c>
      <c r="S19" s="946"/>
      <c r="T19" s="944">
        <f t="shared" si="4"/>
        <v>44</v>
      </c>
      <c r="U19" s="944"/>
      <c r="V19" s="950">
        <v>1</v>
      </c>
      <c r="W19" s="950"/>
      <c r="X19" s="145">
        <f t="shared" si="5"/>
        <v>44</v>
      </c>
      <c r="Y19" s="212">
        <f t="shared" si="7"/>
        <v>244786.4</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13.5</v>
      </c>
      <c r="D21" s="392">
        <f>SUMIFS('Surv2-3'!K:K,'Surv2-3'!$H:$H,$I$2,'Surv2-3'!$I:$I,$O21)</f>
        <v>23.5</v>
      </c>
      <c r="E21" s="1020">
        <f t="shared" si="0"/>
        <v>37</v>
      </c>
      <c r="F21" s="1020"/>
      <c r="G21" s="1026">
        <f>Consolidated!$F23</f>
        <v>6.0640000000000001</v>
      </c>
      <c r="H21" s="1026">
        <f>Consolidated!$H$9</f>
        <v>1</v>
      </c>
      <c r="I21" s="539">
        <f t="shared" si="3"/>
        <v>224.36799999999999</v>
      </c>
      <c r="J21" s="540">
        <f t="shared" si="1"/>
        <v>1248232.6200000001</v>
      </c>
      <c r="M21" s="2"/>
      <c r="O21" s="2" t="str">
        <f t="shared" si="2"/>
        <v>255</v>
      </c>
      <c r="R21" s="946" t="s">
        <v>29</v>
      </c>
      <c r="S21" s="946"/>
      <c r="T21" s="944">
        <f t="shared" si="4"/>
        <v>37</v>
      </c>
      <c r="U21" s="944"/>
      <c r="V21" s="950">
        <v>1</v>
      </c>
      <c r="W21" s="950"/>
      <c r="X21" s="145">
        <f t="shared" si="5"/>
        <v>37</v>
      </c>
      <c r="Y21" s="212">
        <f t="shared" si="7"/>
        <v>205843.11</v>
      </c>
    </row>
    <row r="22" spans="1:25" ht="15" customHeight="1" x14ac:dyDescent="0.25">
      <c r="A22" s="916" t="s">
        <v>30</v>
      </c>
      <c r="B22" s="916"/>
      <c r="C22" s="392">
        <f>SUMIFS('Surv2-3'!E:E,'Surv2-3'!$A:$A,$I$2,'Surv2-3'!$B:$B,$O22)</f>
        <v>8.5</v>
      </c>
      <c r="D22" s="392">
        <f>SUMIFS('Surv2-3'!L:L,'Surv2-3'!$H:$H,$I$2,'Surv2-3'!$I:$I,$O22)</f>
        <v>14</v>
      </c>
      <c r="E22" s="1020">
        <f t="shared" si="0"/>
        <v>22.5</v>
      </c>
      <c r="F22" s="1020"/>
      <c r="G22" s="1026">
        <f>Consolidated!$F24</f>
        <v>6.0640000000000001</v>
      </c>
      <c r="H22" s="1026">
        <f>Consolidated!$H$9</f>
        <v>1</v>
      </c>
      <c r="I22" s="539">
        <f t="shared" si="3"/>
        <v>136.44</v>
      </c>
      <c r="J22" s="540">
        <f t="shared" si="1"/>
        <v>759060.38</v>
      </c>
      <c r="M22" s="2"/>
      <c r="O22" s="2" t="str">
        <f t="shared" si="2"/>
        <v>255</v>
      </c>
      <c r="R22" s="946" t="s">
        <v>30</v>
      </c>
      <c r="S22" s="946"/>
      <c r="T22" s="944">
        <f t="shared" si="4"/>
        <v>22.5</v>
      </c>
      <c r="U22" s="944"/>
      <c r="V22" s="950">
        <v>1</v>
      </c>
      <c r="W22" s="950"/>
      <c r="X22" s="145">
        <f t="shared" si="5"/>
        <v>22.5</v>
      </c>
      <c r="Y22" s="212">
        <f t="shared" si="7"/>
        <v>125174.86</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v>
      </c>
      <c r="D25" s="392">
        <f>SUMIFS('Surv2-3'!L:L,'Surv2-3'!$H:$H,$I$2,'Surv2-3'!$I:$I,$O25)</f>
        <v>0</v>
      </c>
      <c r="E25" s="1020">
        <f t="shared" si="0"/>
        <v>0</v>
      </c>
      <c r="F25" s="1020"/>
      <c r="G25" s="1026">
        <f>Consolidated!$F27</f>
        <v>1.165</v>
      </c>
      <c r="H25" s="1026">
        <f>Consolidated!$H$9</f>
        <v>1</v>
      </c>
      <c r="I25" s="539">
        <f t="shared" si="3"/>
        <v>0</v>
      </c>
      <c r="J25" s="540">
        <f t="shared" si="1"/>
        <v>0</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86.5</v>
      </c>
      <c r="D28" s="822">
        <f>SUM(D12:D27)</f>
        <v>86.56</v>
      </c>
      <c r="E28" s="1025">
        <f>SUM(E12:E27)</f>
        <v>173.06</v>
      </c>
      <c r="F28" s="1025"/>
      <c r="G28" s="1020"/>
      <c r="H28" s="1020"/>
      <c r="I28" s="23">
        <f>SUM(I12:I27)</f>
        <v>757.93299999999999</v>
      </c>
      <c r="J28" s="116">
        <f>SUM(J12:J27)</f>
        <v>4216629.3500000006</v>
      </c>
      <c r="M28" s="2"/>
      <c r="R28" s="963" t="s">
        <v>36</v>
      </c>
      <c r="S28" s="963"/>
      <c r="T28" s="964">
        <f>SUM(T12:T27)</f>
        <v>173.06</v>
      </c>
      <c r="U28" s="964"/>
      <c r="V28" s="965"/>
      <c r="W28" s="965"/>
      <c r="X28" s="147">
        <f>SUM(X12:X27)</f>
        <v>173.06</v>
      </c>
      <c r="Y28" s="212">
        <f>SUM(Y12:Y27)</f>
        <v>962789.41999999993</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757.93299999999999</v>
      </c>
      <c r="H33" s="1020" t="s">
        <v>45</v>
      </c>
      <c r="I33" s="1020"/>
      <c r="J33" s="32">
        <f>SUM(J32,J28)</f>
        <v>4216629.3500000006</v>
      </c>
      <c r="M33" s="2"/>
      <c r="R33" s="969" t="s">
        <v>44</v>
      </c>
      <c r="S33" s="969"/>
      <c r="T33" s="969"/>
      <c r="U33" s="969"/>
      <c r="V33" s="153">
        <f>V32+X28</f>
        <v>173.06</v>
      </c>
      <c r="W33" s="965" t="s">
        <v>45</v>
      </c>
      <c r="X33" s="965"/>
      <c r="Y33" s="154">
        <f>SUM(Y32,Y28)</f>
        <v>962789.41999999993</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3851663.96</v>
      </c>
      <c r="H36" s="37" t="s">
        <v>49</v>
      </c>
      <c r="I36" s="38">
        <v>6.6699999999999995E-2</v>
      </c>
      <c r="J36" s="120">
        <f>ROUND(G36*I36,2)</f>
        <v>256905.99</v>
      </c>
      <c r="K36" s="39"/>
      <c r="L36" s="33"/>
      <c r="M36" s="33"/>
      <c r="N36" s="33"/>
      <c r="O36" s="31"/>
      <c r="P36" s="34"/>
      <c r="Q36" s="34"/>
      <c r="R36" s="946" t="s">
        <v>47</v>
      </c>
      <c r="S36" s="946"/>
      <c r="T36" s="946"/>
      <c r="U36" s="158"/>
      <c r="V36" s="161">
        <v>912385.68</v>
      </c>
      <c r="W36" s="162" t="s">
        <v>49</v>
      </c>
      <c r="X36" s="163">
        <v>6.6699999999999995E-2</v>
      </c>
      <c r="Y36" s="212">
        <f>J36</f>
        <v>256905.99</v>
      </c>
    </row>
    <row r="37" spans="1:25" ht="20.25" customHeight="1" x14ac:dyDescent="0.25">
      <c r="A37" s="916" t="s">
        <v>50</v>
      </c>
      <c r="B37" s="916"/>
      <c r="C37" s="916"/>
      <c r="D37" s="916"/>
      <c r="E37" s="916"/>
      <c r="F37" s="36" t="s">
        <v>48</v>
      </c>
      <c r="G37" s="121">
        <v>3851663.96</v>
      </c>
      <c r="H37" s="37" t="s">
        <v>49</v>
      </c>
      <c r="I37" s="38">
        <v>5.4000000000000003E-3</v>
      </c>
      <c r="J37" s="120">
        <f>ROUND(G37*I37,2)</f>
        <v>20798.990000000002</v>
      </c>
      <c r="K37" s="39"/>
      <c r="L37" s="33"/>
      <c r="M37" s="33"/>
      <c r="N37" s="33"/>
      <c r="O37" s="31"/>
      <c r="P37" s="34"/>
      <c r="Q37" s="34"/>
      <c r="R37" s="946" t="s">
        <v>50</v>
      </c>
      <c r="S37" s="946"/>
      <c r="T37" s="946"/>
      <c r="U37" s="158"/>
      <c r="V37" s="161">
        <v>912385.68</v>
      </c>
      <c r="W37" s="162" t="s">
        <v>49</v>
      </c>
      <c r="X37" s="163">
        <v>5.4000000000000003E-3</v>
      </c>
      <c r="Y37" s="212">
        <f>J37</f>
        <v>20798.990000000002</v>
      </c>
    </row>
    <row r="38" spans="1:25" ht="20.25" customHeight="1" x14ac:dyDescent="0.25">
      <c r="A38" s="952" t="s">
        <v>51</v>
      </c>
      <c r="B38" s="952"/>
      <c r="C38" s="952"/>
      <c r="D38" s="952"/>
      <c r="E38" s="952"/>
      <c r="F38" s="36" t="s">
        <v>52</v>
      </c>
      <c r="G38" s="40"/>
      <c r="H38" s="37"/>
      <c r="I38" s="41"/>
      <c r="J38" s="120">
        <f>SUM(J36:J37)</f>
        <v>277704.98</v>
      </c>
      <c r="K38" s="39"/>
      <c r="L38" s="33"/>
      <c r="M38" s="33"/>
      <c r="N38" s="33"/>
      <c r="O38" s="31"/>
      <c r="P38" s="34"/>
      <c r="Q38" s="34"/>
      <c r="R38" s="955" t="s">
        <v>51</v>
      </c>
      <c r="S38" s="955"/>
      <c r="T38" s="955"/>
      <c r="U38" s="158" t="s">
        <v>52</v>
      </c>
      <c r="V38" s="164"/>
      <c r="W38" s="162"/>
      <c r="X38" s="165"/>
      <c r="Y38" s="146">
        <f>Y36+Y37</f>
        <v>277704.98</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3</v>
      </c>
      <c r="D41" s="737">
        <f>SUMIFS('Surv2-3'!K:K,'Surv2-3'!$H:$H,$I$2,'Surv2-3'!$I:$I,$H41-140)</f>
        <v>1.04</v>
      </c>
      <c r="E41" s="1013">
        <f t="shared" ref="E41:E49" si="8">IF($D$50=0,C41*2,C41+D41)</f>
        <v>4.04</v>
      </c>
      <c r="F41" s="1013"/>
      <c r="G41" s="37" t="s">
        <v>59</v>
      </c>
      <c r="H41" s="37">
        <v>251</v>
      </c>
      <c r="I41" s="125">
        <f>Consolidated!$H59</f>
        <v>1047</v>
      </c>
      <c r="J41" s="46">
        <f t="shared" ref="J41:J49" si="9">ROUND(E41*I41,2)</f>
        <v>4229.88</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4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126">
        <f t="shared" si="9"/>
        <v>0</v>
      </c>
      <c r="M43" s="2"/>
      <c r="R43" s="958"/>
      <c r="S43" s="958"/>
      <c r="T43" s="960"/>
      <c r="U43" s="960"/>
      <c r="V43" s="162" t="s">
        <v>59</v>
      </c>
      <c r="W43" s="162">
        <v>253</v>
      </c>
      <c r="X43" s="123">
        <f>Consolidated!$H61</f>
        <v>6896</v>
      </c>
      <c r="Y43" s="213">
        <f t="shared" si="10"/>
        <v>0</v>
      </c>
    </row>
    <row r="44" spans="1:25" ht="20.25" customHeight="1"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1</v>
      </c>
      <c r="D45" s="824">
        <f>SUMIFS('Surv2-3'!L:L,'Surv2-3'!$H:$H,$I$2,'Surv2-3'!$I:$I,$H45-140)</f>
        <v>0</v>
      </c>
      <c r="E45" s="1013">
        <f t="shared" si="8"/>
        <v>1</v>
      </c>
      <c r="F45" s="1013"/>
      <c r="G45" s="47" t="s">
        <v>60</v>
      </c>
      <c r="H45" s="37">
        <v>252</v>
      </c>
      <c r="I45" s="125">
        <f>Consolidated!$H63</f>
        <v>3506</v>
      </c>
      <c r="J45" s="126">
        <f t="shared" si="9"/>
        <v>3506</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4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4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46">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6">
        <f>SUM(C41:C49)</f>
        <v>4</v>
      </c>
      <c r="D50" s="826">
        <f>SUM(D41:D49)</f>
        <v>1.04</v>
      </c>
      <c r="E50" s="1015">
        <f>SUM(E41:E49)</f>
        <v>5.04</v>
      </c>
      <c r="F50" s="1015"/>
      <c r="G50" s="970" t="s">
        <v>63</v>
      </c>
      <c r="H50" s="970"/>
      <c r="I50" s="970"/>
      <c r="J50" s="220">
        <f>SUM(J41:J49)</f>
        <v>7735.88</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173.06</v>
      </c>
      <c r="U52" s="173" t="s">
        <v>66</v>
      </c>
      <c r="V52" s="174"/>
      <c r="W52" s="175" t="s">
        <v>67</v>
      </c>
      <c r="X52" s="977">
        <f>I53</f>
        <v>207716.69</v>
      </c>
      <c r="Y52" s="977"/>
    </row>
    <row r="53" spans="1:25" ht="16.5" customHeight="1" x14ac:dyDescent="0.25">
      <c r="A53" s="953" t="s">
        <v>65</v>
      </c>
      <c r="B53" s="953"/>
      <c r="C53" s="51"/>
      <c r="D53" s="51"/>
      <c r="E53" s="48">
        <f>E28</f>
        <v>173.06</v>
      </c>
      <c r="F53" s="49" t="s">
        <v>66</v>
      </c>
      <c r="G53" s="3"/>
      <c r="H53" s="50" t="s">
        <v>67</v>
      </c>
      <c r="I53" s="1051">
        <f>Consolidated!H$71</f>
        <v>207716.69</v>
      </c>
      <c r="J53" s="1051"/>
      <c r="M53" s="2"/>
      <c r="R53" s="176"/>
      <c r="S53" s="177"/>
      <c r="T53" s="159"/>
      <c r="U53" s="159"/>
      <c r="V53" s="159"/>
      <c r="W53" s="178" t="s">
        <v>68</v>
      </c>
      <c r="X53" s="978">
        <f>ROUND(T52/X52,6)</f>
        <v>8.3299999999999997E-4</v>
      </c>
      <c r="Y53" s="978"/>
    </row>
    <row r="54" spans="1:25" ht="22.5" customHeight="1" x14ac:dyDescent="0.25">
      <c r="A54" s="51"/>
      <c r="B54" s="52"/>
      <c r="C54" s="52"/>
      <c r="D54" s="52"/>
      <c r="H54" s="53" t="s">
        <v>68</v>
      </c>
      <c r="I54" s="1004">
        <f>IFERROR(ROUND(E53/I53,6),0)</f>
        <v>8.3299999999999997E-4</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173.06</v>
      </c>
      <c r="U55" s="173" t="s">
        <v>66</v>
      </c>
      <c r="V55" s="174"/>
      <c r="W55" s="175" t="s">
        <v>71</v>
      </c>
      <c r="X55" s="977">
        <f>I56</f>
        <v>221131.37000000002</v>
      </c>
      <c r="Y55" s="977"/>
    </row>
    <row r="56" spans="1:25" ht="16.5" customHeight="1" x14ac:dyDescent="0.25">
      <c r="A56" s="953" t="s">
        <v>70</v>
      </c>
      <c r="B56" s="953"/>
      <c r="C56" s="51"/>
      <c r="D56" s="51"/>
      <c r="E56" s="48">
        <f>G33</f>
        <v>757.93299999999999</v>
      </c>
      <c r="F56" s="49" t="s">
        <v>66</v>
      </c>
      <c r="G56" s="3"/>
      <c r="H56" s="50" t="s">
        <v>71</v>
      </c>
      <c r="I56" s="1051">
        <f>Consolidated!H$74</f>
        <v>221131.37000000002</v>
      </c>
      <c r="J56" s="1051"/>
      <c r="M56" s="2"/>
      <c r="R56" s="176"/>
      <c r="S56" s="159"/>
      <c r="T56" s="159"/>
      <c r="U56" s="159"/>
      <c r="V56" s="159"/>
      <c r="W56" s="178" t="s">
        <v>68</v>
      </c>
      <c r="X56" s="978">
        <f>ROUND(T55/X55,6)</f>
        <v>7.8299999999999995E-4</v>
      </c>
      <c r="Y56" s="978"/>
    </row>
    <row r="57" spans="1:25" ht="18.75" customHeight="1" x14ac:dyDescent="0.25">
      <c r="A57" s="51"/>
      <c r="H57" s="53" t="s">
        <v>68</v>
      </c>
      <c r="I57" s="1004">
        <f>IFERROR(ROUND(E56/I56,6),0)</f>
        <v>3.4280000000000001E-3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173.06</v>
      </c>
      <c r="U58" s="173" t="s">
        <v>66</v>
      </c>
      <c r="V58" s="976" t="s">
        <v>74</v>
      </c>
      <c r="W58" s="976"/>
      <c r="X58" s="977">
        <f>I59</f>
        <v>178668.19</v>
      </c>
      <c r="Y58" s="977"/>
    </row>
    <row r="59" spans="1:25" ht="18.75" customHeight="1" x14ac:dyDescent="0.25">
      <c r="A59" s="953" t="s">
        <v>73</v>
      </c>
      <c r="B59" s="953"/>
      <c r="C59" s="51"/>
      <c r="D59" s="51"/>
      <c r="E59" s="48">
        <f>E28</f>
        <v>173.06</v>
      </c>
      <c r="F59" s="49" t="s">
        <v>66</v>
      </c>
      <c r="G59" s="1046" t="s">
        <v>74</v>
      </c>
      <c r="H59" s="1046"/>
      <c r="I59" s="1051">
        <f>Consolidated!H$77</f>
        <v>178668.19</v>
      </c>
      <c r="J59" s="1051"/>
      <c r="M59" s="2"/>
      <c r="R59" s="176"/>
      <c r="S59" s="159"/>
      <c r="T59" s="159"/>
      <c r="U59" s="159"/>
      <c r="V59" s="159"/>
      <c r="W59" s="178" t="s">
        <v>68</v>
      </c>
      <c r="X59" s="978">
        <f>ROUND(T58/X58,6)</f>
        <v>9.6900000000000003E-4</v>
      </c>
      <c r="Y59" s="978"/>
    </row>
    <row r="60" spans="1:25" ht="18" customHeight="1" x14ac:dyDescent="0.25">
      <c r="A60" s="51"/>
      <c r="H60" s="53" t="s">
        <v>68</v>
      </c>
      <c r="I60" s="1004">
        <f>IFERROR(ROUND(E59/I59,6),0)</f>
        <v>9.6900000000000003E-4</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173.06</v>
      </c>
      <c r="U61" s="173" t="s">
        <v>66</v>
      </c>
      <c r="V61" s="976" t="s">
        <v>76</v>
      </c>
      <c r="W61" s="976"/>
      <c r="X61" s="977">
        <f>I62</f>
        <v>207376.94</v>
      </c>
      <c r="Y61" s="977"/>
    </row>
    <row r="62" spans="1:25" ht="30.75" customHeight="1" x14ac:dyDescent="0.25">
      <c r="A62" s="953" t="s">
        <v>73</v>
      </c>
      <c r="B62" s="953"/>
      <c r="C62" s="51"/>
      <c r="D62" s="51"/>
      <c r="E62" s="48">
        <f>E28</f>
        <v>173.06</v>
      </c>
      <c r="F62" s="49" t="s">
        <v>66</v>
      </c>
      <c r="G62" s="1046" t="s">
        <v>76</v>
      </c>
      <c r="H62" s="1046"/>
      <c r="I62" s="1051">
        <f>Consolidated!H$80</f>
        <v>207376.94</v>
      </c>
      <c r="J62" s="1051"/>
      <c r="M62" s="2"/>
      <c r="R62" s="176"/>
      <c r="S62" s="159"/>
      <c r="T62" s="159"/>
      <c r="U62" s="159"/>
      <c r="V62" s="159"/>
      <c r="W62" s="178" t="s">
        <v>68</v>
      </c>
      <c r="X62" s="978">
        <f>ROUND(T61/X61,6)</f>
        <v>8.3500000000000002E-4</v>
      </c>
      <c r="Y62" s="978"/>
    </row>
    <row r="63" spans="1:25" ht="19.5" customHeight="1" x14ac:dyDescent="0.25">
      <c r="A63" s="51"/>
      <c r="H63" s="53" t="s">
        <v>68</v>
      </c>
      <c r="I63" s="1004">
        <f>IFERROR(ROUND(E62/I62,6),0)</f>
        <v>8.3500000000000002E-4</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173.06</v>
      </c>
      <c r="U64" s="173" t="s">
        <v>66</v>
      </c>
      <c r="V64" s="976" t="s">
        <v>161</v>
      </c>
      <c r="W64" s="976"/>
      <c r="X64" s="977">
        <f>I65</f>
        <v>178328.44</v>
      </c>
      <c r="Y64" s="977"/>
    </row>
    <row r="65" spans="1:26" ht="49.5" customHeight="1" x14ac:dyDescent="0.25">
      <c r="A65" s="953" t="s">
        <v>73</v>
      </c>
      <c r="B65" s="953"/>
      <c r="C65" s="51"/>
      <c r="D65" s="51"/>
      <c r="E65" s="48">
        <f>E28</f>
        <v>173.06</v>
      </c>
      <c r="F65" s="49" t="s">
        <v>66</v>
      </c>
      <c r="G65" s="1046" t="s">
        <v>78</v>
      </c>
      <c r="H65" s="1046"/>
      <c r="I65" s="1051">
        <f>Consolidated!H$83</f>
        <v>178328.44</v>
      </c>
      <c r="J65" s="1051"/>
      <c r="M65" s="2"/>
      <c r="R65" s="179"/>
      <c r="S65" s="159"/>
      <c r="T65" s="159"/>
      <c r="U65" s="159"/>
      <c r="V65" s="159"/>
      <c r="W65" s="178" t="s">
        <v>68</v>
      </c>
      <c r="X65" s="978">
        <f>ROUND(T64/X64,6)</f>
        <v>9.7000000000000005E-4</v>
      </c>
      <c r="Y65" s="978"/>
    </row>
    <row r="66" spans="1:26" ht="19.5" customHeight="1" x14ac:dyDescent="0.25">
      <c r="A66" s="51"/>
      <c r="H66" s="53" t="s">
        <v>68</v>
      </c>
      <c r="I66" s="1004">
        <f>IFERROR(ROUND(E65/I65,6),0)</f>
        <v>9.7000000000000005E-4</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8.3500000000000002E-4</v>
      </c>
      <c r="Y67" s="215">
        <f>ROUND(V67*X67,2)</f>
        <v>38084.75</v>
      </c>
    </row>
    <row r="68" spans="1:26" ht="30.75" customHeight="1" x14ac:dyDescent="0.25">
      <c r="A68" s="1005" t="s">
        <v>79</v>
      </c>
      <c r="B68" s="1005"/>
      <c r="C68" s="1005"/>
      <c r="D68" s="1005"/>
      <c r="E68" s="1005"/>
      <c r="F68" s="36" t="s">
        <v>80</v>
      </c>
      <c r="G68" s="221">
        <f>Consolidated!F$86</f>
        <v>45610484</v>
      </c>
      <c r="H68" s="37" t="s">
        <v>81</v>
      </c>
      <c r="I68" s="41">
        <f>I63</f>
        <v>8.3500000000000002E-4</v>
      </c>
      <c r="J68" s="127">
        <f>ROUND(G68*I68,2)</f>
        <v>38084.75</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8.3299999999999997E-4</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8.3299999999999997E-4</v>
      </c>
      <c r="J70" s="127">
        <f>ROUND(G70*I70,2)</f>
        <v>0</v>
      </c>
      <c r="M70" s="2"/>
      <c r="R70" s="955" t="s">
        <v>163</v>
      </c>
      <c r="S70" s="955"/>
      <c r="T70" s="955"/>
      <c r="U70" s="158"/>
      <c r="V70" s="182">
        <f>G71</f>
        <v>18959906</v>
      </c>
      <c r="W70" s="162" t="s">
        <v>81</v>
      </c>
      <c r="X70" s="165">
        <f>X65</f>
        <v>9.7000000000000005E-4</v>
      </c>
      <c r="Y70" s="212">
        <f t="shared" si="11"/>
        <v>18391.11</v>
      </c>
    </row>
    <row r="71" spans="1:26" ht="19.5" customHeight="1" x14ac:dyDescent="0.25">
      <c r="A71" s="952" t="s">
        <v>85</v>
      </c>
      <c r="B71" s="952"/>
      <c r="C71" s="952"/>
      <c r="D71" s="952"/>
      <c r="E71" s="952"/>
      <c r="F71" s="36" t="s">
        <v>86</v>
      </c>
      <c r="G71" s="221">
        <f>Consolidated!F$91</f>
        <v>18959906</v>
      </c>
      <c r="H71" s="37" t="s">
        <v>81</v>
      </c>
      <c r="I71" s="41">
        <f>I66</f>
        <v>9.7000000000000005E-4</v>
      </c>
      <c r="J71" s="127">
        <f>ROUND(G71*I71,2)</f>
        <v>18391.11</v>
      </c>
      <c r="M71" s="2"/>
      <c r="R71" s="166" t="s">
        <v>164</v>
      </c>
      <c r="S71" s="166"/>
      <c r="T71" s="166"/>
      <c r="U71" s="158"/>
      <c r="V71" s="160">
        <f>G72</f>
        <v>11308391</v>
      </c>
      <c r="W71" s="162" t="s">
        <v>81</v>
      </c>
      <c r="X71" s="165">
        <f>X59</f>
        <v>9.6900000000000003E-4</v>
      </c>
      <c r="Y71" s="212">
        <f t="shared" si="11"/>
        <v>10957.83</v>
      </c>
    </row>
    <row r="72" spans="1:26" ht="19.5" customHeight="1" x14ac:dyDescent="0.25">
      <c r="A72" s="42" t="s">
        <v>87</v>
      </c>
      <c r="B72" s="42"/>
      <c r="C72" s="42"/>
      <c r="D72" s="42"/>
      <c r="E72" s="42"/>
      <c r="F72" s="36" t="s">
        <v>88</v>
      </c>
      <c r="G72" s="221">
        <f>Consolidated!F$93</f>
        <v>11308391</v>
      </c>
      <c r="H72" s="37" t="s">
        <v>81</v>
      </c>
      <c r="I72" s="41">
        <f>I60</f>
        <v>9.6900000000000003E-4</v>
      </c>
      <c r="J72" s="127">
        <f>ROUND(G72*I72,2)</f>
        <v>10957.83</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3.4280000000000001E-3</v>
      </c>
      <c r="J85" s="127">
        <f>ROUND(G85*I85,2)</f>
        <v>921502.2</v>
      </c>
      <c r="K85" s="70"/>
      <c r="L85" s="70"/>
      <c r="M85" s="71"/>
      <c r="N85" s="70"/>
      <c r="O85" s="70"/>
      <c r="P85" s="70"/>
      <c r="Q85" s="70"/>
      <c r="R85" s="955" t="s">
        <v>168</v>
      </c>
      <c r="S85" s="955"/>
      <c r="T85" s="955"/>
      <c r="U85" s="158"/>
      <c r="V85" s="160">
        <f>G85</f>
        <v>268816278</v>
      </c>
      <c r="W85" s="162" t="s">
        <v>81</v>
      </c>
      <c r="X85" s="165">
        <f>X56</f>
        <v>7.8299999999999995E-4</v>
      </c>
      <c r="Y85" s="212">
        <f t="shared" ref="Y85:Y87" si="12">ROUND(V85*X85,2)</f>
        <v>210483.15</v>
      </c>
    </row>
    <row r="86" spans="1:26" ht="14.25" customHeight="1" x14ac:dyDescent="0.25">
      <c r="A86" s="952" t="s">
        <v>104</v>
      </c>
      <c r="B86" s="952"/>
      <c r="C86" s="952"/>
      <c r="D86" s="952"/>
      <c r="E86" s="952"/>
      <c r="F86" s="36" t="s">
        <v>103</v>
      </c>
      <c r="G86" s="128">
        <v>0</v>
      </c>
      <c r="H86" s="37" t="s">
        <v>81</v>
      </c>
      <c r="I86" s="41">
        <f>I57</f>
        <v>3.4280000000000001E-3</v>
      </c>
      <c r="J86" s="127">
        <f>ROUND(G86*I86,2)</f>
        <v>0</v>
      </c>
      <c r="K86" s="70"/>
      <c r="L86" s="71"/>
      <c r="M86" s="76"/>
      <c r="N86" s="76"/>
      <c r="O86" s="76"/>
      <c r="P86" s="76"/>
      <c r="Q86" s="70"/>
      <c r="R86" s="955" t="s">
        <v>169</v>
      </c>
      <c r="S86" s="955"/>
      <c r="T86" s="955"/>
      <c r="U86" s="158"/>
      <c r="V86" s="192">
        <v>0</v>
      </c>
      <c r="W86" s="162" t="s">
        <v>81</v>
      </c>
      <c r="X86" s="165">
        <f>X56</f>
        <v>7.8299999999999995E-4</v>
      </c>
      <c r="Y86" s="212">
        <f t="shared" si="12"/>
        <v>0</v>
      </c>
    </row>
    <row r="87" spans="1:26" ht="18" customHeight="1" x14ac:dyDescent="0.25">
      <c r="A87" s="952" t="s">
        <v>105</v>
      </c>
      <c r="B87" s="952"/>
      <c r="C87" s="952"/>
      <c r="D87" s="952"/>
      <c r="E87" s="952"/>
      <c r="F87" s="36" t="s">
        <v>84</v>
      </c>
      <c r="G87" s="128">
        <v>0</v>
      </c>
      <c r="H87" s="37" t="s">
        <v>81</v>
      </c>
      <c r="I87" s="41">
        <f>I54</f>
        <v>8.3299999999999997E-4</v>
      </c>
      <c r="J87" s="62">
        <f>ROUND(G87*I87,2)</f>
        <v>0</v>
      </c>
      <c r="K87" s="77"/>
      <c r="L87" s="70"/>
      <c r="M87" s="71"/>
      <c r="N87" s="70"/>
      <c r="O87" s="70"/>
      <c r="P87" s="70"/>
      <c r="Q87" s="70"/>
      <c r="R87" s="166" t="s">
        <v>170</v>
      </c>
      <c r="S87" s="166"/>
      <c r="T87" s="166"/>
      <c r="U87" s="158"/>
      <c r="V87" s="192">
        <v>0</v>
      </c>
      <c r="W87" s="162" t="s">
        <v>81</v>
      </c>
      <c r="X87" s="165">
        <f>X53</f>
        <v>8.3299999999999997E-4</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461.697</v>
      </c>
      <c r="C90" s="80"/>
      <c r="D90" s="921">
        <f>I6</f>
        <v>1.0355000000000001</v>
      </c>
      <c r="E90" s="921"/>
      <c r="F90" s="921"/>
      <c r="G90" s="113">
        <f>Consolidated!F$118</f>
        <v>958.42</v>
      </c>
      <c r="H90" s="47" t="s">
        <v>68</v>
      </c>
      <c r="I90" s="130">
        <f>ROUND(B90*D90*G90,2)</f>
        <v>458208.38</v>
      </c>
      <c r="J90" s="81"/>
      <c r="K90" s="70"/>
      <c r="L90" s="70"/>
      <c r="M90" s="71"/>
      <c r="N90" s="70"/>
      <c r="O90" s="70"/>
      <c r="P90" s="70"/>
      <c r="Q90" s="70"/>
      <c r="R90" s="155" t="s">
        <v>110</v>
      </c>
      <c r="S90" s="193">
        <f>X12+X13+X18+X21+X24</f>
        <v>105.56</v>
      </c>
      <c r="T90" s="984">
        <f>X6</f>
        <v>1.0355000000000001</v>
      </c>
      <c r="U90" s="984"/>
      <c r="V90" s="113">
        <f>G90</f>
        <v>958.42</v>
      </c>
      <c r="W90" s="171" t="s">
        <v>68</v>
      </c>
      <c r="X90" s="216">
        <f>ROUND(S90*T90*V90,2)</f>
        <v>104762.38</v>
      </c>
      <c r="Y90" s="194"/>
    </row>
    <row r="91" spans="1:26" ht="21" customHeight="1" x14ac:dyDescent="0.25">
      <c r="A91" s="82" t="s">
        <v>60</v>
      </c>
      <c r="B91" s="80">
        <f>I14+I15+I19+I22+I25</f>
        <v>296.23599999999999</v>
      </c>
      <c r="C91" s="80"/>
      <c r="D91" s="921">
        <f>I6</f>
        <v>1.0355000000000001</v>
      </c>
      <c r="E91" s="921"/>
      <c r="F91" s="921"/>
      <c r="G91" s="113">
        <f>Consolidated!F$119</f>
        <v>915.09</v>
      </c>
      <c r="H91" s="47" t="s">
        <v>68</v>
      </c>
      <c r="I91" s="129">
        <f>ROUND(B91*D91*G91,2)</f>
        <v>280706.03000000003</v>
      </c>
      <c r="K91" s="70"/>
      <c r="L91" s="70"/>
      <c r="M91" s="71"/>
      <c r="N91" s="70"/>
      <c r="O91" s="70"/>
      <c r="P91" s="70"/>
      <c r="Q91" s="70"/>
      <c r="R91" s="195" t="s">
        <v>60</v>
      </c>
      <c r="S91" s="193">
        <f>X14+X15+X19+X22+X25</f>
        <v>67.5</v>
      </c>
      <c r="T91" s="984">
        <f>X6</f>
        <v>1.0355000000000001</v>
      </c>
      <c r="U91" s="984"/>
      <c r="V91" s="113">
        <f>G91</f>
        <v>915.09</v>
      </c>
      <c r="W91" s="171" t="s">
        <v>68</v>
      </c>
      <c r="X91" s="216">
        <f>ROUND(S91*T91*V91,2)</f>
        <v>63961.36</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757.93299999999999</v>
      </c>
      <c r="C93" s="80"/>
      <c r="D93" s="80"/>
      <c r="E93" s="999" t="s">
        <v>112</v>
      </c>
      <c r="F93" s="999"/>
      <c r="G93" s="999"/>
      <c r="H93" s="999"/>
      <c r="I93" s="999"/>
      <c r="J93" s="116">
        <f>IF(A1=75,0,I92+I91+I90)</f>
        <v>738914.41</v>
      </c>
      <c r="K93" s="70"/>
      <c r="L93" s="70"/>
      <c r="M93" s="71"/>
      <c r="N93" s="70"/>
      <c r="O93" s="70"/>
      <c r="P93" s="70"/>
      <c r="Q93" s="70"/>
      <c r="R93" s="198" t="s">
        <v>111</v>
      </c>
      <c r="S93" s="199">
        <f>SUM(S90:S92)</f>
        <v>173.06</v>
      </c>
      <c r="T93" s="985" t="s">
        <v>112</v>
      </c>
      <c r="U93" s="986"/>
      <c r="V93" s="986"/>
      <c r="W93" s="986"/>
      <c r="X93" s="986"/>
      <c r="Y93" s="212">
        <f>IF(R1=75,0,X92+X91+X90)</f>
        <v>168723.74</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0</v>
      </c>
      <c r="D97" s="223">
        <v>0</v>
      </c>
      <c r="E97" s="1002">
        <f>IF(D97&gt;0,(C97+D97)/2,C97)</f>
        <v>0</v>
      </c>
      <c r="F97" s="1002"/>
      <c r="G97" s="1002"/>
      <c r="H97" s="85" t="s">
        <v>117</v>
      </c>
      <c r="I97" s="119">
        <f>Consolidated!G$127</f>
        <v>578</v>
      </c>
      <c r="J97" s="127">
        <f>ROUND(I97*E97,2)</f>
        <v>0</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02">
        <f>(C98+D98)/2</f>
        <v>0</v>
      </c>
      <c r="F98" s="1002"/>
      <c r="G98" s="1002"/>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970" t="s">
        <v>125</v>
      </c>
      <c r="B107" s="970"/>
      <c r="C107" s="970"/>
      <c r="D107" s="970"/>
      <c r="E107" s="970"/>
      <c r="F107" s="970"/>
      <c r="G107" s="970"/>
      <c r="H107" s="970"/>
      <c r="I107" s="970"/>
      <c r="J107" s="95">
        <f>SUM(J106,J105,J98,J97,J93,J86,J85,J71,J70,J68,J33,J72,J50,J87,J84)</f>
        <v>5952215.5300000003</v>
      </c>
      <c r="L107" s="538"/>
      <c r="R107" s="955" t="s">
        <v>125</v>
      </c>
      <c r="S107" s="955"/>
      <c r="T107" s="955"/>
      <c r="U107" s="955"/>
      <c r="V107" s="955"/>
      <c r="W107" s="955"/>
      <c r="X107" s="955"/>
      <c r="Y107" s="208">
        <f>SUM(Y106,Y105,Y97,Y96,Y93,Y86,Y85,Y84,Y70,Y69,Y67,Y33,Y71,Y50,Y87,Y83)</f>
        <v>1409430</v>
      </c>
    </row>
    <row r="108" spans="1:25" ht="15.75" customHeight="1" thickTop="1" x14ac:dyDescent="0.25">
      <c r="A108" s="920"/>
      <c r="B108" s="920"/>
      <c r="C108" s="920"/>
      <c r="D108" s="920"/>
      <c r="E108" s="920"/>
      <c r="F108" s="920"/>
      <c r="G108" s="920"/>
      <c r="H108" s="920"/>
      <c r="I108" s="920"/>
      <c r="J108" s="920"/>
      <c r="R108" s="928"/>
      <c r="S108" s="928"/>
      <c r="T108" s="928"/>
      <c r="U108" s="928"/>
      <c r="V108" s="928"/>
      <c r="W108" s="928"/>
      <c r="X108" s="928"/>
      <c r="Y108" s="928"/>
    </row>
    <row r="109" spans="1:25" ht="17.25" customHeight="1" thickBot="1" x14ac:dyDescent="0.3">
      <c r="A109" s="952" t="s">
        <v>131</v>
      </c>
      <c r="B109" s="952"/>
      <c r="C109" s="952"/>
      <c r="D109" s="952"/>
      <c r="E109" s="952"/>
      <c r="F109" s="920"/>
      <c r="G109" s="920"/>
      <c r="H109" s="920"/>
      <c r="I109" s="2" t="s">
        <v>132</v>
      </c>
      <c r="J109" s="543">
        <f>J107-J38</f>
        <v>5674510.5500000007</v>
      </c>
      <c r="R109" s="159" t="s">
        <v>176</v>
      </c>
      <c r="S109" s="159"/>
      <c r="T109" s="159"/>
      <c r="U109" s="159"/>
      <c r="V109" s="159"/>
      <c r="W109" s="159"/>
      <c r="X109" s="159"/>
      <c r="Y109" s="209">
        <f>Y107-Y38</f>
        <v>1131725.02</v>
      </c>
    </row>
    <row r="110" spans="1:25" ht="18.75" customHeight="1" thickTop="1" x14ac:dyDescent="0.25">
      <c r="A110" s="952" t="s">
        <v>133</v>
      </c>
      <c r="B110" s="952"/>
      <c r="C110" s="952"/>
      <c r="D110" s="952"/>
      <c r="E110" s="952"/>
      <c r="F110" s="952"/>
      <c r="G110" s="952"/>
      <c r="H110" s="952"/>
      <c r="I110" s="42" t="s">
        <v>134</v>
      </c>
      <c r="J110" s="72"/>
      <c r="R110" s="1012" t="s">
        <v>136</v>
      </c>
      <c r="S110" s="1012"/>
      <c r="T110" s="1012"/>
      <c r="U110" s="1012"/>
      <c r="V110" s="1012"/>
      <c r="W110" s="1012"/>
      <c r="X110" s="1012"/>
      <c r="Y110" s="1012"/>
    </row>
    <row r="111" spans="1:25" ht="15.75" customHeight="1" x14ac:dyDescent="0.25">
      <c r="A111" s="953" t="s">
        <v>135</v>
      </c>
      <c r="B111" s="953"/>
      <c r="C111" s="953"/>
      <c r="D111" s="953"/>
      <c r="E111" s="953"/>
      <c r="F111" s="953"/>
      <c r="G111" s="953"/>
      <c r="H111" s="953"/>
      <c r="I111" s="224">
        <v>1</v>
      </c>
      <c r="J111" s="126">
        <f>Y109</f>
        <v>1131725.02</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H113" s="658"/>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I114" s="659">
        <f>IF(I111=1,J111,J109)</f>
        <v>1131725.02</v>
      </c>
      <c r="J114" s="660">
        <f>ROUND(IF(E28=0,0,IF(E28&gt;250,-(((250/E28)*I114)*IF(H113="H",0.02,0.05)),IF(H113="H",-0.02*I114,-0.05*I114))),2)</f>
        <v>-56586.25</v>
      </c>
      <c r="M114" s="2"/>
      <c r="N114" s="3"/>
      <c r="R114" s="2"/>
      <c r="T114" s="4"/>
      <c r="W114" s="2"/>
      <c r="X114" s="5"/>
    </row>
    <row r="115" spans="1:26" ht="16.5" customHeight="1" x14ac:dyDescent="0.25">
      <c r="A115" s="231"/>
      <c r="B115" s="231"/>
      <c r="C115" s="231"/>
      <c r="D115" s="231"/>
      <c r="E115" s="231"/>
      <c r="F115" s="231"/>
      <c r="G115" s="231"/>
      <c r="H115" s="661"/>
      <c r="I115" s="662"/>
      <c r="J115" s="663"/>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664"/>
      <c r="I116" s="665"/>
      <c r="J116" s="666">
        <f>J107+J114</f>
        <v>5895629.2800000003</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61"/>
      <c r="I117" s="662"/>
      <c r="J117" s="663"/>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1"/>
      <c r="F118" s="230"/>
      <c r="G118" s="231"/>
      <c r="H118" s="661"/>
      <c r="I118" s="662"/>
      <c r="J118" s="667">
        <f>-'Cumulative Payments'!R80</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61"/>
      <c r="I119" s="662"/>
      <c r="J119" s="663"/>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661"/>
      <c r="I120" s="662"/>
      <c r="J120" s="663">
        <f>J116+J118</f>
        <v>5895629.2800000003</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61"/>
      <c r="I121" s="662"/>
      <c r="J121" s="663"/>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661"/>
      <c r="I122" s="662"/>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61"/>
      <c r="I123" s="662"/>
      <c r="J123" s="663"/>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661"/>
      <c r="I124" s="662"/>
      <c r="J124" s="669">
        <f>ROUND(J120/J122,2)</f>
        <v>491302.44</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61"/>
      <c r="I125" s="662"/>
      <c r="J125" s="663"/>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661"/>
      <c r="I126" s="662"/>
      <c r="J126" s="670">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62"/>
      <c r="I127" s="671"/>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A217D-A104-449F-ADF7-38AE2D62508B}">
  <dimension ref="A1:Z207"/>
  <sheetViews>
    <sheetView topLeftCell="A25" workbookViewId="0">
      <selection activeCell="C25" sqref="C25"/>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502</v>
      </c>
      <c r="B2" s="101"/>
      <c r="C2" s="101"/>
      <c r="D2" s="101"/>
      <c r="E2" s="6"/>
      <c r="F2" s="6"/>
      <c r="G2" s="6"/>
      <c r="H2" s="6"/>
      <c r="I2" s="706" t="str">
        <f>RIGHT(A2,4)</f>
        <v>2801</v>
      </c>
      <c r="J2" s="6"/>
      <c r="K2" s="6"/>
      <c r="L2" s="6"/>
      <c r="M2" s="6"/>
      <c r="N2" s="6"/>
      <c r="O2" s="6"/>
      <c r="P2" s="6"/>
      <c r="Q2" s="6"/>
      <c r="R2" s="927" t="str">
        <f>Revenue_Estimate_Worksheet_for___________Charter_School</f>
        <v>Revenue Estimate Worksheet: Palm Beach Maritime Academy Elementary - 2801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E</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111.37</v>
      </c>
      <c r="D12" s="738">
        <f>SUMIFS('Surv2-3'!K:K,'Surv2-3'!$H:$H,$I$2,'Surv2-3'!$I:$I,$O12)</f>
        <v>105.00999999999999</v>
      </c>
      <c r="E12" s="1021">
        <f t="shared" ref="E12:E27" si="0">IF($D$28=0,C12*2,C12+D12)</f>
        <v>216.38</v>
      </c>
      <c r="F12" s="1021"/>
      <c r="G12" s="1037">
        <f>Consolidated!$F14</f>
        <v>1.1080000000000001</v>
      </c>
      <c r="H12" s="1037">
        <f>Consolidated!$H$9</f>
        <v>1</v>
      </c>
      <c r="I12" s="539">
        <f>ROUND(E12*G12,4)</f>
        <v>239.749</v>
      </c>
      <c r="J12" s="540">
        <f t="shared" ref="J12:J27" si="1">ROUND(ROUND(ROUND(I12*$E$6,4)*($I$6),2)*(MAX($I$7,1)),2)</f>
        <v>1333802.1599999999</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25</v>
      </c>
      <c r="D13" s="392">
        <f>SUMIFS('Surv2-3'!K:K,'Surv2-3'!$H:$H,$I$2,'Surv2-3'!$I:$I,$O13)</f>
        <v>29.509999999999998</v>
      </c>
      <c r="E13" s="1020">
        <f t="shared" si="0"/>
        <v>54.51</v>
      </c>
      <c r="F13" s="1020"/>
      <c r="G13" s="1026">
        <f>Consolidated!$F15</f>
        <v>1.1080000000000001</v>
      </c>
      <c r="H13" s="1026">
        <f>Consolidated!$H$9</f>
        <v>1</v>
      </c>
      <c r="I13" s="539">
        <f t="shared" ref="I13:I27" si="3">ROUND(E13*G13,4)</f>
        <v>60.397100000000002</v>
      </c>
      <c r="J13" s="540">
        <f t="shared" si="1"/>
        <v>336008.84</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59.899999999999991</v>
      </c>
      <c r="D14" s="392">
        <f>SUMIFS('Surv2-3'!L:L,'Surv2-3'!$H:$H,$I$2,'Surv2-3'!$I:$I,$O14)</f>
        <v>57.849999999999994</v>
      </c>
      <c r="E14" s="1020">
        <f t="shared" si="0"/>
        <v>117.74999999999999</v>
      </c>
      <c r="F14" s="1020"/>
      <c r="G14" s="1026">
        <f>Consolidated!$F16</f>
        <v>1</v>
      </c>
      <c r="H14" s="1026">
        <f>Consolidated!$H$9</f>
        <v>1</v>
      </c>
      <c r="I14" s="539">
        <f t="shared" si="3"/>
        <v>117.75</v>
      </c>
      <c r="J14" s="540">
        <f>ROUND(ROUND(ROUND(I14*$E$6,4)*($I$6),2)*(MAX($I$7,1)),2)</f>
        <v>655081.79</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14</v>
      </c>
      <c r="D15" s="392">
        <f>SUMIFS('Surv2-3'!L:L,'Surv2-3'!$H:$H,$I$2,'Surv2-3'!$I:$I,$O15)</f>
        <v>14.98</v>
      </c>
      <c r="E15" s="1020">
        <f t="shared" si="0"/>
        <v>28.98</v>
      </c>
      <c r="F15" s="1020"/>
      <c r="G15" s="1026">
        <f>Consolidated!$F17</f>
        <v>1</v>
      </c>
      <c r="H15" s="1026">
        <f>Consolidated!$H$9</f>
        <v>1</v>
      </c>
      <c r="I15" s="539">
        <f t="shared" si="3"/>
        <v>28.98</v>
      </c>
      <c r="J15" s="540">
        <f t="shared" si="1"/>
        <v>161225.23000000001</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57.629999999999995</v>
      </c>
      <c r="D24" s="392">
        <f>SUMIFS('Surv2-3'!K:K,'Surv2-3'!$H:$H,$I$2,'Surv2-3'!$I:$I,$O24)</f>
        <v>55.93</v>
      </c>
      <c r="E24" s="1020">
        <f t="shared" si="0"/>
        <v>113.56</v>
      </c>
      <c r="F24" s="1020"/>
      <c r="G24" s="1026">
        <f>Consolidated!$F26</f>
        <v>1.165</v>
      </c>
      <c r="H24" s="1026">
        <f>Consolidated!$H$9</f>
        <v>1</v>
      </c>
      <c r="I24" s="539">
        <f t="shared" si="3"/>
        <v>132.29740000000001</v>
      </c>
      <c r="J24" s="540">
        <f t="shared" si="1"/>
        <v>736013.74</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12.1</v>
      </c>
      <c r="D25" s="392">
        <f>SUMIFS('Surv2-3'!L:L,'Surv2-3'!$H:$H,$I$2,'Surv2-3'!$I:$I,$O25)</f>
        <v>12.09</v>
      </c>
      <c r="E25" s="1020">
        <f t="shared" si="0"/>
        <v>24.189999999999998</v>
      </c>
      <c r="F25" s="1020"/>
      <c r="G25" s="1026">
        <f>Consolidated!$F27</f>
        <v>1.165</v>
      </c>
      <c r="H25" s="1026">
        <f>Consolidated!$H$9</f>
        <v>1</v>
      </c>
      <c r="I25" s="539">
        <f t="shared" si="3"/>
        <v>28.1814</v>
      </c>
      <c r="J25" s="540">
        <f t="shared" si="1"/>
        <v>156782.35</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280</v>
      </c>
      <c r="D28" s="822">
        <f>SUM(D12:D27)</f>
        <v>275.36999999999995</v>
      </c>
      <c r="E28" s="1025">
        <f>SUM(E12:E27)</f>
        <v>555.37000000000012</v>
      </c>
      <c r="F28" s="1025"/>
      <c r="G28" s="1020"/>
      <c r="H28" s="1020"/>
      <c r="I28" s="23">
        <f>SUM(I12:I27)</f>
        <v>607.35490000000004</v>
      </c>
      <c r="J28" s="116">
        <f>SUM(J12:J27)</f>
        <v>3378914.11</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607.35490000000004</v>
      </c>
      <c r="H33" s="1020" t="s">
        <v>45</v>
      </c>
      <c r="I33" s="1020"/>
      <c r="J33" s="32">
        <f>SUM(J32,J28)</f>
        <v>3378914.11</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3528287.76</v>
      </c>
      <c r="H36" s="37" t="s">
        <v>49</v>
      </c>
      <c r="I36" s="38">
        <v>6.6699999999999995E-2</v>
      </c>
      <c r="J36" s="120">
        <f>ROUND(G36*I36,2)</f>
        <v>235336.79</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3528287.76</v>
      </c>
      <c r="H37" s="37" t="s">
        <v>49</v>
      </c>
      <c r="I37" s="38">
        <v>5.4000000000000003E-3</v>
      </c>
      <c r="J37" s="120">
        <f>ROUND(G37*I37,2)</f>
        <v>19052.75</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254389.54</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25</v>
      </c>
      <c r="D41" s="737">
        <f>SUMIFS('Surv2-3'!K:K,'Surv2-3'!$H:$H,$I$2,'Surv2-3'!$I:$I,$H41-140)</f>
        <v>29.509999999999998</v>
      </c>
      <c r="E41" s="1013">
        <f t="shared" ref="E41:E49" si="8">IF($D$50=0,C41*2,C41+D41)</f>
        <v>54.51</v>
      </c>
      <c r="F41" s="1013"/>
      <c r="G41" s="37" t="s">
        <v>59</v>
      </c>
      <c r="H41" s="37">
        <v>251</v>
      </c>
      <c r="I41" s="125">
        <f>Consolidated!$H59</f>
        <v>1047</v>
      </c>
      <c r="J41" s="126">
        <f t="shared" ref="J41:J49" si="9">ROUND(E41*I41,2)</f>
        <v>57071.97</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12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126">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14</v>
      </c>
      <c r="D45" s="824">
        <f>SUMIFS('Surv2-3'!L:L,'Surv2-3'!$H:$H,$I$2,'Surv2-3'!$I:$I,$H45-140)</f>
        <v>14.98</v>
      </c>
      <c r="E45" s="1013">
        <f t="shared" si="8"/>
        <v>28.98</v>
      </c>
      <c r="F45" s="1013"/>
      <c r="G45" s="47" t="s">
        <v>60</v>
      </c>
      <c r="H45" s="37">
        <v>252</v>
      </c>
      <c r="I45" s="125">
        <f>Consolidated!$H63</f>
        <v>3506</v>
      </c>
      <c r="J45" s="46">
        <f t="shared" si="9"/>
        <v>101603.88</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4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4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46">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6">
        <f>SUM(C41:C49)</f>
        <v>39</v>
      </c>
      <c r="D50" s="826">
        <f>SUM(D41:D49)</f>
        <v>44.489999999999995</v>
      </c>
      <c r="E50" s="1015">
        <f>SUM(E41:E49)</f>
        <v>83.49</v>
      </c>
      <c r="F50" s="1015"/>
      <c r="G50" s="970" t="s">
        <v>63</v>
      </c>
      <c r="H50" s="970"/>
      <c r="I50" s="970"/>
      <c r="J50" s="220">
        <f>SUM(J41:J49)</f>
        <v>158675.85</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555.37000000000012</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2.6740000000000002E-3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607.35490000000004</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2.7469999999999999E-3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555.37000000000012</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3.1080000000000001E-3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555.37000000000012</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2.6779999999999998E-3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555.37000000000012</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3.114E-3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2.6779999999999998E-3</v>
      </c>
      <c r="J68" s="127">
        <f>ROUND(G68*I68,2)</f>
        <v>122144.88</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2.6740000000000002E-3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3.114E-3</v>
      </c>
      <c r="J71" s="127">
        <f>ROUND(G71*I71,2)</f>
        <v>59041.15</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3.1080000000000001E-3</v>
      </c>
      <c r="J72" s="127">
        <f>ROUND(G72*I72,2)</f>
        <v>35146.480000000003</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2.7469999999999999E-3</v>
      </c>
      <c r="J85" s="127">
        <f>ROUND(G85*I85,2)</f>
        <v>738438.32</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2.7469999999999999E-3</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2.6740000000000002E-3</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432.44349999999997</v>
      </c>
      <c r="C90" s="80"/>
      <c r="D90" s="921">
        <f>I6</f>
        <v>1.0355000000000001</v>
      </c>
      <c r="E90" s="921"/>
      <c r="F90" s="921"/>
      <c r="G90" s="113">
        <f>Consolidated!F$118</f>
        <v>958.42</v>
      </c>
      <c r="H90" s="47" t="s">
        <v>68</v>
      </c>
      <c r="I90" s="130">
        <f>ROUND(B90*D90*G90,2)</f>
        <v>429175.92</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174.91139999999999</v>
      </c>
      <c r="C91" s="80"/>
      <c r="D91" s="921">
        <f>I6</f>
        <v>1.0355000000000001</v>
      </c>
      <c r="E91" s="921"/>
      <c r="F91" s="921"/>
      <c r="G91" s="113">
        <f>Consolidated!F$119</f>
        <v>915.09</v>
      </c>
      <c r="H91" s="47" t="s">
        <v>68</v>
      </c>
      <c r="I91" s="129">
        <f>ROUND(B91*D91*G91,2)</f>
        <v>165741.79</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607.35489999999993</v>
      </c>
      <c r="C93" s="80"/>
      <c r="D93" s="80"/>
      <c r="E93" s="999" t="s">
        <v>112</v>
      </c>
      <c r="F93" s="999"/>
      <c r="G93" s="999"/>
      <c r="H93" s="999"/>
      <c r="I93" s="999"/>
      <c r="J93" s="116">
        <f>IF(A1=75,0,I92+I91+I90)</f>
        <v>594917.71</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224</v>
      </c>
      <c r="D97" s="223">
        <v>222</v>
      </c>
      <c r="E97" s="1002">
        <f>IF(D97&gt;0,(C97+D97)/2,C97)</f>
        <v>223</v>
      </c>
      <c r="F97" s="1002"/>
      <c r="G97" s="1002"/>
      <c r="H97" s="85" t="s">
        <v>117</v>
      </c>
      <c r="I97" s="119">
        <f>Consolidated!G$127</f>
        <v>578</v>
      </c>
      <c r="J97" s="127">
        <f>ROUND(I97*E97,2)</f>
        <v>128894</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02">
        <f>(C98+D98)/2</f>
        <v>0</v>
      </c>
      <c r="F98" s="1002"/>
      <c r="G98" s="1002"/>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970" t="s">
        <v>125</v>
      </c>
      <c r="B107" s="970"/>
      <c r="C107" s="970"/>
      <c r="D107" s="970"/>
      <c r="E107" s="970"/>
      <c r="F107" s="970"/>
      <c r="G107" s="970"/>
      <c r="H107" s="970"/>
      <c r="I107" s="970"/>
      <c r="J107" s="541">
        <f>SUM(J106,J105,J98,J97,J93,J86,J85,J71,J70,J68,J33,J72,J50,J87,J84)</f>
        <v>5216172.5</v>
      </c>
      <c r="L107" s="538"/>
      <c r="R107" s="955" t="s">
        <v>125</v>
      </c>
      <c r="S107" s="955"/>
      <c r="T107" s="955"/>
      <c r="U107" s="955"/>
      <c r="V107" s="955"/>
      <c r="W107" s="955"/>
      <c r="X107" s="955"/>
      <c r="Y107" s="208">
        <f>SUM(Y106,Y105,Y97,Y96,Y93,Y86,Y85,Y84,Y70,Y69,Y67,Y33,Y71,Y50,Y87,Y83)</f>
        <v>0</v>
      </c>
    </row>
    <row r="108" spans="1:25" ht="15.75" customHeight="1" thickTop="1" x14ac:dyDescent="0.25">
      <c r="A108" s="920"/>
      <c r="B108" s="920"/>
      <c r="C108" s="920"/>
      <c r="D108" s="920"/>
      <c r="E108" s="920"/>
      <c r="F108" s="920"/>
      <c r="G108" s="920"/>
      <c r="H108" s="920"/>
      <c r="I108" s="920"/>
      <c r="J108" s="920"/>
      <c r="R108" s="928"/>
      <c r="S108" s="928"/>
      <c r="T108" s="928"/>
      <c r="U108" s="928"/>
      <c r="V108" s="928"/>
      <c r="W108" s="928"/>
      <c r="X108" s="928"/>
      <c r="Y108" s="928"/>
    </row>
    <row r="109" spans="1:25" ht="17.25" customHeight="1" thickBot="1" x14ac:dyDescent="0.3">
      <c r="A109" s="952" t="s">
        <v>131</v>
      </c>
      <c r="B109" s="952"/>
      <c r="C109" s="952"/>
      <c r="D109" s="952"/>
      <c r="E109" s="952"/>
      <c r="F109" s="920"/>
      <c r="G109" s="920"/>
      <c r="H109" s="920"/>
      <c r="I109" s="2" t="s">
        <v>132</v>
      </c>
      <c r="J109" s="543">
        <f>J107-J38</f>
        <v>4961782.96</v>
      </c>
      <c r="R109" s="159" t="s">
        <v>176</v>
      </c>
      <c r="S109" s="159"/>
      <c r="T109" s="159"/>
      <c r="U109" s="159"/>
      <c r="V109" s="159"/>
      <c r="W109" s="159"/>
      <c r="X109" s="159"/>
      <c r="Y109" s="209">
        <f>Y107-Y38</f>
        <v>0</v>
      </c>
    </row>
    <row r="110" spans="1:25" ht="18.75" customHeight="1" thickTop="1" x14ac:dyDescent="0.25">
      <c r="A110" s="952" t="s">
        <v>133</v>
      </c>
      <c r="B110" s="952"/>
      <c r="C110" s="952"/>
      <c r="D110" s="952"/>
      <c r="E110" s="952"/>
      <c r="F110" s="952"/>
      <c r="G110" s="952"/>
      <c r="H110" s="952"/>
      <c r="I110" s="42" t="s">
        <v>134</v>
      </c>
      <c r="J110" s="72"/>
      <c r="R110" s="1012" t="s">
        <v>136</v>
      </c>
      <c r="S110" s="1012"/>
      <c r="T110" s="1012"/>
      <c r="U110" s="1012"/>
      <c r="V110" s="1012"/>
      <c r="W110" s="1012"/>
      <c r="X110" s="1012"/>
      <c r="Y110" s="1012"/>
    </row>
    <row r="111" spans="1:25" ht="15.75" customHeight="1" x14ac:dyDescent="0.25">
      <c r="A111" s="953" t="s">
        <v>135</v>
      </c>
      <c r="B111" s="953"/>
      <c r="C111" s="953"/>
      <c r="D111" s="953"/>
      <c r="E111" s="953"/>
      <c r="F111" s="953"/>
      <c r="G111" s="953"/>
      <c r="H111" s="953"/>
      <c r="I111" s="224"/>
      <c r="J111" s="4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H113" s="658"/>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I114" s="659">
        <f>IF(I111=1,J111,J109)</f>
        <v>4961782.96</v>
      </c>
      <c r="J114" s="660">
        <f>ROUND(IF(E28=0,0,IF(E28&gt;250,-(((250/E28)*I114)*IF(H113="H",0.02,0.05)),IF(H113="H",-0.02*I114,-0.05*I114))),2)</f>
        <v>-111677.42</v>
      </c>
      <c r="M114" s="2"/>
      <c r="N114" s="3"/>
      <c r="R114" s="2"/>
      <c r="T114" s="4"/>
      <c r="W114" s="2"/>
      <c r="X114" s="5"/>
    </row>
    <row r="115" spans="1:26" ht="16.5" customHeight="1" x14ac:dyDescent="0.25">
      <c r="A115" s="231"/>
      <c r="B115" s="231"/>
      <c r="C115" s="231"/>
      <c r="D115" s="231"/>
      <c r="E115" s="231"/>
      <c r="F115" s="231"/>
      <c r="G115" s="231"/>
      <c r="H115" s="661"/>
      <c r="I115" s="662"/>
      <c r="J115" s="663"/>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664"/>
      <c r="I116" s="665"/>
      <c r="J116" s="666">
        <f>J107+J114</f>
        <v>5104495.08</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61"/>
      <c r="I117" s="662"/>
      <c r="J117" s="663"/>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661"/>
      <c r="I118" s="662"/>
      <c r="J118" s="667">
        <f>-'Cumulative Payments'!R81</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61"/>
      <c r="I119" s="662"/>
      <c r="J119" s="663"/>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661"/>
      <c r="I120" s="662"/>
      <c r="J120" s="663">
        <f>J116+J118</f>
        <v>5104495.08</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61"/>
      <c r="I121" s="662"/>
      <c r="J121" s="663"/>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661"/>
      <c r="I122" s="662"/>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61"/>
      <c r="I123" s="662"/>
      <c r="J123" s="663"/>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661"/>
      <c r="I124" s="662"/>
      <c r="J124" s="669">
        <f>ROUND(J120/J122,2)</f>
        <v>425374.59</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61"/>
      <c r="I125" s="662"/>
      <c r="J125" s="663"/>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661"/>
      <c r="I126" s="662"/>
      <c r="J126" s="670">
        <f>ROUND(IF(H113="H",(I114*0.02)+J114,(I114*0.05)+J114),2)</f>
        <v>136411.73000000001</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E7AE6-C6F5-4909-B26E-8392DA3E0EDD}">
  <dimension ref="A1:Z207"/>
  <sheetViews>
    <sheetView topLeftCell="A22" workbookViewId="0">
      <selection activeCell="C22" sqref="C22"/>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503</v>
      </c>
      <c r="B2" s="101"/>
      <c r="C2" s="101"/>
      <c r="D2" s="101"/>
      <c r="E2" s="6"/>
      <c r="F2" s="6"/>
      <c r="G2" s="6"/>
      <c r="H2" s="6"/>
      <c r="I2" s="706" t="str">
        <f>RIGHT(A2,4)</f>
        <v>2911</v>
      </c>
      <c r="J2" s="6"/>
      <c r="K2" s="6"/>
      <c r="L2" s="6"/>
      <c r="M2" s="6"/>
      <c r="N2" s="6"/>
      <c r="O2" s="6"/>
      <c r="P2" s="6"/>
      <c r="Q2" s="6"/>
      <c r="R2" s="927" t="str">
        <f>Revenue_Estimate_Worksheet_for___________Charter_School</f>
        <v>Revenue Estimate Worksheet: Western Academy Charter School - 2911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M</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129.24</v>
      </c>
      <c r="D12" s="738">
        <f>SUMIFS('Surv2-3'!K:K,'Surv2-3'!$H:$H,$I$2,'Surv2-3'!$I:$I,$O12)</f>
        <v>128.4</v>
      </c>
      <c r="E12" s="1021">
        <f t="shared" ref="E12:E27" si="0">IF($D$28=0,C12*2,C12+D12)</f>
        <v>257.64</v>
      </c>
      <c r="F12" s="1021"/>
      <c r="G12" s="1037">
        <f>Consolidated!$F14</f>
        <v>1.1080000000000001</v>
      </c>
      <c r="H12" s="1037">
        <f>Consolidated!$H$9</f>
        <v>1</v>
      </c>
      <c r="I12" s="539">
        <f>ROUND(E12*G12,4)</f>
        <v>285.46510000000001</v>
      </c>
      <c r="J12" s="540">
        <f t="shared" ref="J12:J27" si="1">ROUND(ROUND(ROUND(I12*$E$6,4)*($I$6),2)*(MAX($I$7,1)),2)</f>
        <v>1588135.78</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30.5</v>
      </c>
      <c r="D13" s="392">
        <f>SUMIFS('Surv2-3'!K:K,'Surv2-3'!$H:$H,$I$2,'Surv2-3'!$I:$I,$O13)</f>
        <v>31.53</v>
      </c>
      <c r="E13" s="1020">
        <f t="shared" si="0"/>
        <v>62.03</v>
      </c>
      <c r="F13" s="1020"/>
      <c r="G13" s="1026">
        <f>Consolidated!$F15</f>
        <v>1.1080000000000001</v>
      </c>
      <c r="H13" s="1026">
        <f>Consolidated!$H$9</f>
        <v>1</v>
      </c>
      <c r="I13" s="539">
        <f t="shared" ref="I13:I27" si="3">ROUND(E13*G13,4)</f>
        <v>68.729200000000006</v>
      </c>
      <c r="J13" s="540">
        <f t="shared" si="1"/>
        <v>382363.03</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171.85</v>
      </c>
      <c r="D14" s="392">
        <f>SUMIFS('Surv2-3'!L:L,'Surv2-3'!$H:$H,$I$2,'Surv2-3'!$I:$I,$O14)</f>
        <v>167.87</v>
      </c>
      <c r="E14" s="1020">
        <f t="shared" si="0"/>
        <v>339.72</v>
      </c>
      <c r="F14" s="1020"/>
      <c r="G14" s="1026">
        <f>Consolidated!$F16</f>
        <v>1</v>
      </c>
      <c r="H14" s="1026">
        <f>Consolidated!$H$9</f>
        <v>1</v>
      </c>
      <c r="I14" s="539">
        <f t="shared" si="3"/>
        <v>339.72</v>
      </c>
      <c r="J14" s="540">
        <f>ROUND(ROUND(ROUND(I14*$E$6,4)*($I$6),2)*(MAX($I$7,1)),2)</f>
        <v>1889973.55</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53.83</v>
      </c>
      <c r="D15" s="392">
        <f>SUMIFS('Surv2-3'!L:L,'Surv2-3'!$H:$H,$I$2,'Surv2-3'!$I:$I,$O15)</f>
        <v>53.449999999999996</v>
      </c>
      <c r="E15" s="1020">
        <f t="shared" si="0"/>
        <v>107.28</v>
      </c>
      <c r="F15" s="1020"/>
      <c r="G15" s="1026">
        <f>Consolidated!$F17</f>
        <v>1</v>
      </c>
      <c r="H15" s="1026">
        <f>Consolidated!$H$9</f>
        <v>1</v>
      </c>
      <c r="I15" s="539">
        <f t="shared" si="3"/>
        <v>107.28</v>
      </c>
      <c r="J15" s="540">
        <f t="shared" si="1"/>
        <v>596833.75</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5.76</v>
      </c>
      <c r="D24" s="392">
        <f>SUMIFS('Surv2-3'!K:K,'Surv2-3'!$H:$H,$I$2,'Surv2-3'!$I:$I,$O24)</f>
        <v>5.78</v>
      </c>
      <c r="E24" s="1020">
        <f t="shared" si="0"/>
        <v>11.54</v>
      </c>
      <c r="F24" s="1020"/>
      <c r="G24" s="1026">
        <f>Consolidated!$F26</f>
        <v>1.165</v>
      </c>
      <c r="H24" s="1026">
        <f>Consolidated!$H$9</f>
        <v>1</v>
      </c>
      <c r="I24" s="539">
        <f t="shared" si="3"/>
        <v>13.444100000000001</v>
      </c>
      <c r="J24" s="540">
        <f t="shared" si="1"/>
        <v>74793.929999999993</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v>
      </c>
      <c r="D25" s="392">
        <f>SUMIFS('Surv2-3'!L:L,'Surv2-3'!$H:$H,$I$2,'Surv2-3'!$I:$I,$O25)</f>
        <v>0.91</v>
      </c>
      <c r="E25" s="1020">
        <f t="shared" si="0"/>
        <v>0.91</v>
      </c>
      <c r="F25" s="1020"/>
      <c r="G25" s="1026">
        <f>Consolidated!$F27</f>
        <v>1.165</v>
      </c>
      <c r="H25" s="1026">
        <f>Consolidated!$H$9</f>
        <v>1</v>
      </c>
      <c r="I25" s="539">
        <f t="shared" si="3"/>
        <v>1.0602</v>
      </c>
      <c r="J25" s="540">
        <f t="shared" si="1"/>
        <v>5898.24</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391.18</v>
      </c>
      <c r="D28" s="822">
        <f>SUM(D12:D27)</f>
        <v>387.94</v>
      </c>
      <c r="E28" s="1025">
        <f>SUM(E12:E27)</f>
        <v>779.11999999999989</v>
      </c>
      <c r="F28" s="1025"/>
      <c r="G28" s="1020"/>
      <c r="H28" s="1020"/>
      <c r="I28" s="23">
        <f>SUM(I12:I27)</f>
        <v>815.69860000000006</v>
      </c>
      <c r="J28" s="116">
        <f>SUM(J12:J27)</f>
        <v>4537998.28</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815.69860000000006</v>
      </c>
      <c r="H33" s="1020" t="s">
        <v>45</v>
      </c>
      <c r="I33" s="1020"/>
      <c r="J33" s="32">
        <f>SUM(J32,J28)</f>
        <v>4537998.28</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4130359.4</v>
      </c>
      <c r="H36" s="37" t="s">
        <v>49</v>
      </c>
      <c r="I36" s="38">
        <v>6.6699999999999995E-2</v>
      </c>
      <c r="J36" s="120">
        <f>ROUND(G36*I36,2)</f>
        <v>275494.96999999997</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4130359.4</v>
      </c>
      <c r="H37" s="37" t="s">
        <v>49</v>
      </c>
      <c r="I37" s="38">
        <v>5.4000000000000003E-3</v>
      </c>
      <c r="J37" s="120">
        <f>ROUND(G37*I37,2)</f>
        <v>22303.94</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297798.90999999997</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30.5</v>
      </c>
      <c r="D41" s="737">
        <f>SUMIFS('Surv2-3'!K:K,'Surv2-3'!$H:$H,$I$2,'Surv2-3'!$I:$I,$H41-140)</f>
        <v>31.53</v>
      </c>
      <c r="E41" s="1013">
        <f t="shared" ref="E41:E49" si="8">IF($D$50=0,C41*2,C41+D41)</f>
        <v>62.03</v>
      </c>
      <c r="F41" s="1013"/>
      <c r="G41" s="37" t="s">
        <v>59</v>
      </c>
      <c r="H41" s="37">
        <v>251</v>
      </c>
      <c r="I41" s="125">
        <f>Consolidated!$H59</f>
        <v>1047</v>
      </c>
      <c r="J41" s="46">
        <f t="shared" ref="J41:J49" si="9">ROUND(E41*I41,2)</f>
        <v>64945.41</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4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46">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53.83</v>
      </c>
      <c r="D45" s="824">
        <f>SUMIFS('Surv2-3'!L:L,'Surv2-3'!$H:$H,$I$2,'Surv2-3'!$I:$I,$H45-140)</f>
        <v>53.449999999999996</v>
      </c>
      <c r="E45" s="1013">
        <f t="shared" si="8"/>
        <v>107.28</v>
      </c>
      <c r="F45" s="1013"/>
      <c r="G45" s="47" t="s">
        <v>60</v>
      </c>
      <c r="H45" s="37">
        <v>252</v>
      </c>
      <c r="I45" s="125">
        <f>Consolidated!$H63</f>
        <v>3506</v>
      </c>
      <c r="J45" s="46">
        <f t="shared" si="9"/>
        <v>376123.68</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4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4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46">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84.33</v>
      </c>
      <c r="D50" s="825">
        <f>SUM(D41:D49)</f>
        <v>84.97999999999999</v>
      </c>
      <c r="E50" s="1015">
        <f>SUM(E41:E49)</f>
        <v>169.31</v>
      </c>
      <c r="F50" s="1015"/>
      <c r="G50" s="970" t="s">
        <v>63</v>
      </c>
      <c r="H50" s="970"/>
      <c r="I50" s="970"/>
      <c r="J50" s="220">
        <f>SUM(J41:J49)</f>
        <v>441069.08999999997</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779.11999999999989</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3.751E-3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815.69860000000006</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3.689E-3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779.11999999999989</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4.3610000000000003E-3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779.11999999999989</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3.7569999999999999E-3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779.11999999999989</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4.3689999999999996E-3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3.7569999999999999E-3</v>
      </c>
      <c r="J68" s="127">
        <f>ROUND(G68*I68,2)</f>
        <v>171358.59</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3.751E-3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4.3689999999999996E-3</v>
      </c>
      <c r="J71" s="127">
        <f>ROUND(G71*I71,2)</f>
        <v>82835.83</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4.3610000000000003E-3</v>
      </c>
      <c r="J72" s="127">
        <f>ROUND(G72*I72,2)</f>
        <v>49315.89</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3.689E-3</v>
      </c>
      <c r="J85" s="127">
        <f>ROUND(G85*I85,2)</f>
        <v>991663.25</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3.689E-3</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3.751E-3</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367.63839999999999</v>
      </c>
      <c r="C90" s="80"/>
      <c r="D90" s="921">
        <f>I6</f>
        <v>1.0355000000000001</v>
      </c>
      <c r="E90" s="921"/>
      <c r="F90" s="921"/>
      <c r="G90" s="113">
        <f>Consolidated!F$118</f>
        <v>958.42</v>
      </c>
      <c r="H90" s="47" t="s">
        <v>68</v>
      </c>
      <c r="I90" s="130">
        <f>ROUND(B90*D90*G90,2)</f>
        <v>364860.49</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448.06020000000001</v>
      </c>
      <c r="C91" s="80"/>
      <c r="D91" s="921">
        <f>I6</f>
        <v>1.0355000000000001</v>
      </c>
      <c r="E91" s="921"/>
      <c r="F91" s="921"/>
      <c r="G91" s="113">
        <f>Consolidated!F$119</f>
        <v>915.09</v>
      </c>
      <c r="H91" s="47" t="s">
        <v>68</v>
      </c>
      <c r="I91" s="129">
        <f>ROUND(B91*D91*G91,2)</f>
        <v>424570.96</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815.69859999999994</v>
      </c>
      <c r="C93" s="80"/>
      <c r="D93" s="80"/>
      <c r="E93" s="999" t="s">
        <v>112</v>
      </c>
      <c r="F93" s="999"/>
      <c r="G93" s="999"/>
      <c r="H93" s="999"/>
      <c r="I93" s="999"/>
      <c r="J93" s="116">
        <f>IF(A1=75,0,I92+I91+I90)</f>
        <v>789431.45</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0</v>
      </c>
      <c r="D97" s="223">
        <v>0</v>
      </c>
      <c r="E97" s="1044">
        <f>IF(D97&gt;0,(C97+D97)/2,C97)</f>
        <v>0</v>
      </c>
      <c r="F97" s="922"/>
      <c r="G97" s="922"/>
      <c r="H97" s="85" t="s">
        <v>117</v>
      </c>
      <c r="I97" s="119">
        <f>Consolidated!G$127</f>
        <v>578</v>
      </c>
      <c r="J97" s="127">
        <f>ROUND(I97*E97,2)</f>
        <v>0</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970" t="s">
        <v>125</v>
      </c>
      <c r="B107" s="970"/>
      <c r="C107" s="970"/>
      <c r="D107" s="970"/>
      <c r="E107" s="970"/>
      <c r="F107" s="970"/>
      <c r="G107" s="970"/>
      <c r="H107" s="970"/>
      <c r="I107" s="970"/>
      <c r="J107" s="541">
        <f>SUM(J106,J105,J98,J97,J93,J86,J85,J71,J70,J68,J33,J72,J50,J87,J84)</f>
        <v>7063672.3799999999</v>
      </c>
      <c r="L107" s="538"/>
      <c r="R107" s="955" t="s">
        <v>125</v>
      </c>
      <c r="S107" s="955"/>
      <c r="T107" s="955"/>
      <c r="U107" s="955"/>
      <c r="V107" s="955"/>
      <c r="W107" s="955"/>
      <c r="X107" s="955"/>
      <c r="Y107" s="208">
        <f>SUM(Y106,Y105,Y97,Y96,Y93,Y86,Y85,Y84,Y70,Y69,Y67,Y33,Y71,Y50,Y87,Y83)</f>
        <v>0</v>
      </c>
    </row>
    <row r="108" spans="1:25" ht="15.75" customHeight="1" thickTop="1" x14ac:dyDescent="0.25">
      <c r="A108" s="920"/>
      <c r="B108" s="920"/>
      <c r="C108" s="920"/>
      <c r="D108" s="920"/>
      <c r="E108" s="920"/>
      <c r="F108" s="920"/>
      <c r="G108" s="920"/>
      <c r="H108" s="920"/>
      <c r="I108" s="920"/>
      <c r="J108" s="920"/>
      <c r="R108" s="928"/>
      <c r="S108" s="928"/>
      <c r="T108" s="928"/>
      <c r="U108" s="928"/>
      <c r="V108" s="928"/>
      <c r="W108" s="928"/>
      <c r="X108" s="928"/>
      <c r="Y108" s="928"/>
    </row>
    <row r="109" spans="1:25" ht="17.25" customHeight="1" thickBot="1" x14ac:dyDescent="0.3">
      <c r="A109" s="952" t="s">
        <v>131</v>
      </c>
      <c r="B109" s="952"/>
      <c r="C109" s="952"/>
      <c r="D109" s="952"/>
      <c r="E109" s="952"/>
      <c r="F109" s="920"/>
      <c r="G109" s="920"/>
      <c r="H109" s="920"/>
      <c r="I109" s="2" t="s">
        <v>132</v>
      </c>
      <c r="J109" s="543">
        <f>J107-J38</f>
        <v>6765873.4699999997</v>
      </c>
      <c r="R109" s="159" t="s">
        <v>176</v>
      </c>
      <c r="S109" s="159"/>
      <c r="T109" s="159"/>
      <c r="U109" s="159"/>
      <c r="V109" s="159"/>
      <c r="W109" s="159"/>
      <c r="X109" s="159"/>
      <c r="Y109" s="209">
        <f>Y107-Y38</f>
        <v>0</v>
      </c>
    </row>
    <row r="110" spans="1:25" ht="18.75" customHeight="1" thickTop="1" x14ac:dyDescent="0.25">
      <c r="A110" s="952" t="s">
        <v>133</v>
      </c>
      <c r="B110" s="952"/>
      <c r="C110" s="952"/>
      <c r="D110" s="952"/>
      <c r="E110" s="952"/>
      <c r="F110" s="952"/>
      <c r="G110" s="952"/>
      <c r="H110" s="952"/>
      <c r="I110" s="42" t="s">
        <v>134</v>
      </c>
      <c r="J110" s="72"/>
      <c r="R110" s="1012" t="s">
        <v>136</v>
      </c>
      <c r="S110" s="1012"/>
      <c r="T110" s="1012"/>
      <c r="U110" s="1012"/>
      <c r="V110" s="1012"/>
      <c r="W110" s="1012"/>
      <c r="X110" s="1012"/>
      <c r="Y110" s="1012"/>
    </row>
    <row r="111" spans="1:25" ht="15.75" customHeight="1" x14ac:dyDescent="0.25">
      <c r="A111" s="953" t="s">
        <v>135</v>
      </c>
      <c r="B111" s="953"/>
      <c r="C111" s="953"/>
      <c r="D111" s="953"/>
      <c r="E111" s="953"/>
      <c r="F111" s="953"/>
      <c r="G111" s="953"/>
      <c r="H111" s="953"/>
      <c r="I111" s="224"/>
      <c r="J111" s="4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H113" s="658" t="s">
        <v>495</v>
      </c>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I114" s="659">
        <f>IF(I111=1,J111,J109)</f>
        <v>6765873.4699999997</v>
      </c>
      <c r="J114" s="660">
        <f>ROUND(IF(E28=0,0,IF(E28&gt;250,-(((250/E28)*I114)*IF(H113="H",0.02,0.05)),IF(H113="H",-0.02*I114,-0.05*I114))),2)</f>
        <v>-43419.97</v>
      </c>
      <c r="M114" s="2"/>
      <c r="N114" s="3"/>
      <c r="R114" s="2"/>
      <c r="T114" s="4"/>
      <c r="W114" s="2"/>
      <c r="X114" s="5"/>
    </row>
    <row r="115" spans="1:26" ht="16.5" customHeight="1" x14ac:dyDescent="0.25">
      <c r="A115" s="231"/>
      <c r="B115" s="231"/>
      <c r="C115" s="231"/>
      <c r="D115" s="231"/>
      <c r="E115" s="231"/>
      <c r="F115" s="231"/>
      <c r="G115" s="231"/>
      <c r="H115" s="661"/>
      <c r="I115" s="662"/>
      <c r="J115" s="663"/>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664"/>
      <c r="I116" s="665"/>
      <c r="J116" s="666">
        <f>J107+J114</f>
        <v>7020252.4100000001</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61"/>
      <c r="I117" s="662"/>
      <c r="J117" s="663"/>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661"/>
      <c r="I118" s="662"/>
      <c r="J118" s="667">
        <f>-'Cumulative Payments'!R82</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61"/>
      <c r="I119" s="662"/>
      <c r="J119" s="663"/>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661"/>
      <c r="I120" s="662"/>
      <c r="J120" s="663">
        <f>J116+J118</f>
        <v>7020252.4100000001</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61"/>
      <c r="I121" s="662"/>
      <c r="J121" s="663"/>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661"/>
      <c r="I122" s="662"/>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61"/>
      <c r="I123" s="662"/>
      <c r="J123" s="663"/>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661"/>
      <c r="I124" s="662"/>
      <c r="J124" s="669">
        <f>ROUND(J120/J122,2)</f>
        <v>585021.03</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61"/>
      <c r="I125" s="662"/>
      <c r="J125" s="663"/>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661"/>
      <c r="I126" s="662"/>
      <c r="J126" s="670">
        <f>ROUND(IF(H113="H",(I114*0.02)+J114,(I114*0.05)+J114),2)</f>
        <v>91897.5</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62"/>
      <c r="I127" s="671"/>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982B0-15F7-4F21-969B-FF7A76B8FA8F}">
  <dimension ref="A1:Z207"/>
  <sheetViews>
    <sheetView topLeftCell="A24" workbookViewId="0">
      <selection activeCell="C15" sqref="C15"/>
    </sheetView>
  </sheetViews>
  <sheetFormatPr defaultRowHeight="15.75" x14ac:dyDescent="0.25"/>
  <cols>
    <col min="1" max="1" width="13" style="42" customWidth="1"/>
    <col min="2" max="2" width="37.7109375" style="2" bestFit="1"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504</v>
      </c>
      <c r="B2" s="101"/>
      <c r="C2" s="101"/>
      <c r="D2" s="101"/>
      <c r="E2" s="6"/>
      <c r="F2" s="6"/>
      <c r="G2" s="6"/>
      <c r="H2" s="6"/>
      <c r="I2" s="706" t="str">
        <f>RIGHT(A2,4)</f>
        <v>2941</v>
      </c>
      <c r="J2" s="6"/>
      <c r="K2" s="6"/>
      <c r="L2" s="6"/>
      <c r="M2" s="6"/>
      <c r="N2" s="6"/>
      <c r="O2" s="6"/>
      <c r="P2" s="6"/>
      <c r="Q2" s="6"/>
      <c r="R2" s="927" t="str">
        <f>Revenue_Estimate_Worksheet_for___________Charter_School</f>
        <v>Revenue Estimate Worksheet: Palm Beach School for Autism - 2941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H</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0.5</v>
      </c>
      <c r="D12" s="738">
        <f>SUMIFS('Surv2-3'!K:K,'Surv2-3'!$H:$H,$I$2,'Surv2-3'!$I:$I,$O12)</f>
        <v>0</v>
      </c>
      <c r="E12" s="1021">
        <f t="shared" ref="E12:E27" si="0">IF($D$28=0,C12*2,C12+D12)</f>
        <v>0.5</v>
      </c>
      <c r="F12" s="1021"/>
      <c r="G12" s="1037">
        <f>Consolidated!$F14</f>
        <v>1.1080000000000001</v>
      </c>
      <c r="H12" s="1037">
        <f>Consolidated!$H$9</f>
        <v>1</v>
      </c>
      <c r="I12" s="539">
        <f>ROUND(E12*G12,4)</f>
        <v>0.55400000000000005</v>
      </c>
      <c r="J12" s="540">
        <f t="shared" ref="J12:J27" si="1">ROUND(ROUND(ROUND(I12*$E$6,4)*($I$6),2)*(MAX($I$7,1)),2)</f>
        <v>3082.08</v>
      </c>
      <c r="L12" s="21"/>
      <c r="M12" s="2"/>
      <c r="O12" s="2" t="str">
        <f t="shared" ref="O12:O27" si="2">LEFT(R12,3)</f>
        <v>101</v>
      </c>
      <c r="R12" s="943" t="s">
        <v>20</v>
      </c>
      <c r="S12" s="943"/>
      <c r="T12" s="944">
        <f>IF($I$111=1,E12,0)</f>
        <v>0.5</v>
      </c>
      <c r="U12" s="944"/>
      <c r="V12" s="945">
        <v>1</v>
      </c>
      <c r="W12" s="945"/>
      <c r="X12" s="145">
        <f>ROUND(T12*V12,4)</f>
        <v>0.5</v>
      </c>
      <c r="Y12" s="212">
        <f>ROUND(ROUND(ROUND(X12*$E$6,4)*($I$6),2)*(MAX($I$7,1)),2)</f>
        <v>2781.66</v>
      </c>
    </row>
    <row r="13" spans="1:25" x14ac:dyDescent="0.25">
      <c r="A13" s="916" t="s">
        <v>21</v>
      </c>
      <c r="B13" s="916"/>
      <c r="C13" s="392">
        <f>SUMIFS('Surv2-3'!D:D,'Surv2-3'!$A:$A,$I$2,'Surv2-3'!$B:$B,$O13)</f>
        <v>7.5</v>
      </c>
      <c r="D13" s="392">
        <f>SUMIFS('Surv2-3'!K:K,'Surv2-3'!$H:$H,$I$2,'Surv2-3'!$I:$I,$O13)</f>
        <v>5</v>
      </c>
      <c r="E13" s="1020">
        <f t="shared" si="0"/>
        <v>12.5</v>
      </c>
      <c r="F13" s="1020"/>
      <c r="G13" s="1026">
        <f>Consolidated!$F15</f>
        <v>1.1080000000000001</v>
      </c>
      <c r="H13" s="1026">
        <f>Consolidated!$H$9</f>
        <v>1</v>
      </c>
      <c r="I13" s="539">
        <f t="shared" ref="I13:I27" si="3">ROUND(E13*G13,4)</f>
        <v>13.85</v>
      </c>
      <c r="J13" s="540">
        <f t="shared" si="1"/>
        <v>77052.08</v>
      </c>
      <c r="L13" s="21"/>
      <c r="M13" s="2"/>
      <c r="O13" s="2" t="str">
        <f t="shared" si="2"/>
        <v>111</v>
      </c>
      <c r="R13" s="946" t="s">
        <v>21</v>
      </c>
      <c r="S13" s="946"/>
      <c r="T13" s="944">
        <f t="shared" ref="T13:T27" si="4">IF($I$111=1,E13,0)</f>
        <v>12.5</v>
      </c>
      <c r="U13" s="944"/>
      <c r="V13" s="950">
        <v>1</v>
      </c>
      <c r="W13" s="950"/>
      <c r="X13" s="145">
        <f t="shared" ref="X13:X27" si="5">ROUND(T13*V13,4)</f>
        <v>12.5</v>
      </c>
      <c r="Y13" s="212">
        <f t="shared" ref="Y13" si="6">ROUND(ROUND(ROUND(X13*$E$6,4)*($I$6),2)*(MAX($I$7,1)),2)</f>
        <v>69541.59</v>
      </c>
    </row>
    <row r="14" spans="1:25" x14ac:dyDescent="0.25">
      <c r="A14" s="916" t="s">
        <v>22</v>
      </c>
      <c r="B14" s="916"/>
      <c r="C14" s="392">
        <f>SUMIFS('Surv2-3'!E:E,'Surv2-3'!$A:$A,$I$2,'Surv2-3'!$B:$B,$O14)</f>
        <v>0</v>
      </c>
      <c r="D14" s="392">
        <f>SUMIFS('Surv2-3'!L:L,'Surv2-3'!$H:$H,$I$2,'Surv2-3'!$I:$I,$O14)</f>
        <v>0</v>
      </c>
      <c r="E14" s="1020">
        <f t="shared" si="0"/>
        <v>0</v>
      </c>
      <c r="F14" s="1020"/>
      <c r="G14" s="1026">
        <f>Consolidated!$F16</f>
        <v>1</v>
      </c>
      <c r="H14" s="1026">
        <f>Consolidated!$H$9</f>
        <v>1</v>
      </c>
      <c r="I14" s="539">
        <f t="shared" si="3"/>
        <v>0</v>
      </c>
      <c r="J14" s="540">
        <f>ROUND(ROUND(ROUND(I14*$E$6,4)*($I$6),2)*(MAX($I$7,1)),2)</f>
        <v>0</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11</v>
      </c>
      <c r="D15" s="392">
        <f>SUMIFS('Surv2-3'!L:L,'Surv2-3'!$H:$H,$I$2,'Surv2-3'!$I:$I,$O15)</f>
        <v>10.53</v>
      </c>
      <c r="E15" s="1020">
        <f t="shared" si="0"/>
        <v>21.53</v>
      </c>
      <c r="F15" s="1020"/>
      <c r="G15" s="1026">
        <f>Consolidated!$F17</f>
        <v>1</v>
      </c>
      <c r="H15" s="1026">
        <f>Consolidated!$H$9</f>
        <v>1</v>
      </c>
      <c r="I15" s="539">
        <f t="shared" si="3"/>
        <v>21.53</v>
      </c>
      <c r="J15" s="540">
        <f t="shared" si="1"/>
        <v>119778.44</v>
      </c>
      <c r="M15" s="2"/>
      <c r="O15" s="2" t="str">
        <f t="shared" si="2"/>
        <v>112</v>
      </c>
      <c r="R15" s="946" t="s">
        <v>23</v>
      </c>
      <c r="S15" s="946"/>
      <c r="T15" s="944">
        <f t="shared" si="4"/>
        <v>21.53</v>
      </c>
      <c r="U15" s="944"/>
      <c r="V15" s="950">
        <v>1</v>
      </c>
      <c r="W15" s="950"/>
      <c r="X15" s="145">
        <f t="shared" si="5"/>
        <v>21.53</v>
      </c>
      <c r="Y15" s="212">
        <f t="shared" ref="Y15:Y27" si="7">ROUND(ROUND(ROUND(X15*$E$6,4)*($I$6),2)*(MAX($I$7,1)),2)</f>
        <v>119778.44</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23.15</v>
      </c>
      <c r="D17" s="392">
        <f>SUMIFS('Surv2-3'!M:M,'Surv2-3'!$H:$H,$I$2,'Surv2-3'!$I:$I,$O17)</f>
        <v>23.9</v>
      </c>
      <c r="E17" s="1020">
        <f t="shared" si="0"/>
        <v>47.05</v>
      </c>
      <c r="F17" s="1020"/>
      <c r="G17" s="1026">
        <f>Consolidated!$F19</f>
        <v>0.97199999999999998</v>
      </c>
      <c r="H17" s="1026">
        <f>Consolidated!$H$9</f>
        <v>1</v>
      </c>
      <c r="I17" s="539">
        <f t="shared" si="3"/>
        <v>45.732599999999998</v>
      </c>
      <c r="J17" s="540">
        <f t="shared" si="1"/>
        <v>254425.42</v>
      </c>
      <c r="M17" s="2"/>
      <c r="O17" s="2" t="str">
        <f t="shared" si="2"/>
        <v>113</v>
      </c>
      <c r="R17" s="946" t="s">
        <v>25</v>
      </c>
      <c r="S17" s="946"/>
      <c r="T17" s="944">
        <f t="shared" si="4"/>
        <v>47.05</v>
      </c>
      <c r="U17" s="944"/>
      <c r="V17" s="950">
        <v>1</v>
      </c>
      <c r="W17" s="950"/>
      <c r="X17" s="145">
        <f t="shared" si="5"/>
        <v>47.05</v>
      </c>
      <c r="Y17" s="212">
        <f t="shared" si="7"/>
        <v>261754.55</v>
      </c>
    </row>
    <row r="18" spans="1:25" x14ac:dyDescent="0.25">
      <c r="A18" s="916" t="s">
        <v>26</v>
      </c>
      <c r="B18" s="916"/>
      <c r="C18" s="392">
        <f>SUMIFS('Surv2-3'!D:D,'Surv2-3'!$A:$A,$I$2,'Surv2-3'!$B:$B,$O18)</f>
        <v>42.5</v>
      </c>
      <c r="D18" s="392">
        <f>SUMIFS('Surv2-3'!K:K,'Surv2-3'!$H:$H,$I$2,'Surv2-3'!$I:$I,$O18)</f>
        <v>40.49</v>
      </c>
      <c r="E18" s="1020">
        <f t="shared" si="0"/>
        <v>82.990000000000009</v>
      </c>
      <c r="F18" s="1020"/>
      <c r="G18" s="1026">
        <f>Consolidated!$F20</f>
        <v>3.609</v>
      </c>
      <c r="H18" s="1026">
        <f>Consolidated!$H$9</f>
        <v>1</v>
      </c>
      <c r="I18" s="539">
        <f t="shared" si="3"/>
        <v>299.51089999999999</v>
      </c>
      <c r="J18" s="540">
        <f t="shared" si="1"/>
        <v>1666277.17</v>
      </c>
      <c r="M18" s="2"/>
      <c r="O18" s="2" t="str">
        <f t="shared" si="2"/>
        <v>254</v>
      </c>
      <c r="R18" s="946" t="s">
        <v>26</v>
      </c>
      <c r="S18" s="946"/>
      <c r="T18" s="944">
        <f t="shared" si="4"/>
        <v>82.990000000000009</v>
      </c>
      <c r="U18" s="944"/>
      <c r="V18" s="950">
        <v>1</v>
      </c>
      <c r="W18" s="950"/>
      <c r="X18" s="145">
        <f t="shared" si="5"/>
        <v>82.99</v>
      </c>
      <c r="Y18" s="212">
        <f t="shared" si="7"/>
        <v>461700.53</v>
      </c>
    </row>
    <row r="19" spans="1:25" x14ac:dyDescent="0.25">
      <c r="A19" s="916" t="s">
        <v>27</v>
      </c>
      <c r="B19" s="916"/>
      <c r="C19" s="392">
        <f>SUMIFS('Surv2-3'!E:E,'Surv2-3'!$A:$A,$I$2,'Surv2-3'!$B:$B,$O19)</f>
        <v>30</v>
      </c>
      <c r="D19" s="392">
        <f>SUMIFS('Surv2-3'!L:L,'Surv2-3'!$H:$H,$I$2,'Surv2-3'!$I:$I,$O19)</f>
        <v>31</v>
      </c>
      <c r="E19" s="1020">
        <f t="shared" si="0"/>
        <v>61</v>
      </c>
      <c r="F19" s="1020"/>
      <c r="G19" s="1026">
        <f>Consolidated!$F21</f>
        <v>3.609</v>
      </c>
      <c r="H19" s="1026">
        <f>Consolidated!$H$9</f>
        <v>1</v>
      </c>
      <c r="I19" s="539">
        <f t="shared" si="3"/>
        <v>220.149</v>
      </c>
      <c r="J19" s="540">
        <f t="shared" si="1"/>
        <v>1224760.94</v>
      </c>
      <c r="M19" s="2"/>
      <c r="O19" s="2" t="str">
        <f t="shared" si="2"/>
        <v>254</v>
      </c>
      <c r="R19" s="946" t="s">
        <v>27</v>
      </c>
      <c r="S19" s="946"/>
      <c r="T19" s="944">
        <f t="shared" si="4"/>
        <v>61</v>
      </c>
      <c r="U19" s="944"/>
      <c r="V19" s="950">
        <v>1</v>
      </c>
      <c r="W19" s="950"/>
      <c r="X19" s="145">
        <f t="shared" si="5"/>
        <v>61</v>
      </c>
      <c r="Y19" s="212">
        <f t="shared" si="7"/>
        <v>339362.97</v>
      </c>
    </row>
    <row r="20" spans="1:25" x14ac:dyDescent="0.25">
      <c r="A20" s="916" t="s">
        <v>28</v>
      </c>
      <c r="B20" s="916"/>
      <c r="C20" s="392">
        <f>SUMIFS('Surv2-3'!F:F,'Surv2-3'!$A:$A,$I$2,'Surv2-3'!$B:$B,$O20)</f>
        <v>32.5</v>
      </c>
      <c r="D20" s="392">
        <f>SUMIFS('Surv2-3'!M:M,'Surv2-3'!$H:$H,$I$2,'Surv2-3'!$I:$I,$O20)</f>
        <v>31.5</v>
      </c>
      <c r="E20" s="1020">
        <f t="shared" si="0"/>
        <v>64</v>
      </c>
      <c r="F20" s="1020"/>
      <c r="G20" s="1026">
        <f>Consolidated!$F22</f>
        <v>3.609</v>
      </c>
      <c r="H20" s="1026">
        <f>Consolidated!$H$9</f>
        <v>1</v>
      </c>
      <c r="I20" s="539">
        <f t="shared" si="3"/>
        <v>230.976</v>
      </c>
      <c r="J20" s="540">
        <f t="shared" si="1"/>
        <v>1284995.0900000001</v>
      </c>
      <c r="M20" s="2"/>
      <c r="O20" s="2" t="str">
        <f t="shared" si="2"/>
        <v>254</v>
      </c>
      <c r="R20" s="946" t="s">
        <v>28</v>
      </c>
      <c r="S20" s="946"/>
      <c r="T20" s="944">
        <f t="shared" si="4"/>
        <v>64</v>
      </c>
      <c r="U20" s="944"/>
      <c r="V20" s="950">
        <v>1</v>
      </c>
      <c r="W20" s="950"/>
      <c r="X20" s="145">
        <f t="shared" si="5"/>
        <v>64</v>
      </c>
      <c r="Y20" s="212">
        <f t="shared" si="7"/>
        <v>356052.95</v>
      </c>
    </row>
    <row r="21" spans="1:25" ht="15" customHeight="1" x14ac:dyDescent="0.25">
      <c r="A21" s="916" t="s">
        <v>29</v>
      </c>
      <c r="B21" s="916"/>
      <c r="C21" s="392">
        <f>SUMIFS('Surv2-3'!D:D,'Surv2-3'!$A:$A,$I$2,'Surv2-3'!$B:$B,$O21)</f>
        <v>12.5</v>
      </c>
      <c r="D21" s="392">
        <f>SUMIFS('Surv2-3'!K:K,'Surv2-3'!$H:$H,$I$2,'Surv2-3'!$I:$I,$O21)</f>
        <v>18</v>
      </c>
      <c r="E21" s="1020">
        <f t="shared" si="0"/>
        <v>30.5</v>
      </c>
      <c r="F21" s="1020"/>
      <c r="G21" s="1026">
        <f>Consolidated!$F23</f>
        <v>6.0640000000000001</v>
      </c>
      <c r="H21" s="1026">
        <f>Consolidated!$H$9</f>
        <v>1</v>
      </c>
      <c r="I21" s="539">
        <f t="shared" si="3"/>
        <v>184.952</v>
      </c>
      <c r="J21" s="540">
        <f t="shared" si="1"/>
        <v>1028948.51</v>
      </c>
      <c r="M21" s="2"/>
      <c r="O21" s="2" t="str">
        <f t="shared" si="2"/>
        <v>255</v>
      </c>
      <c r="R21" s="946" t="s">
        <v>29</v>
      </c>
      <c r="S21" s="946"/>
      <c r="T21" s="944">
        <f t="shared" si="4"/>
        <v>30.5</v>
      </c>
      <c r="U21" s="944"/>
      <c r="V21" s="950">
        <v>1</v>
      </c>
      <c r="W21" s="950"/>
      <c r="X21" s="145">
        <f t="shared" si="5"/>
        <v>30.5</v>
      </c>
      <c r="Y21" s="212">
        <f t="shared" si="7"/>
        <v>169681.48</v>
      </c>
    </row>
    <row r="22" spans="1:25" ht="15" customHeight="1" x14ac:dyDescent="0.25">
      <c r="A22" s="916" t="s">
        <v>30</v>
      </c>
      <c r="B22" s="916"/>
      <c r="C22" s="392">
        <f>SUMIFS('Surv2-3'!E:E,'Surv2-3'!$A:$A,$I$2,'Surv2-3'!$B:$B,$O22)</f>
        <v>18.5</v>
      </c>
      <c r="D22" s="392">
        <f>SUMIFS('Surv2-3'!L:L,'Surv2-3'!$H:$H,$I$2,'Surv2-3'!$I:$I,$O22)</f>
        <v>18</v>
      </c>
      <c r="E22" s="1020">
        <f t="shared" si="0"/>
        <v>36.5</v>
      </c>
      <c r="F22" s="1020"/>
      <c r="G22" s="1026">
        <f>Consolidated!$F24</f>
        <v>6.0640000000000001</v>
      </c>
      <c r="H22" s="1026">
        <f>Consolidated!$H$9</f>
        <v>1</v>
      </c>
      <c r="I22" s="539">
        <f t="shared" si="3"/>
        <v>221.33600000000001</v>
      </c>
      <c r="J22" s="540">
        <f t="shared" si="1"/>
        <v>1231364.6100000001</v>
      </c>
      <c r="M22" s="2"/>
      <c r="O22" s="2" t="str">
        <f t="shared" si="2"/>
        <v>255</v>
      </c>
      <c r="R22" s="946" t="s">
        <v>30</v>
      </c>
      <c r="S22" s="946"/>
      <c r="T22" s="944">
        <f t="shared" si="4"/>
        <v>36.5</v>
      </c>
      <c r="U22" s="944"/>
      <c r="V22" s="950">
        <v>1</v>
      </c>
      <c r="W22" s="950"/>
      <c r="X22" s="145">
        <f t="shared" si="5"/>
        <v>36.5</v>
      </c>
      <c r="Y22" s="212">
        <f t="shared" si="7"/>
        <v>203061.45</v>
      </c>
    </row>
    <row r="23" spans="1:25" ht="15" customHeight="1" x14ac:dyDescent="0.25">
      <c r="A23" s="916" t="s">
        <v>31</v>
      </c>
      <c r="B23" s="916"/>
      <c r="C23" s="392">
        <f>SUMIFS('Surv2-3'!F:F,'Surv2-3'!$A:$A,$I$2,'Surv2-3'!$B:$B,$O23)</f>
        <v>12.5</v>
      </c>
      <c r="D23" s="392">
        <f>SUMIFS('Surv2-3'!M:M,'Surv2-3'!$H:$H,$I$2,'Surv2-3'!$I:$I,$O23)</f>
        <v>11</v>
      </c>
      <c r="E23" s="1020">
        <f t="shared" si="0"/>
        <v>23.5</v>
      </c>
      <c r="F23" s="1020"/>
      <c r="G23" s="1026">
        <f>Consolidated!$F25</f>
        <v>6.0640000000000001</v>
      </c>
      <c r="H23" s="1026">
        <f>Consolidated!$H$9</f>
        <v>1</v>
      </c>
      <c r="I23" s="539">
        <f t="shared" si="3"/>
        <v>142.50399999999999</v>
      </c>
      <c r="J23" s="540">
        <f t="shared" si="1"/>
        <v>792796.39</v>
      </c>
      <c r="M23" s="2"/>
      <c r="O23" s="2" t="str">
        <f t="shared" si="2"/>
        <v>255</v>
      </c>
      <c r="R23" s="946" t="s">
        <v>31</v>
      </c>
      <c r="S23" s="946"/>
      <c r="T23" s="944">
        <f t="shared" si="4"/>
        <v>23.5</v>
      </c>
      <c r="U23" s="944"/>
      <c r="V23" s="950">
        <v>1</v>
      </c>
      <c r="W23" s="950"/>
      <c r="X23" s="145">
        <f t="shared" si="5"/>
        <v>23.5</v>
      </c>
      <c r="Y23" s="212">
        <f t="shared" si="7"/>
        <v>130738.19</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v>
      </c>
      <c r="D25" s="392">
        <f>SUMIFS('Surv2-3'!L:L,'Surv2-3'!$H:$H,$I$2,'Surv2-3'!$I:$I,$O25)</f>
        <v>0</v>
      </c>
      <c r="E25" s="1020">
        <f t="shared" si="0"/>
        <v>0</v>
      </c>
      <c r="F25" s="1020"/>
      <c r="G25" s="1026">
        <f>Consolidated!$F27</f>
        <v>1.165</v>
      </c>
      <c r="H25" s="1026">
        <f>Consolidated!$H$9</f>
        <v>1</v>
      </c>
      <c r="I25" s="539">
        <f t="shared" si="3"/>
        <v>0</v>
      </c>
      <c r="J25" s="540">
        <f t="shared" si="1"/>
        <v>0</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190.65</v>
      </c>
      <c r="D28" s="822">
        <f>SUM(D12:D27)</f>
        <v>189.42000000000002</v>
      </c>
      <c r="E28" s="1025">
        <f>SUM(E12:E27)</f>
        <v>380.07</v>
      </c>
      <c r="F28" s="1025"/>
      <c r="G28" s="1020"/>
      <c r="H28" s="1020"/>
      <c r="I28" s="23">
        <f>SUM(I12:I27)</f>
        <v>1381.0944999999999</v>
      </c>
      <c r="J28" s="116">
        <f>SUM(J12:J27)</f>
        <v>7683480.7299999995</v>
      </c>
      <c r="M28" s="2"/>
      <c r="R28" s="963" t="s">
        <v>36</v>
      </c>
      <c r="S28" s="963"/>
      <c r="T28" s="964">
        <f>SUM(T12:T27)</f>
        <v>380.07</v>
      </c>
      <c r="U28" s="964"/>
      <c r="V28" s="965"/>
      <c r="W28" s="965"/>
      <c r="X28" s="147">
        <f>SUM(X12:X27)</f>
        <v>380.07</v>
      </c>
      <c r="Y28" s="212">
        <f>SUM(Y12:Y27)</f>
        <v>2114453.81</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1381.0944999999999</v>
      </c>
      <c r="H33" s="1020" t="s">
        <v>45</v>
      </c>
      <c r="I33" s="1020"/>
      <c r="J33" s="32">
        <f>SUM(J32,J28)</f>
        <v>7683480.7299999995</v>
      </c>
      <c r="M33" s="2"/>
      <c r="R33" s="969" t="s">
        <v>44</v>
      </c>
      <c r="S33" s="969"/>
      <c r="T33" s="969"/>
      <c r="U33" s="969"/>
      <c r="V33" s="153">
        <f>V32+X28</f>
        <v>380.07</v>
      </c>
      <c r="W33" s="965" t="s">
        <v>45</v>
      </c>
      <c r="X33" s="965"/>
      <c r="Y33" s="154">
        <f>SUM(Y32,Y28)</f>
        <v>2114453.81</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6953040.9000000004</v>
      </c>
      <c r="H36" s="37" t="s">
        <v>49</v>
      </c>
      <c r="I36" s="38">
        <v>6.6699999999999995E-2</v>
      </c>
      <c r="J36" s="120">
        <f>ROUND(G36*I36,2)</f>
        <v>463767.83</v>
      </c>
      <c r="K36" s="39"/>
      <c r="L36" s="33"/>
      <c r="M36" s="33"/>
      <c r="N36" s="33"/>
      <c r="O36" s="31"/>
      <c r="P36" s="34"/>
      <c r="Q36" s="34"/>
      <c r="R36" s="946" t="s">
        <v>47</v>
      </c>
      <c r="S36" s="946"/>
      <c r="T36" s="946"/>
      <c r="U36" s="158"/>
      <c r="V36" s="161">
        <v>2119627.7000000002</v>
      </c>
      <c r="W36" s="162" t="s">
        <v>49</v>
      </c>
      <c r="X36" s="163">
        <v>6.6699999999999995E-2</v>
      </c>
      <c r="Y36" s="212">
        <f>J36</f>
        <v>463767.83</v>
      </c>
    </row>
    <row r="37" spans="1:25" ht="20.25" customHeight="1" x14ac:dyDescent="0.25">
      <c r="A37" s="916" t="s">
        <v>50</v>
      </c>
      <c r="B37" s="916"/>
      <c r="C37" s="916"/>
      <c r="D37" s="916"/>
      <c r="E37" s="916"/>
      <c r="F37" s="36" t="s">
        <v>48</v>
      </c>
      <c r="G37" s="121">
        <v>6953040.9000000004</v>
      </c>
      <c r="H37" s="37" t="s">
        <v>49</v>
      </c>
      <c r="I37" s="38">
        <v>5.4000000000000003E-3</v>
      </c>
      <c r="J37" s="120">
        <f>ROUND(G37*I37,2)</f>
        <v>37546.42</v>
      </c>
      <c r="K37" s="39"/>
      <c r="L37" s="33"/>
      <c r="M37" s="33"/>
      <c r="N37" s="33"/>
      <c r="O37" s="31"/>
      <c r="P37" s="34"/>
      <c r="Q37" s="34"/>
      <c r="R37" s="946" t="s">
        <v>50</v>
      </c>
      <c r="S37" s="946"/>
      <c r="T37" s="946"/>
      <c r="U37" s="158"/>
      <c r="V37" s="161">
        <v>2119627.7000000002</v>
      </c>
      <c r="W37" s="162" t="s">
        <v>49</v>
      </c>
      <c r="X37" s="163">
        <v>5.4000000000000003E-3</v>
      </c>
      <c r="Y37" s="212">
        <f>J37</f>
        <v>37546.42</v>
      </c>
    </row>
    <row r="38" spans="1:25" ht="20.25" customHeight="1" x14ac:dyDescent="0.25">
      <c r="A38" s="952" t="s">
        <v>51</v>
      </c>
      <c r="B38" s="952"/>
      <c r="C38" s="952"/>
      <c r="D38" s="952"/>
      <c r="E38" s="952"/>
      <c r="F38" s="36" t="s">
        <v>52</v>
      </c>
      <c r="G38" s="40"/>
      <c r="H38" s="37"/>
      <c r="I38" s="41"/>
      <c r="J38" s="120">
        <f>SUM(J36:J37)</f>
        <v>501314.25</v>
      </c>
      <c r="K38" s="39"/>
      <c r="L38" s="33"/>
      <c r="M38" s="33"/>
      <c r="N38" s="33"/>
      <c r="O38" s="31"/>
      <c r="P38" s="34"/>
      <c r="Q38" s="34"/>
      <c r="R38" s="955" t="s">
        <v>51</v>
      </c>
      <c r="S38" s="955"/>
      <c r="T38" s="955"/>
      <c r="U38" s="158" t="s">
        <v>52</v>
      </c>
      <c r="V38" s="164"/>
      <c r="W38" s="162"/>
      <c r="X38" s="165"/>
      <c r="Y38" s="212">
        <f>Y36+Y37</f>
        <v>501314.25</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7.5</v>
      </c>
      <c r="D41" s="737">
        <f>SUMIFS('Surv2-3'!K:K,'Surv2-3'!$H:$H,$I$2,'Surv2-3'!$I:$I,$H41-140)</f>
        <v>5</v>
      </c>
      <c r="E41" s="1013">
        <f t="shared" ref="E41:E49" si="8">IF($D$50=0,C41*2,C41+D41)</f>
        <v>12.5</v>
      </c>
      <c r="F41" s="1013"/>
      <c r="G41" s="37" t="s">
        <v>59</v>
      </c>
      <c r="H41" s="37">
        <v>251</v>
      </c>
      <c r="I41" s="125">
        <f>Consolidated!$H59</f>
        <v>1047</v>
      </c>
      <c r="J41" s="126">
        <f t="shared" ref="J41:J49" si="9">ROUND(E41*I41,2)</f>
        <v>13087.5</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12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126">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11</v>
      </c>
      <c r="D45" s="824">
        <f>SUMIFS('Surv2-3'!L:L,'Surv2-3'!$H:$H,$I$2,'Surv2-3'!$I:$I,$H45-140)</f>
        <v>10.53</v>
      </c>
      <c r="E45" s="1013">
        <f t="shared" si="8"/>
        <v>21.53</v>
      </c>
      <c r="F45" s="1013"/>
      <c r="G45" s="47" t="s">
        <v>60</v>
      </c>
      <c r="H45" s="37">
        <v>252</v>
      </c>
      <c r="I45" s="125">
        <f>Consolidated!$H63</f>
        <v>3506</v>
      </c>
      <c r="J45" s="126">
        <f t="shared" si="9"/>
        <v>75484.179999999993</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12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12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12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23.15</v>
      </c>
      <c r="D49" s="824">
        <f>SUMIFS('Surv2-3'!M:M,'Surv2-3'!$H:$H,$I$2,'Surv2-3'!$I:$I,$H49-140)</f>
        <v>23.9</v>
      </c>
      <c r="E49" s="1014">
        <f t="shared" si="8"/>
        <v>47.05</v>
      </c>
      <c r="F49" s="1014"/>
      <c r="G49" s="47" t="s">
        <v>61</v>
      </c>
      <c r="H49" s="37">
        <v>253</v>
      </c>
      <c r="I49" s="125">
        <f>Consolidated!$H67</f>
        <v>6685</v>
      </c>
      <c r="J49" s="126">
        <f t="shared" si="9"/>
        <v>314529.25</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41.65</v>
      </c>
      <c r="D50" s="825">
        <f>SUM(D41:D49)</f>
        <v>39.43</v>
      </c>
      <c r="E50" s="1015">
        <f>SUM(E41:E49)</f>
        <v>81.08</v>
      </c>
      <c r="F50" s="1015"/>
      <c r="G50" s="970" t="s">
        <v>63</v>
      </c>
      <c r="H50" s="970"/>
      <c r="I50" s="970"/>
      <c r="J50" s="220">
        <f>SUM(J41:J49)</f>
        <v>403100.93</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380.07</v>
      </c>
      <c r="U52" s="173" t="s">
        <v>66</v>
      </c>
      <c r="V52" s="174"/>
      <c r="W52" s="175" t="s">
        <v>67</v>
      </c>
      <c r="X52" s="977">
        <f>I53</f>
        <v>207716.69</v>
      </c>
      <c r="Y52" s="977"/>
    </row>
    <row r="53" spans="1:25" ht="16.5" customHeight="1" x14ac:dyDescent="0.25">
      <c r="A53" s="953" t="s">
        <v>65</v>
      </c>
      <c r="B53" s="953"/>
      <c r="C53" s="51"/>
      <c r="D53" s="51"/>
      <c r="E53" s="48">
        <f>E28</f>
        <v>380.07</v>
      </c>
      <c r="F53" s="49" t="s">
        <v>66</v>
      </c>
      <c r="G53" s="3"/>
      <c r="H53" s="50" t="s">
        <v>67</v>
      </c>
      <c r="I53" s="1051">
        <f>Consolidated!H$71</f>
        <v>207716.69</v>
      </c>
      <c r="J53" s="1051"/>
      <c r="M53" s="2"/>
      <c r="R53" s="176"/>
      <c r="S53" s="177"/>
      <c r="T53" s="159"/>
      <c r="U53" s="159"/>
      <c r="V53" s="159"/>
      <c r="W53" s="178" t="s">
        <v>68</v>
      </c>
      <c r="X53" s="978">
        <f>ROUND(T52/X52,6)</f>
        <v>1.83E-3</v>
      </c>
      <c r="Y53" s="978"/>
    </row>
    <row r="54" spans="1:25" ht="22.5" customHeight="1" x14ac:dyDescent="0.25">
      <c r="A54" s="51"/>
      <c r="B54" s="52"/>
      <c r="C54" s="52"/>
      <c r="D54" s="52"/>
      <c r="H54" s="53" t="s">
        <v>68</v>
      </c>
      <c r="I54" s="1004">
        <f>IFERROR(ROUND(E53/I53,6),0)</f>
        <v>1.83E-3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380.07</v>
      </c>
      <c r="U55" s="173" t="s">
        <v>66</v>
      </c>
      <c r="V55" s="174"/>
      <c r="W55" s="175" t="s">
        <v>71</v>
      </c>
      <c r="X55" s="977">
        <f>I56</f>
        <v>221131.37000000002</v>
      </c>
      <c r="Y55" s="977"/>
    </row>
    <row r="56" spans="1:25" ht="16.5" customHeight="1" x14ac:dyDescent="0.25">
      <c r="A56" s="953" t="s">
        <v>70</v>
      </c>
      <c r="B56" s="953"/>
      <c r="C56" s="51"/>
      <c r="D56" s="51"/>
      <c r="E56" s="48">
        <f>G33</f>
        <v>1381.0944999999999</v>
      </c>
      <c r="F56" s="49" t="s">
        <v>66</v>
      </c>
      <c r="G56" s="3"/>
      <c r="H56" s="50" t="s">
        <v>71</v>
      </c>
      <c r="I56" s="1051">
        <f>Consolidated!H$74</f>
        <v>221131.37000000002</v>
      </c>
      <c r="J56" s="1051"/>
      <c r="M56" s="2"/>
      <c r="R56" s="176"/>
      <c r="S56" s="159"/>
      <c r="T56" s="159"/>
      <c r="U56" s="159"/>
      <c r="V56" s="159"/>
      <c r="W56" s="178" t="s">
        <v>68</v>
      </c>
      <c r="X56" s="978">
        <f>ROUND(T55/X55,6)</f>
        <v>1.719E-3</v>
      </c>
      <c r="Y56" s="978"/>
    </row>
    <row r="57" spans="1:25" ht="18.75" customHeight="1" x14ac:dyDescent="0.25">
      <c r="A57" s="51"/>
      <c r="H57" s="53" t="s">
        <v>68</v>
      </c>
      <c r="I57" s="1004">
        <f>IFERROR(ROUND(E56/I56,6),0)</f>
        <v>6.2459999999999998E-3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380.07</v>
      </c>
      <c r="U58" s="173" t="s">
        <v>66</v>
      </c>
      <c r="V58" s="976" t="s">
        <v>74</v>
      </c>
      <c r="W58" s="976"/>
      <c r="X58" s="977">
        <f>I59</f>
        <v>178668.19</v>
      </c>
      <c r="Y58" s="977"/>
    </row>
    <row r="59" spans="1:25" ht="18.75" customHeight="1" x14ac:dyDescent="0.25">
      <c r="A59" s="953" t="s">
        <v>73</v>
      </c>
      <c r="B59" s="953"/>
      <c r="C59" s="51"/>
      <c r="D59" s="51"/>
      <c r="E59" s="48">
        <f>E28</f>
        <v>380.07</v>
      </c>
      <c r="F59" s="49" t="s">
        <v>66</v>
      </c>
      <c r="G59" s="1046" t="s">
        <v>74</v>
      </c>
      <c r="H59" s="1046"/>
      <c r="I59" s="1051">
        <f>Consolidated!H$77</f>
        <v>178668.19</v>
      </c>
      <c r="J59" s="1051"/>
      <c r="M59" s="2"/>
      <c r="R59" s="176"/>
      <c r="S59" s="159"/>
      <c r="T59" s="159"/>
      <c r="U59" s="159"/>
      <c r="V59" s="159"/>
      <c r="W59" s="178" t="s">
        <v>68</v>
      </c>
      <c r="X59" s="978">
        <f>ROUND(T58/X58,6)</f>
        <v>2.127E-3</v>
      </c>
      <c r="Y59" s="978"/>
    </row>
    <row r="60" spans="1:25" ht="18" customHeight="1" x14ac:dyDescent="0.25">
      <c r="A60" s="51"/>
      <c r="H60" s="53" t="s">
        <v>68</v>
      </c>
      <c r="I60" s="1004">
        <f>IFERROR(ROUND(E59/I59,6),0)</f>
        <v>2.127E-3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380.07</v>
      </c>
      <c r="U61" s="173" t="s">
        <v>66</v>
      </c>
      <c r="V61" s="976" t="s">
        <v>76</v>
      </c>
      <c r="W61" s="976"/>
      <c r="X61" s="977">
        <f>I62</f>
        <v>207376.94</v>
      </c>
      <c r="Y61" s="977"/>
    </row>
    <row r="62" spans="1:25" ht="30.75" customHeight="1" x14ac:dyDescent="0.25">
      <c r="A62" s="953" t="s">
        <v>73</v>
      </c>
      <c r="B62" s="953"/>
      <c r="C62" s="51"/>
      <c r="D62" s="51"/>
      <c r="E62" s="48">
        <f>E28</f>
        <v>380.07</v>
      </c>
      <c r="F62" s="49" t="s">
        <v>66</v>
      </c>
      <c r="G62" s="1046" t="s">
        <v>76</v>
      </c>
      <c r="H62" s="1046"/>
      <c r="I62" s="1051">
        <f>Consolidated!H$80</f>
        <v>207376.94</v>
      </c>
      <c r="J62" s="1051"/>
      <c r="M62" s="2"/>
      <c r="R62" s="176"/>
      <c r="S62" s="159"/>
      <c r="T62" s="159"/>
      <c r="U62" s="159"/>
      <c r="V62" s="159"/>
      <c r="W62" s="178" t="s">
        <v>68</v>
      </c>
      <c r="X62" s="978">
        <f>ROUND(T61/X61,6)</f>
        <v>1.833E-3</v>
      </c>
      <c r="Y62" s="978"/>
    </row>
    <row r="63" spans="1:25" ht="19.5" customHeight="1" x14ac:dyDescent="0.25">
      <c r="A63" s="51"/>
      <c r="H63" s="53" t="s">
        <v>68</v>
      </c>
      <c r="I63" s="1004">
        <f>IFERROR(ROUND(E62/I62,6),0)</f>
        <v>1.833E-3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380.07</v>
      </c>
      <c r="U64" s="173" t="s">
        <v>66</v>
      </c>
      <c r="V64" s="976" t="s">
        <v>161</v>
      </c>
      <c r="W64" s="976"/>
      <c r="X64" s="977">
        <f>I65</f>
        <v>178328.44</v>
      </c>
      <c r="Y64" s="977"/>
    </row>
    <row r="65" spans="1:26" ht="49.5" customHeight="1" x14ac:dyDescent="0.25">
      <c r="A65" s="953" t="s">
        <v>73</v>
      </c>
      <c r="B65" s="953"/>
      <c r="C65" s="51"/>
      <c r="D65" s="51"/>
      <c r="E65" s="48">
        <f>E28</f>
        <v>380.07</v>
      </c>
      <c r="F65" s="49" t="s">
        <v>66</v>
      </c>
      <c r="G65" s="1046" t="s">
        <v>78</v>
      </c>
      <c r="H65" s="1046"/>
      <c r="I65" s="1051">
        <f>Consolidated!H$83</f>
        <v>178328.44</v>
      </c>
      <c r="J65" s="1051"/>
      <c r="M65" s="2"/>
      <c r="R65" s="179"/>
      <c r="S65" s="159"/>
      <c r="T65" s="159"/>
      <c r="U65" s="159"/>
      <c r="V65" s="159"/>
      <c r="W65" s="178" t="s">
        <v>68</v>
      </c>
      <c r="X65" s="978">
        <f>ROUND(T64/X64,6)</f>
        <v>2.1310000000000001E-3</v>
      </c>
      <c r="Y65" s="978"/>
    </row>
    <row r="66" spans="1:26" ht="19.5" customHeight="1" x14ac:dyDescent="0.25">
      <c r="A66" s="51"/>
      <c r="H66" s="53" t="s">
        <v>68</v>
      </c>
      <c r="I66" s="1004">
        <f>IFERROR(ROUND(E65/I65,6),0)</f>
        <v>2.1310000000000001E-3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1.833E-3</v>
      </c>
      <c r="Y67" s="215">
        <f>ROUND(V67*X67,2)</f>
        <v>83604.02</v>
      </c>
    </row>
    <row r="68" spans="1:26" ht="30.75" customHeight="1" x14ac:dyDescent="0.25">
      <c r="A68" s="1005" t="s">
        <v>79</v>
      </c>
      <c r="B68" s="1005"/>
      <c r="C68" s="1005"/>
      <c r="D68" s="1005"/>
      <c r="E68" s="1005"/>
      <c r="F68" s="36" t="s">
        <v>80</v>
      </c>
      <c r="G68" s="221">
        <f>Consolidated!F$86</f>
        <v>45610484</v>
      </c>
      <c r="H68" s="37" t="s">
        <v>81</v>
      </c>
      <c r="I68" s="41">
        <f>I63</f>
        <v>1.833E-3</v>
      </c>
      <c r="J68" s="127">
        <f>ROUND(G68*I68,2)</f>
        <v>83604.02</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1.83E-3</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1.83E-3</v>
      </c>
      <c r="J70" s="127">
        <f>ROUND(G70*I70,2)</f>
        <v>0</v>
      </c>
      <c r="M70" s="2"/>
      <c r="R70" s="955" t="s">
        <v>163</v>
      </c>
      <c r="S70" s="955"/>
      <c r="T70" s="955"/>
      <c r="U70" s="158"/>
      <c r="V70" s="182">
        <f>G71</f>
        <v>18959906</v>
      </c>
      <c r="W70" s="162" t="s">
        <v>81</v>
      </c>
      <c r="X70" s="165">
        <f>X65</f>
        <v>2.1310000000000001E-3</v>
      </c>
      <c r="Y70" s="212">
        <f t="shared" si="11"/>
        <v>40403.56</v>
      </c>
    </row>
    <row r="71" spans="1:26" ht="19.5" customHeight="1" x14ac:dyDescent="0.25">
      <c r="A71" s="952" t="s">
        <v>85</v>
      </c>
      <c r="B71" s="952"/>
      <c r="C71" s="952"/>
      <c r="D71" s="952"/>
      <c r="E71" s="952"/>
      <c r="F71" s="36" t="s">
        <v>86</v>
      </c>
      <c r="G71" s="221">
        <f>Consolidated!F$91</f>
        <v>18959906</v>
      </c>
      <c r="H71" s="37" t="s">
        <v>81</v>
      </c>
      <c r="I71" s="41">
        <f>I66</f>
        <v>2.1310000000000001E-3</v>
      </c>
      <c r="J71" s="127">
        <f>ROUND(G71*I71,2)</f>
        <v>40403.56</v>
      </c>
      <c r="M71" s="2"/>
      <c r="R71" s="166" t="s">
        <v>164</v>
      </c>
      <c r="S71" s="166"/>
      <c r="T71" s="166"/>
      <c r="U71" s="158"/>
      <c r="V71" s="160">
        <f>G72</f>
        <v>11308391</v>
      </c>
      <c r="W71" s="162" t="s">
        <v>81</v>
      </c>
      <c r="X71" s="165">
        <f>X59</f>
        <v>2.127E-3</v>
      </c>
      <c r="Y71" s="212">
        <f t="shared" si="11"/>
        <v>24052.95</v>
      </c>
    </row>
    <row r="72" spans="1:26" ht="19.5" customHeight="1" x14ac:dyDescent="0.25">
      <c r="A72" s="42" t="s">
        <v>87</v>
      </c>
      <c r="B72" s="42"/>
      <c r="C72" s="42"/>
      <c r="D72" s="42"/>
      <c r="E72" s="42"/>
      <c r="F72" s="36" t="s">
        <v>88</v>
      </c>
      <c r="G72" s="221">
        <f>Consolidated!F$93</f>
        <v>11308391</v>
      </c>
      <c r="H72" s="37" t="s">
        <v>81</v>
      </c>
      <c r="I72" s="41">
        <f>I60</f>
        <v>2.127E-3</v>
      </c>
      <c r="J72" s="127">
        <f>ROUND(G72*I72,2)</f>
        <v>24052.95</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20" t="s">
        <v>101</v>
      </c>
      <c r="B84" s="920"/>
      <c r="C84" s="920"/>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6.2459999999999998E-3</v>
      </c>
      <c r="J85" s="127">
        <f>ROUND(G85*I85,2)</f>
        <v>1679026.47</v>
      </c>
      <c r="K85" s="70"/>
      <c r="L85" s="70"/>
      <c r="M85" s="71"/>
      <c r="N85" s="70"/>
      <c r="O85" s="70"/>
      <c r="P85" s="70"/>
      <c r="Q85" s="70"/>
      <c r="R85" s="955" t="s">
        <v>168</v>
      </c>
      <c r="S85" s="955"/>
      <c r="T85" s="955"/>
      <c r="U85" s="158"/>
      <c r="V85" s="160">
        <f>G85</f>
        <v>268816278</v>
      </c>
      <c r="W85" s="162" t="s">
        <v>81</v>
      </c>
      <c r="X85" s="165">
        <f>X56</f>
        <v>1.719E-3</v>
      </c>
      <c r="Y85" s="212">
        <f t="shared" ref="Y85:Y87" si="12">ROUND(V85*X85,2)</f>
        <v>462095.18</v>
      </c>
    </row>
    <row r="86" spans="1:26" ht="14.25" customHeight="1" x14ac:dyDescent="0.25">
      <c r="A86" s="952" t="s">
        <v>104</v>
      </c>
      <c r="B86" s="952"/>
      <c r="C86" s="952"/>
      <c r="D86" s="952"/>
      <c r="E86" s="952"/>
      <c r="F86" s="36" t="s">
        <v>103</v>
      </c>
      <c r="G86" s="128">
        <v>0</v>
      </c>
      <c r="H86" s="37" t="s">
        <v>81</v>
      </c>
      <c r="I86" s="41">
        <f>I57</f>
        <v>6.2459999999999998E-3</v>
      </c>
      <c r="J86" s="127">
        <f>ROUND(G86*I86,2)</f>
        <v>0</v>
      </c>
      <c r="K86" s="70"/>
      <c r="L86" s="71"/>
      <c r="M86" s="76"/>
      <c r="N86" s="76"/>
      <c r="O86" s="76"/>
      <c r="P86" s="76"/>
      <c r="Q86" s="70"/>
      <c r="R86" s="955" t="s">
        <v>169</v>
      </c>
      <c r="S86" s="955"/>
      <c r="T86" s="955"/>
      <c r="U86" s="158"/>
      <c r="V86" s="192">
        <f>G86</f>
        <v>0</v>
      </c>
      <c r="W86" s="162" t="s">
        <v>81</v>
      </c>
      <c r="X86" s="165">
        <f>X56</f>
        <v>1.719E-3</v>
      </c>
      <c r="Y86" s="212">
        <f t="shared" si="12"/>
        <v>0</v>
      </c>
    </row>
    <row r="87" spans="1:26" ht="18" customHeight="1" x14ac:dyDescent="0.25">
      <c r="A87" s="952" t="s">
        <v>105</v>
      </c>
      <c r="B87" s="952"/>
      <c r="C87" s="952"/>
      <c r="D87" s="952"/>
      <c r="E87" s="952"/>
      <c r="F87" s="36" t="s">
        <v>84</v>
      </c>
      <c r="G87" s="128">
        <v>0</v>
      </c>
      <c r="H87" s="37" t="s">
        <v>81</v>
      </c>
      <c r="I87" s="41">
        <f>I54</f>
        <v>1.83E-3</v>
      </c>
      <c r="J87" s="62">
        <f>ROUND(G87*I87,2)</f>
        <v>0</v>
      </c>
      <c r="K87" s="77"/>
      <c r="L87" s="70"/>
      <c r="M87" s="71"/>
      <c r="N87" s="70"/>
      <c r="O87" s="70"/>
      <c r="P87" s="70"/>
      <c r="Q87" s="70"/>
      <c r="R87" s="166" t="s">
        <v>170</v>
      </c>
      <c r="S87" s="166"/>
      <c r="T87" s="166"/>
      <c r="U87" s="158"/>
      <c r="V87" s="192">
        <f>G87</f>
        <v>0</v>
      </c>
      <c r="W87" s="162" t="s">
        <v>81</v>
      </c>
      <c r="X87" s="165">
        <f>X53</f>
        <v>1.83E-3</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498.86689999999999</v>
      </c>
      <c r="C90" s="80"/>
      <c r="D90" s="921">
        <f>I6</f>
        <v>1.0355000000000001</v>
      </c>
      <c r="E90" s="921"/>
      <c r="F90" s="921"/>
      <c r="G90" s="113">
        <f>Consolidated!F$118</f>
        <v>958.42</v>
      </c>
      <c r="H90" s="47" t="s">
        <v>68</v>
      </c>
      <c r="I90" s="130">
        <f>ROUND(B90*D90*G90,2)</f>
        <v>495097.42</v>
      </c>
      <c r="J90" s="81"/>
      <c r="K90" s="70"/>
      <c r="L90" s="70"/>
      <c r="M90" s="71"/>
      <c r="N90" s="70"/>
      <c r="O90" s="70"/>
      <c r="P90" s="70"/>
      <c r="Q90" s="70"/>
      <c r="R90" s="155" t="s">
        <v>110</v>
      </c>
      <c r="S90" s="193">
        <f>X12+X13+X18+X21+X24</f>
        <v>126.49</v>
      </c>
      <c r="T90" s="984">
        <f>X6</f>
        <v>1.0355000000000001</v>
      </c>
      <c r="U90" s="984"/>
      <c r="V90" s="113">
        <f>G90</f>
        <v>958.42</v>
      </c>
      <c r="W90" s="171" t="s">
        <v>68</v>
      </c>
      <c r="X90" s="216">
        <f>ROUND(S90*T90*V90,2)</f>
        <v>125534.23</v>
      </c>
      <c r="Y90" s="194"/>
    </row>
    <row r="91" spans="1:26" ht="21" customHeight="1" x14ac:dyDescent="0.25">
      <c r="A91" s="82" t="s">
        <v>60</v>
      </c>
      <c r="B91" s="80">
        <f>I14+I15+I19+I22+I25</f>
        <v>463.01499999999999</v>
      </c>
      <c r="C91" s="80"/>
      <c r="D91" s="921">
        <f>I6</f>
        <v>1.0355000000000001</v>
      </c>
      <c r="E91" s="921"/>
      <c r="F91" s="921"/>
      <c r="G91" s="113">
        <f>Consolidated!F$119</f>
        <v>915.09</v>
      </c>
      <c r="H91" s="47" t="s">
        <v>68</v>
      </c>
      <c r="I91" s="129">
        <f>ROUND(B91*D91*G91,2)</f>
        <v>438741.76000000001</v>
      </c>
      <c r="K91" s="70"/>
      <c r="L91" s="70"/>
      <c r="M91" s="71"/>
      <c r="N91" s="70"/>
      <c r="O91" s="70"/>
      <c r="P91" s="70"/>
      <c r="Q91" s="70"/>
      <c r="R91" s="195" t="s">
        <v>60</v>
      </c>
      <c r="S91" s="193">
        <f>X14+X15+X19+X22+X25</f>
        <v>119.03</v>
      </c>
      <c r="T91" s="984">
        <f>X6</f>
        <v>1.0355000000000001</v>
      </c>
      <c r="U91" s="984"/>
      <c r="V91" s="113">
        <f>G91</f>
        <v>915.09</v>
      </c>
      <c r="W91" s="171" t="s">
        <v>68</v>
      </c>
      <c r="X91" s="216">
        <f>ROUND(S91*T91*V91,2)</f>
        <v>112789.93</v>
      </c>
      <c r="Y91" s="159"/>
    </row>
    <row r="92" spans="1:26" ht="19.5" customHeight="1" thickBot="1" x14ac:dyDescent="0.3">
      <c r="A92" s="83" t="s">
        <v>61</v>
      </c>
      <c r="B92" s="80">
        <f>I16+I17+I20+I23+I26+I27</f>
        <v>419.21259999999995</v>
      </c>
      <c r="C92" s="80"/>
      <c r="D92" s="921">
        <f>I6</f>
        <v>1.0355000000000001</v>
      </c>
      <c r="E92" s="921"/>
      <c r="F92" s="921"/>
      <c r="G92" s="113">
        <f>Consolidated!F$120</f>
        <v>917.3</v>
      </c>
      <c r="H92" s="47" t="s">
        <v>68</v>
      </c>
      <c r="I92" s="537">
        <f>ROUND(B92*D92*G92,2)</f>
        <v>398195.02</v>
      </c>
      <c r="K92" s="70"/>
      <c r="L92" s="70"/>
      <c r="M92" s="71"/>
      <c r="N92" s="70"/>
      <c r="O92" s="70"/>
      <c r="P92" s="70"/>
      <c r="Q92" s="70"/>
      <c r="R92" s="196" t="s">
        <v>61</v>
      </c>
      <c r="S92" s="197">
        <f>X16+X17+X20+X23+X26+X27</f>
        <v>134.55000000000001</v>
      </c>
      <c r="T92" s="984">
        <f>X6</f>
        <v>1.0355000000000001</v>
      </c>
      <c r="U92" s="984"/>
      <c r="V92" s="113">
        <f>G92</f>
        <v>917.3</v>
      </c>
      <c r="W92" s="171" t="s">
        <v>68</v>
      </c>
      <c r="X92" s="216">
        <f>ROUND(S92*T92*V92,2)</f>
        <v>127804.22</v>
      </c>
      <c r="Y92" s="159"/>
    </row>
    <row r="93" spans="1:26" ht="18.75" customHeight="1" thickBot="1" x14ac:dyDescent="0.3">
      <c r="A93" s="84" t="s">
        <v>111</v>
      </c>
      <c r="B93" s="80">
        <f>SUM(B90:B92)</f>
        <v>1381.0944999999999</v>
      </c>
      <c r="C93" s="80"/>
      <c r="D93" s="80"/>
      <c r="E93" s="999" t="s">
        <v>112</v>
      </c>
      <c r="F93" s="999"/>
      <c r="G93" s="999"/>
      <c r="H93" s="999"/>
      <c r="I93" s="999"/>
      <c r="J93" s="116">
        <f>IF(A1=75,0,I92+I91+I90)</f>
        <v>1332034.2</v>
      </c>
      <c r="K93" s="70"/>
      <c r="L93" s="70"/>
      <c r="M93" s="71"/>
      <c r="N93" s="70"/>
      <c r="O93" s="70"/>
      <c r="P93" s="70"/>
      <c r="Q93" s="70"/>
      <c r="R93" s="198" t="s">
        <v>111</v>
      </c>
      <c r="S93" s="199">
        <f>SUM(S90:S92)</f>
        <v>380.07</v>
      </c>
      <c r="T93" s="985" t="s">
        <v>112</v>
      </c>
      <c r="U93" s="986"/>
      <c r="V93" s="986"/>
      <c r="W93" s="986"/>
      <c r="X93" s="986"/>
      <c r="Y93" s="212">
        <f>IF(R1=75,0,X92+X91+X90)</f>
        <v>366128.38</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0</v>
      </c>
      <c r="D97" s="223">
        <v>0</v>
      </c>
      <c r="E97" s="1044">
        <f>IF(D97&gt;0,(C97+D97)/2,C97)</f>
        <v>0</v>
      </c>
      <c r="F97" s="922"/>
      <c r="G97" s="922"/>
      <c r="H97" s="85" t="s">
        <v>117</v>
      </c>
      <c r="I97" s="119">
        <f>Consolidated!G$127</f>
        <v>578</v>
      </c>
      <c r="J97" s="127">
        <f>ROUND(I97*E97,2)</f>
        <v>0</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f>
        <v>0</v>
      </c>
      <c r="F98" s="1049"/>
      <c r="G98" s="1049"/>
      <c r="H98" s="85" t="s">
        <v>117</v>
      </c>
      <c r="I98" s="119">
        <f>Consolidated!G$128</f>
        <v>1794</v>
      </c>
      <c r="J98" s="127">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11245702.859999999</v>
      </c>
      <c r="L107" s="538"/>
      <c r="R107" s="955" t="s">
        <v>125</v>
      </c>
      <c r="S107" s="955"/>
      <c r="T107" s="955"/>
      <c r="U107" s="955"/>
      <c r="V107" s="955"/>
      <c r="W107" s="955"/>
      <c r="X107" s="955"/>
      <c r="Y107" s="672">
        <f>SUM(Y106,Y105,Y97,Y96,Y93,Y86,Y85,Y84,Y70,Y69,Y67,Y33,Y71,Y50,Y87,Y83)</f>
        <v>3090737.9000000004</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10744388.609999999</v>
      </c>
      <c r="R109" s="159" t="s">
        <v>176</v>
      </c>
      <c r="S109" s="159"/>
      <c r="T109" s="159"/>
      <c r="U109" s="159"/>
      <c r="V109" s="159"/>
      <c r="W109" s="159"/>
      <c r="X109" s="159"/>
      <c r="Y109" s="673">
        <f>Y107-Y38</f>
        <v>2589423.6500000004</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5">
        <v>1</v>
      </c>
      <c r="J111" s="126">
        <f>Y109</f>
        <v>2589423.6500000004</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H113" s="658"/>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I114" s="659">
        <f>IF(I111=1,J111,J109)</f>
        <v>2589423.6500000004</v>
      </c>
      <c r="J114" s="660">
        <f>ROUND(IF(E28=0,0,IF(E28&gt;250,-(((250/E28)*I114)*IF(H113="H",0.02,0.05)),IF(H113="H",-0.02*I114,-0.05*I114))),2)</f>
        <v>-85162.72</v>
      </c>
      <c r="M114" s="2"/>
      <c r="N114" s="3"/>
      <c r="R114" s="2"/>
      <c r="T114" s="4"/>
      <c r="W114" s="2"/>
      <c r="X114" s="5"/>
    </row>
    <row r="115" spans="1:26" ht="16.5" customHeight="1" x14ac:dyDescent="0.25">
      <c r="A115" s="231"/>
      <c r="B115" s="231"/>
      <c r="C115" s="231"/>
      <c r="D115" s="231"/>
      <c r="E115" s="231"/>
      <c r="F115" s="231"/>
      <c r="G115" s="231"/>
      <c r="H115" s="661"/>
      <c r="I115" s="662"/>
      <c r="J115" s="663"/>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664"/>
      <c r="I116" s="665"/>
      <c r="J116" s="666">
        <f>J107+J114</f>
        <v>11160540.139999999</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61"/>
      <c r="I117" s="662"/>
      <c r="J117" s="663"/>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661"/>
      <c r="I118" s="662"/>
      <c r="J118" s="667">
        <f>-'Cumulative Payments'!R83</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61"/>
      <c r="I119" s="662"/>
      <c r="J119" s="663"/>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661"/>
      <c r="I120" s="662"/>
      <c r="J120" s="663">
        <f>J116+J118</f>
        <v>11160540.139999999</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61"/>
      <c r="I121" s="662"/>
      <c r="J121" s="663"/>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661"/>
      <c r="I122" s="662"/>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61"/>
      <c r="I123" s="662"/>
      <c r="J123" s="663"/>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661"/>
      <c r="I124" s="662"/>
      <c r="J124" s="669">
        <f>ROUND(J120/J122,2)</f>
        <v>930045.01</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61"/>
      <c r="I125" s="662"/>
      <c r="J125" s="663"/>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661"/>
      <c r="I126" s="662"/>
      <c r="J126" s="670">
        <f>ROUND(IF(H113="H",(I114*0.02)+J114,(I114*0.05)+J114),2)</f>
        <v>44308.46</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62"/>
      <c r="I127" s="671"/>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5F6DC-1D29-487E-ADA6-EBA8BC888E02}">
  <dimension ref="A1:Z207"/>
  <sheetViews>
    <sheetView topLeftCell="A28" workbookViewId="0">
      <selection activeCell="C28" sqref="C2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505</v>
      </c>
      <c r="B2" s="101"/>
      <c r="C2" s="101"/>
      <c r="D2" s="101"/>
      <c r="E2" s="6"/>
      <c r="F2" s="6"/>
      <c r="G2" s="6"/>
      <c r="H2" s="6"/>
      <c r="I2" s="706" t="str">
        <f>RIGHT(A2,4)</f>
        <v>3083</v>
      </c>
      <c r="J2" s="6"/>
      <c r="K2" s="6"/>
      <c r="L2" s="6"/>
      <c r="M2" s="6"/>
      <c r="N2" s="6"/>
      <c r="O2" s="6"/>
      <c r="P2" s="6"/>
      <c r="Q2" s="6"/>
      <c r="R2" s="927" t="str">
        <f>Revenue_Estimate_Worksheet_for___________Charter_School</f>
        <v>Revenue Estimate Worksheet: The Learning Academy at The Els Center of Excellence - 3083</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H</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1</v>
      </c>
      <c r="D13" s="392">
        <f>SUMIFS('Surv2-3'!K:K,'Surv2-3'!$H:$H,$I$2,'Surv2-3'!$I:$I,$O13)</f>
        <v>0.5</v>
      </c>
      <c r="E13" s="1020">
        <f t="shared" si="0"/>
        <v>1.5</v>
      </c>
      <c r="F13" s="1020"/>
      <c r="G13" s="1026">
        <f>Consolidated!$F15</f>
        <v>1.1080000000000001</v>
      </c>
      <c r="H13" s="1026">
        <f>Consolidated!$H$9</f>
        <v>1</v>
      </c>
      <c r="I13" s="539">
        <f t="shared" ref="I13:I27" si="3">ROUND(E13*G13,4)</f>
        <v>1.6619999999999999</v>
      </c>
      <c r="J13" s="540">
        <f t="shared" si="1"/>
        <v>9246.25</v>
      </c>
      <c r="L13" s="21"/>
      <c r="M13" s="2"/>
      <c r="O13" s="2" t="str">
        <f t="shared" si="2"/>
        <v>111</v>
      </c>
      <c r="R13" s="946" t="s">
        <v>21</v>
      </c>
      <c r="S13" s="946"/>
      <c r="T13" s="944">
        <f t="shared" ref="T13:T27" si="4">IF($I$111=1,E13,0)</f>
        <v>1.5</v>
      </c>
      <c r="U13" s="944"/>
      <c r="V13" s="950">
        <v>1</v>
      </c>
      <c r="W13" s="950"/>
      <c r="X13" s="145">
        <f t="shared" ref="X13:X27" si="5">ROUND(T13*V13,4)</f>
        <v>1.5</v>
      </c>
      <c r="Y13" s="212">
        <f t="shared" ref="Y13" si="6">ROUND(ROUND(ROUND(X13*$E$6,4)*($I$6),2)*(MAX($I$7,1)),2)</f>
        <v>8344.99</v>
      </c>
    </row>
    <row r="14" spans="1:25" x14ac:dyDescent="0.25">
      <c r="A14" s="916" t="s">
        <v>22</v>
      </c>
      <c r="B14" s="916"/>
      <c r="C14" s="392">
        <f>SUMIFS('Surv2-3'!E:E,'Surv2-3'!$A:$A,$I$2,'Surv2-3'!$B:$B,$O14)</f>
        <v>0</v>
      </c>
      <c r="D14" s="392">
        <f>SUMIFS('Surv2-3'!L:L,'Surv2-3'!$H:$H,$I$2,'Surv2-3'!$I:$I,$O14)</f>
        <v>0</v>
      </c>
      <c r="E14" s="1020">
        <f t="shared" si="0"/>
        <v>0</v>
      </c>
      <c r="F14" s="1020"/>
      <c r="G14" s="1026">
        <f>Consolidated!$F16</f>
        <v>1</v>
      </c>
      <c r="H14" s="1026">
        <f>Consolidated!$H$9</f>
        <v>1</v>
      </c>
      <c r="I14" s="539">
        <f t="shared" si="3"/>
        <v>0</v>
      </c>
      <c r="J14" s="540">
        <f>ROUND(ROUND(ROUND(I14*$E$6,4)*($I$6),2)*(MAX($I$7,1)),2)</f>
        <v>0</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0.5</v>
      </c>
      <c r="D15" s="392">
        <f>SUMIFS('Surv2-3'!L:L,'Surv2-3'!$H:$H,$I$2,'Surv2-3'!$I:$I,$O15)</f>
        <v>0.5</v>
      </c>
      <c r="E15" s="1020">
        <f t="shared" si="0"/>
        <v>1</v>
      </c>
      <c r="F15" s="1020"/>
      <c r="G15" s="1026">
        <f>Consolidated!$F17</f>
        <v>1</v>
      </c>
      <c r="H15" s="1026">
        <f>Consolidated!$H$9</f>
        <v>1</v>
      </c>
      <c r="I15" s="539">
        <f t="shared" si="3"/>
        <v>1</v>
      </c>
      <c r="J15" s="540">
        <f t="shared" si="1"/>
        <v>5563.33</v>
      </c>
      <c r="M15" s="2"/>
      <c r="O15" s="2" t="str">
        <f t="shared" si="2"/>
        <v>112</v>
      </c>
      <c r="R15" s="946" t="s">
        <v>23</v>
      </c>
      <c r="S15" s="946"/>
      <c r="T15" s="944">
        <f t="shared" si="4"/>
        <v>1</v>
      </c>
      <c r="U15" s="944"/>
      <c r="V15" s="950">
        <v>1</v>
      </c>
      <c r="W15" s="950"/>
      <c r="X15" s="145">
        <f t="shared" si="5"/>
        <v>1</v>
      </c>
      <c r="Y15" s="212">
        <f t="shared" ref="Y15:Y27" si="7">ROUND(ROUND(ROUND(X15*$E$6,4)*($I$6),2)*(MAX($I$7,1)),2)</f>
        <v>5563.33</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5</v>
      </c>
      <c r="D17" s="392">
        <f>SUMIFS('Surv2-3'!M:M,'Surv2-3'!$H:$H,$I$2,'Surv2-3'!$I:$I,$O17)</f>
        <v>4.46</v>
      </c>
      <c r="E17" s="1020">
        <f t="shared" si="0"/>
        <v>9.4600000000000009</v>
      </c>
      <c r="F17" s="1020"/>
      <c r="G17" s="1026">
        <f>Consolidated!$F19</f>
        <v>0.97199999999999998</v>
      </c>
      <c r="H17" s="1026">
        <f>Consolidated!$H$9</f>
        <v>1</v>
      </c>
      <c r="I17" s="539">
        <f t="shared" si="3"/>
        <v>9.1951000000000001</v>
      </c>
      <c r="J17" s="540">
        <f t="shared" si="1"/>
        <v>51155.35</v>
      </c>
      <c r="M17" s="2"/>
      <c r="O17" s="2" t="str">
        <f t="shared" si="2"/>
        <v>113</v>
      </c>
      <c r="R17" s="946" t="s">
        <v>25</v>
      </c>
      <c r="S17" s="946"/>
      <c r="T17" s="944">
        <f t="shared" si="4"/>
        <v>9.4600000000000009</v>
      </c>
      <c r="U17" s="944"/>
      <c r="V17" s="950">
        <v>1</v>
      </c>
      <c r="W17" s="950"/>
      <c r="X17" s="145">
        <f t="shared" si="5"/>
        <v>9.4600000000000009</v>
      </c>
      <c r="Y17" s="212">
        <f t="shared" si="7"/>
        <v>52629.08</v>
      </c>
    </row>
    <row r="18" spans="1:25" x14ac:dyDescent="0.25">
      <c r="A18" s="916" t="s">
        <v>26</v>
      </c>
      <c r="B18" s="916"/>
      <c r="C18" s="392">
        <f>SUMIFS('Surv2-3'!D:D,'Surv2-3'!$A:$A,$I$2,'Surv2-3'!$B:$B,$O18)</f>
        <v>9</v>
      </c>
      <c r="D18" s="392">
        <f>SUMIFS('Surv2-3'!K:K,'Surv2-3'!$H:$H,$I$2,'Surv2-3'!$I:$I,$O18)</f>
        <v>8.93</v>
      </c>
      <c r="E18" s="1020">
        <f t="shared" si="0"/>
        <v>17.93</v>
      </c>
      <c r="F18" s="1020"/>
      <c r="G18" s="1026">
        <f>Consolidated!$F20</f>
        <v>3.609</v>
      </c>
      <c r="H18" s="1026">
        <f>Consolidated!$H$9</f>
        <v>1</v>
      </c>
      <c r="I18" s="539">
        <f t="shared" si="3"/>
        <v>64.709400000000002</v>
      </c>
      <c r="J18" s="540">
        <f t="shared" si="1"/>
        <v>359999.57</v>
      </c>
      <c r="M18" s="2"/>
      <c r="O18" s="2" t="str">
        <f t="shared" si="2"/>
        <v>254</v>
      </c>
      <c r="R18" s="946" t="s">
        <v>26</v>
      </c>
      <c r="S18" s="946"/>
      <c r="T18" s="944">
        <f t="shared" si="4"/>
        <v>17.93</v>
      </c>
      <c r="U18" s="944"/>
      <c r="V18" s="950">
        <v>1</v>
      </c>
      <c r="W18" s="950"/>
      <c r="X18" s="145">
        <f t="shared" si="5"/>
        <v>17.93</v>
      </c>
      <c r="Y18" s="212">
        <f t="shared" si="7"/>
        <v>99750.46</v>
      </c>
    </row>
    <row r="19" spans="1:25" x14ac:dyDescent="0.25">
      <c r="A19" s="916" t="s">
        <v>27</v>
      </c>
      <c r="B19" s="916"/>
      <c r="C19" s="392">
        <f>SUMIFS('Surv2-3'!E:E,'Surv2-3'!$A:$A,$I$2,'Surv2-3'!$B:$B,$O19)</f>
        <v>7</v>
      </c>
      <c r="D19" s="392">
        <f>SUMIFS('Surv2-3'!L:L,'Surv2-3'!$H:$H,$I$2,'Surv2-3'!$I:$I,$O19)</f>
        <v>5.5</v>
      </c>
      <c r="E19" s="1020">
        <f t="shared" si="0"/>
        <v>12.5</v>
      </c>
      <c r="F19" s="1020"/>
      <c r="G19" s="1026">
        <f>Consolidated!$F21</f>
        <v>3.609</v>
      </c>
      <c r="H19" s="1026">
        <f>Consolidated!$H$9</f>
        <v>1</v>
      </c>
      <c r="I19" s="539">
        <f t="shared" si="3"/>
        <v>45.112499999999997</v>
      </c>
      <c r="J19" s="540">
        <f t="shared" si="1"/>
        <v>250975.6</v>
      </c>
      <c r="M19" s="2"/>
      <c r="O19" s="2" t="str">
        <f t="shared" si="2"/>
        <v>254</v>
      </c>
      <c r="R19" s="946" t="s">
        <v>27</v>
      </c>
      <c r="S19" s="946"/>
      <c r="T19" s="944">
        <f t="shared" si="4"/>
        <v>12.5</v>
      </c>
      <c r="U19" s="944"/>
      <c r="V19" s="950">
        <v>1</v>
      </c>
      <c r="W19" s="950"/>
      <c r="X19" s="145">
        <f t="shared" si="5"/>
        <v>12.5</v>
      </c>
      <c r="Y19" s="212">
        <f t="shared" si="7"/>
        <v>69541.59</v>
      </c>
    </row>
    <row r="20" spans="1:25" x14ac:dyDescent="0.25">
      <c r="A20" s="916" t="s">
        <v>28</v>
      </c>
      <c r="B20" s="916"/>
      <c r="C20" s="392">
        <f>SUMIFS('Surv2-3'!F:F,'Surv2-3'!$A:$A,$I$2,'Surv2-3'!$B:$B,$O20)</f>
        <v>21</v>
      </c>
      <c r="D20" s="392">
        <f>SUMIFS('Surv2-3'!M:M,'Surv2-3'!$H:$H,$I$2,'Surv2-3'!$I:$I,$O20)</f>
        <v>19.53</v>
      </c>
      <c r="E20" s="1020">
        <f t="shared" si="0"/>
        <v>40.53</v>
      </c>
      <c r="F20" s="1020"/>
      <c r="G20" s="1026">
        <f>Consolidated!$F22</f>
        <v>3.609</v>
      </c>
      <c r="H20" s="1026">
        <f>Consolidated!$H$9</f>
        <v>1</v>
      </c>
      <c r="I20" s="539">
        <f t="shared" si="3"/>
        <v>146.27279999999999</v>
      </c>
      <c r="J20" s="540">
        <f t="shared" si="1"/>
        <v>813763.46</v>
      </c>
      <c r="M20" s="2"/>
      <c r="O20" s="2" t="str">
        <f t="shared" si="2"/>
        <v>254</v>
      </c>
      <c r="R20" s="946" t="s">
        <v>28</v>
      </c>
      <c r="S20" s="946"/>
      <c r="T20" s="944">
        <f t="shared" si="4"/>
        <v>40.53</v>
      </c>
      <c r="U20" s="944"/>
      <c r="V20" s="950">
        <v>1</v>
      </c>
      <c r="W20" s="950"/>
      <c r="X20" s="145">
        <f t="shared" si="5"/>
        <v>40.53</v>
      </c>
      <c r="Y20" s="212">
        <f t="shared" si="7"/>
        <v>225481.66</v>
      </c>
    </row>
    <row r="21" spans="1:25" ht="15" customHeight="1" x14ac:dyDescent="0.25">
      <c r="A21" s="916" t="s">
        <v>29</v>
      </c>
      <c r="B21" s="916"/>
      <c r="C21" s="392">
        <f>SUMIFS('Surv2-3'!D:D,'Surv2-3'!$A:$A,$I$2,'Surv2-3'!$B:$B,$O21)</f>
        <v>7.5</v>
      </c>
      <c r="D21" s="392">
        <f>SUMIFS('Surv2-3'!K:K,'Surv2-3'!$H:$H,$I$2,'Surv2-3'!$I:$I,$O21)</f>
        <v>9.9499999999999993</v>
      </c>
      <c r="E21" s="1020">
        <f t="shared" si="0"/>
        <v>17.45</v>
      </c>
      <c r="F21" s="1020"/>
      <c r="G21" s="1026">
        <f>Consolidated!$F23</f>
        <v>6.0640000000000001</v>
      </c>
      <c r="H21" s="1026">
        <f>Consolidated!$H$9</f>
        <v>1</v>
      </c>
      <c r="I21" s="539">
        <f t="shared" si="3"/>
        <v>105.8168</v>
      </c>
      <c r="J21" s="540">
        <f t="shared" si="1"/>
        <v>588693.49</v>
      </c>
      <c r="M21" s="2"/>
      <c r="O21" s="2" t="str">
        <f t="shared" si="2"/>
        <v>255</v>
      </c>
      <c r="R21" s="946" t="s">
        <v>29</v>
      </c>
      <c r="S21" s="946"/>
      <c r="T21" s="944">
        <f t="shared" si="4"/>
        <v>17.45</v>
      </c>
      <c r="U21" s="944"/>
      <c r="V21" s="950">
        <v>1</v>
      </c>
      <c r="W21" s="950"/>
      <c r="X21" s="145">
        <f t="shared" si="5"/>
        <v>17.45</v>
      </c>
      <c r="Y21" s="212">
        <f t="shared" si="7"/>
        <v>97080.06</v>
      </c>
    </row>
    <row r="22" spans="1:25" ht="15" customHeight="1" x14ac:dyDescent="0.25">
      <c r="A22" s="916" t="s">
        <v>30</v>
      </c>
      <c r="B22" s="916"/>
      <c r="C22" s="392">
        <f>SUMIFS('Surv2-3'!E:E,'Surv2-3'!$A:$A,$I$2,'Surv2-3'!$B:$B,$O22)</f>
        <v>13</v>
      </c>
      <c r="D22" s="392">
        <f>SUMIFS('Surv2-3'!L:L,'Surv2-3'!$H:$H,$I$2,'Surv2-3'!$I:$I,$O22)</f>
        <v>14.5</v>
      </c>
      <c r="E22" s="1020">
        <f t="shared" si="0"/>
        <v>27.5</v>
      </c>
      <c r="F22" s="1020"/>
      <c r="G22" s="1026">
        <f>Consolidated!$F24</f>
        <v>6.0640000000000001</v>
      </c>
      <c r="H22" s="1026">
        <f>Consolidated!$H$9</f>
        <v>1</v>
      </c>
      <c r="I22" s="539">
        <f t="shared" si="3"/>
        <v>166.76</v>
      </c>
      <c r="J22" s="540">
        <f t="shared" si="1"/>
        <v>927740.46</v>
      </c>
      <c r="M22" s="2"/>
      <c r="O22" s="2" t="str">
        <f t="shared" si="2"/>
        <v>255</v>
      </c>
      <c r="R22" s="946" t="s">
        <v>30</v>
      </c>
      <c r="S22" s="946"/>
      <c r="T22" s="944">
        <f t="shared" si="4"/>
        <v>27.5</v>
      </c>
      <c r="U22" s="944"/>
      <c r="V22" s="950">
        <v>1</v>
      </c>
      <c r="W22" s="950"/>
      <c r="X22" s="145">
        <f t="shared" si="5"/>
        <v>27.5</v>
      </c>
      <c r="Y22" s="212">
        <f t="shared" si="7"/>
        <v>152991.5</v>
      </c>
    </row>
    <row r="23" spans="1:25" ht="15" customHeight="1" x14ac:dyDescent="0.25">
      <c r="A23" s="916" t="s">
        <v>31</v>
      </c>
      <c r="B23" s="916"/>
      <c r="C23" s="392">
        <f>SUMIFS('Surv2-3'!F:F,'Surv2-3'!$A:$A,$I$2,'Surv2-3'!$B:$B,$O23)</f>
        <v>25.5</v>
      </c>
      <c r="D23" s="392">
        <f>SUMIFS('Surv2-3'!M:M,'Surv2-3'!$H:$H,$I$2,'Surv2-3'!$I:$I,$O23)</f>
        <v>26.03</v>
      </c>
      <c r="E23" s="1020">
        <f t="shared" si="0"/>
        <v>51.53</v>
      </c>
      <c r="F23" s="1020"/>
      <c r="G23" s="1026">
        <f>Consolidated!$F25</f>
        <v>6.0640000000000001</v>
      </c>
      <c r="H23" s="1026">
        <f>Consolidated!$H$9</f>
        <v>1</v>
      </c>
      <c r="I23" s="539">
        <f t="shared" si="3"/>
        <v>312.47789999999998</v>
      </c>
      <c r="J23" s="540">
        <f t="shared" si="1"/>
        <v>1738416.83</v>
      </c>
      <c r="M23" s="2"/>
      <c r="O23" s="2" t="str">
        <f t="shared" si="2"/>
        <v>255</v>
      </c>
      <c r="R23" s="946" t="s">
        <v>31</v>
      </c>
      <c r="S23" s="946"/>
      <c r="T23" s="944">
        <f t="shared" si="4"/>
        <v>51.53</v>
      </c>
      <c r="U23" s="944"/>
      <c r="V23" s="950">
        <v>1</v>
      </c>
      <c r="W23" s="950"/>
      <c r="X23" s="145">
        <f t="shared" si="5"/>
        <v>51.53</v>
      </c>
      <c r="Y23" s="212">
        <f t="shared" si="7"/>
        <v>286678.26</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v>
      </c>
      <c r="D25" s="392">
        <f>SUMIFS('Surv2-3'!L:L,'Surv2-3'!$H:$H,$I$2,'Surv2-3'!$I:$I,$O25)</f>
        <v>0</v>
      </c>
      <c r="E25" s="1020">
        <f t="shared" si="0"/>
        <v>0</v>
      </c>
      <c r="F25" s="1020"/>
      <c r="G25" s="1026">
        <f>Consolidated!$F27</f>
        <v>1.165</v>
      </c>
      <c r="H25" s="1026">
        <f>Consolidated!$H$9</f>
        <v>1</v>
      </c>
      <c r="I25" s="539">
        <f t="shared" si="3"/>
        <v>0</v>
      </c>
      <c r="J25" s="540">
        <f t="shared" si="1"/>
        <v>0</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89.5</v>
      </c>
      <c r="D28" s="822">
        <f>SUM(D12:D27)</f>
        <v>89.9</v>
      </c>
      <c r="E28" s="1025">
        <f>SUM(E12:E27)</f>
        <v>179.4</v>
      </c>
      <c r="F28" s="1025"/>
      <c r="G28" s="1020"/>
      <c r="H28" s="1020"/>
      <c r="I28" s="23">
        <f>SUM(I12:I27)</f>
        <v>853.00649999999996</v>
      </c>
      <c r="J28" s="116">
        <f>SUM(J12:J27)</f>
        <v>4745554.34</v>
      </c>
      <c r="M28" s="2"/>
      <c r="R28" s="963" t="s">
        <v>36</v>
      </c>
      <c r="S28" s="963"/>
      <c r="T28" s="964">
        <f>SUM(T12:T27)</f>
        <v>179.4</v>
      </c>
      <c r="U28" s="964"/>
      <c r="V28" s="965"/>
      <c r="W28" s="965"/>
      <c r="X28" s="147">
        <f>SUM(X12:X27)</f>
        <v>179.4</v>
      </c>
      <c r="Y28" s="212">
        <f>SUM(Y12:Y27)</f>
        <v>998060.92999999993</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853.00649999999996</v>
      </c>
      <c r="H33" s="1020" t="s">
        <v>45</v>
      </c>
      <c r="I33" s="1020"/>
      <c r="J33" s="32">
        <f>SUM(J32,J28)</f>
        <v>4745554.34</v>
      </c>
      <c r="M33" s="2"/>
      <c r="R33" s="969" t="s">
        <v>44</v>
      </c>
      <c r="S33" s="969"/>
      <c r="T33" s="969"/>
      <c r="U33" s="969"/>
      <c r="V33" s="153">
        <f>V32+X28</f>
        <v>179.4</v>
      </c>
      <c r="W33" s="965" t="s">
        <v>45</v>
      </c>
      <c r="X33" s="965"/>
      <c r="Y33" s="154">
        <f>SUM(Y32,Y28)</f>
        <v>998060.92999999993</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4261458.6399999997</v>
      </c>
      <c r="H36" s="37" t="s">
        <v>49</v>
      </c>
      <c r="I36" s="38">
        <v>6.6699999999999995E-2</v>
      </c>
      <c r="J36" s="120">
        <f>ROUND(G36*I36,2)</f>
        <v>284239.28999999998</v>
      </c>
      <c r="K36" s="39"/>
      <c r="L36" s="33"/>
      <c r="M36" s="33"/>
      <c r="N36" s="33"/>
      <c r="O36" s="31"/>
      <c r="P36" s="34"/>
      <c r="Q36" s="34"/>
      <c r="R36" s="946" t="s">
        <v>47</v>
      </c>
      <c r="S36" s="946"/>
      <c r="T36" s="946"/>
      <c r="U36" s="158"/>
      <c r="V36" s="161">
        <v>895695.69</v>
      </c>
      <c r="W36" s="162" t="s">
        <v>49</v>
      </c>
      <c r="X36" s="163">
        <v>6.6699999999999995E-2</v>
      </c>
      <c r="Y36" s="212">
        <f>J36</f>
        <v>284239.28999999998</v>
      </c>
    </row>
    <row r="37" spans="1:25" ht="20.25" customHeight="1" x14ac:dyDescent="0.25">
      <c r="A37" s="916" t="s">
        <v>50</v>
      </c>
      <c r="B37" s="916"/>
      <c r="C37" s="916"/>
      <c r="D37" s="916"/>
      <c r="E37" s="916"/>
      <c r="F37" s="36" t="s">
        <v>48</v>
      </c>
      <c r="G37" s="121">
        <v>4261458.6399999997</v>
      </c>
      <c r="H37" s="37" t="s">
        <v>49</v>
      </c>
      <c r="I37" s="38">
        <v>5.4000000000000003E-3</v>
      </c>
      <c r="J37" s="120">
        <f>ROUND(G37*I37,2)</f>
        <v>23011.88</v>
      </c>
      <c r="K37" s="39"/>
      <c r="L37" s="33"/>
      <c r="M37" s="33"/>
      <c r="N37" s="33"/>
      <c r="O37" s="31"/>
      <c r="P37" s="34"/>
      <c r="Q37" s="34"/>
      <c r="R37" s="946" t="s">
        <v>50</v>
      </c>
      <c r="S37" s="946"/>
      <c r="T37" s="946"/>
      <c r="U37" s="158"/>
      <c r="V37" s="161">
        <v>895695.69</v>
      </c>
      <c r="W37" s="162" t="s">
        <v>49</v>
      </c>
      <c r="X37" s="163">
        <v>5.4000000000000003E-3</v>
      </c>
      <c r="Y37" s="212">
        <f>J37</f>
        <v>23011.88</v>
      </c>
    </row>
    <row r="38" spans="1:25" ht="20.25" customHeight="1" x14ac:dyDescent="0.25">
      <c r="A38" s="952" t="s">
        <v>51</v>
      </c>
      <c r="B38" s="952"/>
      <c r="C38" s="952"/>
      <c r="D38" s="952"/>
      <c r="E38" s="952"/>
      <c r="F38" s="36" t="s">
        <v>52</v>
      </c>
      <c r="G38" s="40"/>
      <c r="H38" s="37"/>
      <c r="I38" s="41"/>
      <c r="J38" s="120">
        <f>SUM(J36:J37)</f>
        <v>307251.17</v>
      </c>
      <c r="K38" s="39"/>
      <c r="L38" s="33"/>
      <c r="M38" s="33"/>
      <c r="N38" s="33"/>
      <c r="O38" s="31"/>
      <c r="P38" s="34"/>
      <c r="Q38" s="34"/>
      <c r="R38" s="955" t="s">
        <v>51</v>
      </c>
      <c r="S38" s="955"/>
      <c r="T38" s="955"/>
      <c r="U38" s="158" t="s">
        <v>52</v>
      </c>
      <c r="V38" s="164"/>
      <c r="W38" s="162"/>
      <c r="X38" s="165"/>
      <c r="Y38" s="212">
        <f>Y36+Y37</f>
        <v>307251.17</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1</v>
      </c>
      <c r="D41" s="737">
        <f>SUMIFS('Surv2-3'!K:K,'Surv2-3'!$H:$H,$I$2,'Surv2-3'!$I:$I,$H41-140)</f>
        <v>0.5</v>
      </c>
      <c r="E41" s="1013">
        <f t="shared" ref="E41:E49" si="8">IF($D$50=0,C41*2,C41+D41)</f>
        <v>1.5</v>
      </c>
      <c r="F41" s="1013"/>
      <c r="G41" s="37" t="s">
        <v>59</v>
      </c>
      <c r="H41" s="37">
        <v>251</v>
      </c>
      <c r="I41" s="125">
        <f>Consolidated!$H59</f>
        <v>1047</v>
      </c>
      <c r="J41" s="46">
        <f t="shared" ref="J41:J49" si="9">ROUND(E41*I41,2)</f>
        <v>1570.5</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4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46">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0.5</v>
      </c>
      <c r="D45" s="824">
        <f>SUMIFS('Surv2-3'!L:L,'Surv2-3'!$H:$H,$I$2,'Surv2-3'!$I:$I,$H45-140)</f>
        <v>0.5</v>
      </c>
      <c r="E45" s="1013">
        <f t="shared" si="8"/>
        <v>1</v>
      </c>
      <c r="F45" s="1013"/>
      <c r="G45" s="47" t="s">
        <v>60</v>
      </c>
      <c r="H45" s="37">
        <v>252</v>
      </c>
      <c r="I45" s="125">
        <f>Consolidated!$H63</f>
        <v>3506</v>
      </c>
      <c r="J45" s="46">
        <f t="shared" si="9"/>
        <v>3506</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4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4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5</v>
      </c>
      <c r="D49" s="824">
        <f>SUMIFS('Surv2-3'!M:M,'Surv2-3'!$H:$H,$I$2,'Surv2-3'!$I:$I,$H49-140)</f>
        <v>4.46</v>
      </c>
      <c r="E49" s="1014">
        <f t="shared" si="8"/>
        <v>9.4600000000000009</v>
      </c>
      <c r="F49" s="1014"/>
      <c r="G49" s="47" t="s">
        <v>61</v>
      </c>
      <c r="H49" s="37">
        <v>253</v>
      </c>
      <c r="I49" s="125">
        <f>Consolidated!$H67</f>
        <v>6685</v>
      </c>
      <c r="J49" s="126">
        <f t="shared" si="9"/>
        <v>63240.1</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6.5</v>
      </c>
      <c r="D50" s="825">
        <f>SUM(D41:D49)</f>
        <v>5.46</v>
      </c>
      <c r="E50" s="1015">
        <f>SUM(E41:E49)</f>
        <v>11.96</v>
      </c>
      <c r="F50" s="1015"/>
      <c r="G50" s="970" t="s">
        <v>63</v>
      </c>
      <c r="H50" s="970"/>
      <c r="I50" s="970"/>
      <c r="J50" s="220">
        <f>SUM(J41:J49)</f>
        <v>68316.600000000006</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179.4</v>
      </c>
      <c r="U52" s="173" t="s">
        <v>66</v>
      </c>
      <c r="V52" s="174"/>
      <c r="W52" s="175" t="s">
        <v>67</v>
      </c>
      <c r="X52" s="977">
        <f>I53</f>
        <v>207716.69</v>
      </c>
      <c r="Y52" s="977"/>
    </row>
    <row r="53" spans="1:25" ht="16.5" customHeight="1" x14ac:dyDescent="0.25">
      <c r="A53" s="953" t="s">
        <v>65</v>
      </c>
      <c r="B53" s="953"/>
      <c r="C53" s="51"/>
      <c r="D53" s="51"/>
      <c r="E53" s="48">
        <f>E28</f>
        <v>179.4</v>
      </c>
      <c r="F53" s="49" t="s">
        <v>66</v>
      </c>
      <c r="G53" s="3"/>
      <c r="H53" s="50" t="s">
        <v>67</v>
      </c>
      <c r="I53" s="1051">
        <f>Consolidated!H$71</f>
        <v>207716.69</v>
      </c>
      <c r="J53" s="1051"/>
      <c r="M53" s="2"/>
      <c r="R53" s="176"/>
      <c r="S53" s="177"/>
      <c r="T53" s="159"/>
      <c r="U53" s="159"/>
      <c r="V53" s="159"/>
      <c r="W53" s="178" t="s">
        <v>68</v>
      </c>
      <c r="X53" s="978">
        <f>ROUND(T52/X52,6)</f>
        <v>8.6399999999999997E-4</v>
      </c>
      <c r="Y53" s="978"/>
    </row>
    <row r="54" spans="1:25" ht="22.5" customHeight="1" x14ac:dyDescent="0.25">
      <c r="A54" s="51"/>
      <c r="B54" s="52"/>
      <c r="C54" s="52"/>
      <c r="D54" s="52"/>
      <c r="H54" s="53" t="s">
        <v>68</v>
      </c>
      <c r="I54" s="1004">
        <f>IFERROR(ROUND(E53/I53,6),0)</f>
        <v>8.6399999999999997E-4</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179.4</v>
      </c>
      <c r="U55" s="173" t="s">
        <v>66</v>
      </c>
      <c r="V55" s="174"/>
      <c r="W55" s="175" t="s">
        <v>71</v>
      </c>
      <c r="X55" s="977">
        <f>I56</f>
        <v>221131.37000000002</v>
      </c>
      <c r="Y55" s="977"/>
    </row>
    <row r="56" spans="1:25" ht="16.5" customHeight="1" x14ac:dyDescent="0.25">
      <c r="A56" s="953" t="s">
        <v>70</v>
      </c>
      <c r="B56" s="953"/>
      <c r="C56" s="51"/>
      <c r="D56" s="51"/>
      <c r="E56" s="48">
        <f>G33</f>
        <v>853.00649999999996</v>
      </c>
      <c r="F56" s="49" t="s">
        <v>66</v>
      </c>
      <c r="G56" s="3"/>
      <c r="H56" s="50" t="s">
        <v>71</v>
      </c>
      <c r="I56" s="1051">
        <f>Consolidated!H$74</f>
        <v>221131.37000000002</v>
      </c>
      <c r="J56" s="1051"/>
      <c r="M56" s="2"/>
      <c r="R56" s="176"/>
      <c r="S56" s="159"/>
      <c r="T56" s="159"/>
      <c r="U56" s="159"/>
      <c r="V56" s="159"/>
      <c r="W56" s="178" t="s">
        <v>68</v>
      </c>
      <c r="X56" s="978">
        <f>ROUND(T55/X55,6)</f>
        <v>8.1099999999999998E-4</v>
      </c>
      <c r="Y56" s="978"/>
    </row>
    <row r="57" spans="1:25" ht="18.75" customHeight="1" x14ac:dyDescent="0.25">
      <c r="A57" s="51"/>
      <c r="H57" s="53" t="s">
        <v>68</v>
      </c>
      <c r="I57" s="1004">
        <f>IFERROR(ROUND(E56/I56,6),0)</f>
        <v>3.8570000000000002E-3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179.4</v>
      </c>
      <c r="U58" s="173" t="s">
        <v>66</v>
      </c>
      <c r="V58" s="976" t="s">
        <v>74</v>
      </c>
      <c r="W58" s="976"/>
      <c r="X58" s="977">
        <f>I59</f>
        <v>178668.19</v>
      </c>
      <c r="Y58" s="977"/>
    </row>
    <row r="59" spans="1:25" ht="18.75" customHeight="1" x14ac:dyDescent="0.25">
      <c r="A59" s="953" t="s">
        <v>73</v>
      </c>
      <c r="B59" s="953"/>
      <c r="C59" s="51"/>
      <c r="D59" s="51"/>
      <c r="E59" s="48">
        <f>E28</f>
        <v>179.4</v>
      </c>
      <c r="F59" s="49" t="s">
        <v>66</v>
      </c>
      <c r="G59" s="1046" t="s">
        <v>74</v>
      </c>
      <c r="H59" s="1046"/>
      <c r="I59" s="1051">
        <f>Consolidated!H$77</f>
        <v>178668.19</v>
      </c>
      <c r="J59" s="1051"/>
      <c r="M59" s="2"/>
      <c r="R59" s="176"/>
      <c r="S59" s="159"/>
      <c r="T59" s="159"/>
      <c r="U59" s="159"/>
      <c r="V59" s="159"/>
      <c r="W59" s="178" t="s">
        <v>68</v>
      </c>
      <c r="X59" s="978">
        <f>ROUND(T58/X58,6)</f>
        <v>1.0039999999999999E-3</v>
      </c>
      <c r="Y59" s="978"/>
    </row>
    <row r="60" spans="1:25" ht="18" customHeight="1" x14ac:dyDescent="0.25">
      <c r="A60" s="51"/>
      <c r="H60" s="53" t="s">
        <v>68</v>
      </c>
      <c r="I60" s="1004">
        <f>IFERROR(ROUND(E59/I59,6),0)</f>
        <v>1.0039999999999999E-3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179.4</v>
      </c>
      <c r="U61" s="173" t="s">
        <v>66</v>
      </c>
      <c r="V61" s="976" t="s">
        <v>76</v>
      </c>
      <c r="W61" s="976"/>
      <c r="X61" s="977">
        <f>I62</f>
        <v>207376.94</v>
      </c>
      <c r="Y61" s="977"/>
    </row>
    <row r="62" spans="1:25" ht="30.75" customHeight="1" x14ac:dyDescent="0.25">
      <c r="A62" s="953" t="s">
        <v>73</v>
      </c>
      <c r="B62" s="953"/>
      <c r="C62" s="51"/>
      <c r="D62" s="51"/>
      <c r="E62" s="48">
        <f>E28</f>
        <v>179.4</v>
      </c>
      <c r="F62" s="49" t="s">
        <v>66</v>
      </c>
      <c r="G62" s="1046" t="s">
        <v>76</v>
      </c>
      <c r="H62" s="1046"/>
      <c r="I62" s="1051">
        <f>Consolidated!H$80</f>
        <v>207376.94</v>
      </c>
      <c r="J62" s="1051"/>
      <c r="M62" s="2"/>
      <c r="R62" s="176"/>
      <c r="S62" s="159"/>
      <c r="T62" s="159"/>
      <c r="U62" s="159"/>
      <c r="V62" s="159"/>
      <c r="W62" s="178" t="s">
        <v>68</v>
      </c>
      <c r="X62" s="978">
        <f>ROUND(T61/X61,6)</f>
        <v>8.6499999999999999E-4</v>
      </c>
      <c r="Y62" s="978"/>
    </row>
    <row r="63" spans="1:25" ht="19.5" customHeight="1" x14ac:dyDescent="0.25">
      <c r="A63" s="51"/>
      <c r="H63" s="53" t="s">
        <v>68</v>
      </c>
      <c r="I63" s="1004">
        <f>IFERROR(ROUND(E62/I62,6),0)</f>
        <v>8.6499999999999999E-4</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179.4</v>
      </c>
      <c r="U64" s="173" t="s">
        <v>66</v>
      </c>
      <c r="V64" s="976" t="s">
        <v>161</v>
      </c>
      <c r="W64" s="976"/>
      <c r="X64" s="977">
        <f>I65</f>
        <v>178328.44</v>
      </c>
      <c r="Y64" s="977"/>
    </row>
    <row r="65" spans="1:26" ht="49.5" customHeight="1" x14ac:dyDescent="0.25">
      <c r="A65" s="953" t="s">
        <v>73</v>
      </c>
      <c r="B65" s="953"/>
      <c r="C65" s="51"/>
      <c r="D65" s="51"/>
      <c r="E65" s="48">
        <f>E28</f>
        <v>179.4</v>
      </c>
      <c r="F65" s="49" t="s">
        <v>66</v>
      </c>
      <c r="G65" s="1046" t="s">
        <v>78</v>
      </c>
      <c r="H65" s="1046"/>
      <c r="I65" s="1051">
        <f>Consolidated!H$83</f>
        <v>178328.44</v>
      </c>
      <c r="J65" s="1051"/>
      <c r="M65" s="2"/>
      <c r="R65" s="179"/>
      <c r="S65" s="159"/>
      <c r="T65" s="159"/>
      <c r="U65" s="159"/>
      <c r="V65" s="159"/>
      <c r="W65" s="178" t="s">
        <v>68</v>
      </c>
      <c r="X65" s="978">
        <f>ROUND(T64/X64,6)</f>
        <v>1.0059999999999999E-3</v>
      </c>
      <c r="Y65" s="978"/>
    </row>
    <row r="66" spans="1:26" ht="19.5" customHeight="1" x14ac:dyDescent="0.25">
      <c r="A66" s="51"/>
      <c r="H66" s="53" t="s">
        <v>68</v>
      </c>
      <c r="I66" s="1004">
        <f>IFERROR(ROUND(E65/I65,6),0)</f>
        <v>1.0059999999999999E-3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8.6499999999999999E-4</v>
      </c>
      <c r="Y67" s="215">
        <f>ROUND(V67*X67,2)</f>
        <v>39453.07</v>
      </c>
    </row>
    <row r="68" spans="1:26" ht="30.75" customHeight="1" x14ac:dyDescent="0.25">
      <c r="A68" s="1005" t="s">
        <v>79</v>
      </c>
      <c r="B68" s="1005"/>
      <c r="C68" s="1005"/>
      <c r="D68" s="1005"/>
      <c r="E68" s="1005"/>
      <c r="F68" s="36" t="s">
        <v>80</v>
      </c>
      <c r="G68" s="221">
        <f>Consolidated!F$86</f>
        <v>45610484</v>
      </c>
      <c r="H68" s="37" t="s">
        <v>81</v>
      </c>
      <c r="I68" s="41">
        <f>I63</f>
        <v>8.6499999999999999E-4</v>
      </c>
      <c r="J68" s="127">
        <f>ROUND(G68*I68,2)</f>
        <v>39453.07</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8.6399999999999997E-4</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8.6399999999999997E-4</v>
      </c>
      <c r="J70" s="127">
        <f>ROUND(G70*I70,2)</f>
        <v>0</v>
      </c>
      <c r="M70" s="2"/>
      <c r="R70" s="955" t="s">
        <v>163</v>
      </c>
      <c r="S70" s="955"/>
      <c r="T70" s="955"/>
      <c r="U70" s="158"/>
      <c r="V70" s="182">
        <f>G71</f>
        <v>18959906</v>
      </c>
      <c r="W70" s="162" t="s">
        <v>81</v>
      </c>
      <c r="X70" s="165">
        <f>X65</f>
        <v>1.0059999999999999E-3</v>
      </c>
      <c r="Y70" s="212">
        <f t="shared" si="11"/>
        <v>19073.669999999998</v>
      </c>
    </row>
    <row r="71" spans="1:26" ht="19.5" customHeight="1" x14ac:dyDescent="0.25">
      <c r="A71" s="952" t="s">
        <v>85</v>
      </c>
      <c r="B71" s="952"/>
      <c r="C71" s="952"/>
      <c r="D71" s="952"/>
      <c r="E71" s="952"/>
      <c r="F71" s="36" t="s">
        <v>86</v>
      </c>
      <c r="G71" s="221">
        <f>Consolidated!F$91</f>
        <v>18959906</v>
      </c>
      <c r="H71" s="37" t="s">
        <v>81</v>
      </c>
      <c r="I71" s="41">
        <f>I66</f>
        <v>1.0059999999999999E-3</v>
      </c>
      <c r="J71" s="127">
        <f>ROUND(G71*I71,2)</f>
        <v>19073.669999999998</v>
      </c>
      <c r="M71" s="2"/>
      <c r="R71" s="166" t="s">
        <v>164</v>
      </c>
      <c r="S71" s="166"/>
      <c r="T71" s="166"/>
      <c r="U71" s="158"/>
      <c r="V71" s="160">
        <f>G72</f>
        <v>11308391</v>
      </c>
      <c r="W71" s="162" t="s">
        <v>81</v>
      </c>
      <c r="X71" s="165">
        <f>X59</f>
        <v>1.0039999999999999E-3</v>
      </c>
      <c r="Y71" s="212">
        <f t="shared" si="11"/>
        <v>11353.62</v>
      </c>
    </row>
    <row r="72" spans="1:26" ht="19.5" customHeight="1" x14ac:dyDescent="0.25">
      <c r="A72" s="42" t="s">
        <v>87</v>
      </c>
      <c r="B72" s="42"/>
      <c r="C72" s="42"/>
      <c r="D72" s="42"/>
      <c r="E72" s="42"/>
      <c r="F72" s="36" t="s">
        <v>88</v>
      </c>
      <c r="G72" s="221">
        <f>Consolidated!F$93</f>
        <v>11308391</v>
      </c>
      <c r="H72" s="37" t="s">
        <v>81</v>
      </c>
      <c r="I72" s="41">
        <f>I60</f>
        <v>1.0039999999999999E-3</v>
      </c>
      <c r="J72" s="127">
        <f>ROUND(G72*I72,2)</f>
        <v>11353.62</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3.8570000000000002E-3</v>
      </c>
      <c r="J85" s="127">
        <f>ROUND(G85*I85,2)</f>
        <v>1036824.38</v>
      </c>
      <c r="K85" s="70"/>
      <c r="L85" s="70"/>
      <c r="M85" s="71"/>
      <c r="N85" s="70"/>
      <c r="O85" s="70"/>
      <c r="P85" s="70"/>
      <c r="Q85" s="70"/>
      <c r="R85" s="955" t="s">
        <v>168</v>
      </c>
      <c r="S85" s="955"/>
      <c r="T85" s="955"/>
      <c r="U85" s="158"/>
      <c r="V85" s="160">
        <f>G85</f>
        <v>268816278</v>
      </c>
      <c r="W85" s="162" t="s">
        <v>81</v>
      </c>
      <c r="X85" s="165">
        <f>X56</f>
        <v>8.1099999999999998E-4</v>
      </c>
      <c r="Y85" s="212">
        <f t="shared" ref="Y85:Y87" si="12">ROUND(V85*X85,2)</f>
        <v>218010</v>
      </c>
    </row>
    <row r="86" spans="1:26" ht="14.25" customHeight="1" x14ac:dyDescent="0.25">
      <c r="A86" s="952" t="s">
        <v>104</v>
      </c>
      <c r="B86" s="952"/>
      <c r="C86" s="952"/>
      <c r="D86" s="952"/>
      <c r="E86" s="952"/>
      <c r="F86" s="36" t="s">
        <v>103</v>
      </c>
      <c r="G86" s="128">
        <v>0</v>
      </c>
      <c r="H86" s="37" t="s">
        <v>81</v>
      </c>
      <c r="I86" s="41">
        <f>I57</f>
        <v>3.8570000000000002E-3</v>
      </c>
      <c r="J86" s="127">
        <f>ROUND(G86*I86,2)</f>
        <v>0</v>
      </c>
      <c r="K86" s="70"/>
      <c r="L86" s="71"/>
      <c r="M86" s="76"/>
      <c r="N86" s="76"/>
      <c r="O86" s="76"/>
      <c r="P86" s="76"/>
      <c r="Q86" s="70"/>
      <c r="R86" s="955" t="s">
        <v>169</v>
      </c>
      <c r="S86" s="955"/>
      <c r="T86" s="955"/>
      <c r="U86" s="158"/>
      <c r="V86" s="192">
        <f>G86</f>
        <v>0</v>
      </c>
      <c r="W86" s="162" t="s">
        <v>81</v>
      </c>
      <c r="X86" s="165">
        <f>X56</f>
        <v>8.1099999999999998E-4</v>
      </c>
      <c r="Y86" s="212">
        <f t="shared" si="12"/>
        <v>0</v>
      </c>
    </row>
    <row r="87" spans="1:26" ht="18" customHeight="1" x14ac:dyDescent="0.25">
      <c r="A87" s="952" t="s">
        <v>105</v>
      </c>
      <c r="B87" s="952"/>
      <c r="C87" s="952"/>
      <c r="D87" s="952"/>
      <c r="E87" s="952"/>
      <c r="F87" s="36" t="s">
        <v>84</v>
      </c>
      <c r="G87" s="128">
        <v>0</v>
      </c>
      <c r="H87" s="37" t="s">
        <v>81</v>
      </c>
      <c r="I87" s="41">
        <f>I54</f>
        <v>8.6399999999999997E-4</v>
      </c>
      <c r="J87" s="62">
        <f>ROUND(G87*I87,2)</f>
        <v>0</v>
      </c>
      <c r="K87" s="77"/>
      <c r="L87" s="70"/>
      <c r="M87" s="71"/>
      <c r="N87" s="70"/>
      <c r="O87" s="70"/>
      <c r="P87" s="70"/>
      <c r="Q87" s="70"/>
      <c r="R87" s="166" t="s">
        <v>170</v>
      </c>
      <c r="S87" s="166"/>
      <c r="T87" s="166"/>
      <c r="U87" s="158"/>
      <c r="V87" s="192">
        <f>G87</f>
        <v>0</v>
      </c>
      <c r="W87" s="162" t="s">
        <v>81</v>
      </c>
      <c r="X87" s="165">
        <f>X53</f>
        <v>8.6399999999999997E-4</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172.18819999999999</v>
      </c>
      <c r="C90" s="80"/>
      <c r="D90" s="921">
        <f>I6</f>
        <v>1.0355000000000001</v>
      </c>
      <c r="E90" s="921"/>
      <c r="F90" s="921"/>
      <c r="G90" s="113">
        <f>Consolidated!F$118</f>
        <v>958.42</v>
      </c>
      <c r="H90" s="47" t="s">
        <v>68</v>
      </c>
      <c r="I90" s="130">
        <f>ROUND(B90*D90*G90,2)</f>
        <v>170887.13</v>
      </c>
      <c r="J90" s="81"/>
      <c r="K90" s="70"/>
      <c r="L90" s="70"/>
      <c r="M90" s="71"/>
      <c r="N90" s="70"/>
      <c r="O90" s="70"/>
      <c r="P90" s="70"/>
      <c r="Q90" s="70"/>
      <c r="R90" s="155" t="s">
        <v>110</v>
      </c>
      <c r="S90" s="193">
        <f>X12+X13+X18+X21+X24</f>
        <v>36.879999999999995</v>
      </c>
      <c r="T90" s="984">
        <f>X6</f>
        <v>1.0355000000000001</v>
      </c>
      <c r="U90" s="984"/>
      <c r="V90" s="113">
        <f>G90</f>
        <v>958.42</v>
      </c>
      <c r="W90" s="171" t="s">
        <v>68</v>
      </c>
      <c r="X90" s="216">
        <f>ROUND(S90*T90*V90,2)</f>
        <v>36601.33</v>
      </c>
      <c r="Y90" s="194"/>
    </row>
    <row r="91" spans="1:26" ht="21" customHeight="1" x14ac:dyDescent="0.25">
      <c r="A91" s="82" t="s">
        <v>60</v>
      </c>
      <c r="B91" s="80">
        <f>I14+I15+I19+I22+I25</f>
        <v>212.8725</v>
      </c>
      <c r="C91" s="80"/>
      <c r="D91" s="921">
        <f>I6</f>
        <v>1.0355000000000001</v>
      </c>
      <c r="E91" s="921"/>
      <c r="F91" s="921"/>
      <c r="G91" s="113">
        <f>Consolidated!F$119</f>
        <v>915.09</v>
      </c>
      <c r="H91" s="47" t="s">
        <v>68</v>
      </c>
      <c r="I91" s="129">
        <f>ROUND(B91*D91*G91,2)</f>
        <v>201712.81</v>
      </c>
      <c r="K91" s="70"/>
      <c r="L91" s="70"/>
      <c r="M91" s="71"/>
      <c r="N91" s="70"/>
      <c r="O91" s="70"/>
      <c r="P91" s="70"/>
      <c r="Q91" s="70"/>
      <c r="R91" s="195" t="s">
        <v>60</v>
      </c>
      <c r="S91" s="193">
        <f>X14+X15+X19+X22+X25</f>
        <v>41</v>
      </c>
      <c r="T91" s="984">
        <f>X6</f>
        <v>1.0355000000000001</v>
      </c>
      <c r="U91" s="984"/>
      <c r="V91" s="113">
        <f>G91</f>
        <v>915.09</v>
      </c>
      <c r="W91" s="171" t="s">
        <v>68</v>
      </c>
      <c r="X91" s="216">
        <f>ROUND(S91*T91*V91,2)</f>
        <v>38850.6</v>
      </c>
      <c r="Y91" s="159"/>
    </row>
    <row r="92" spans="1:26" ht="19.5" customHeight="1" thickBot="1" x14ac:dyDescent="0.3">
      <c r="A92" s="83" t="s">
        <v>61</v>
      </c>
      <c r="B92" s="80">
        <f>I16+I17+I20+I23+I26+I27</f>
        <v>467.94579999999996</v>
      </c>
      <c r="C92" s="80"/>
      <c r="D92" s="921">
        <f>I6</f>
        <v>1.0355000000000001</v>
      </c>
      <c r="E92" s="921"/>
      <c r="F92" s="921"/>
      <c r="G92" s="113">
        <f>Consolidated!F$120</f>
        <v>917.3</v>
      </c>
      <c r="H92" s="47" t="s">
        <v>68</v>
      </c>
      <c r="I92" s="537">
        <f>ROUND(B92*D92*G92,2)</f>
        <v>444484.94</v>
      </c>
      <c r="K92" s="70"/>
      <c r="L92" s="70"/>
      <c r="M92" s="71"/>
      <c r="N92" s="70"/>
      <c r="O92" s="70"/>
      <c r="P92" s="70"/>
      <c r="Q92" s="70"/>
      <c r="R92" s="196" t="s">
        <v>61</v>
      </c>
      <c r="S92" s="197">
        <f>X16+X17+X20+X23+X26+X27</f>
        <v>101.52000000000001</v>
      </c>
      <c r="T92" s="984">
        <f>X6</f>
        <v>1.0355000000000001</v>
      </c>
      <c r="U92" s="984"/>
      <c r="V92" s="113">
        <f>G92</f>
        <v>917.3</v>
      </c>
      <c r="W92" s="171" t="s">
        <v>68</v>
      </c>
      <c r="X92" s="216">
        <f>ROUND(S92*T92*V92,2)</f>
        <v>96430.21</v>
      </c>
      <c r="Y92" s="159"/>
    </row>
    <row r="93" spans="1:26" ht="18.75" customHeight="1" thickBot="1" x14ac:dyDescent="0.3">
      <c r="A93" s="84" t="s">
        <v>111</v>
      </c>
      <c r="B93" s="80">
        <f>SUM(B90:B92)</f>
        <v>853.00649999999996</v>
      </c>
      <c r="C93" s="80"/>
      <c r="D93" s="80"/>
      <c r="E93" s="999" t="s">
        <v>112</v>
      </c>
      <c r="F93" s="999"/>
      <c r="G93" s="999"/>
      <c r="H93" s="999"/>
      <c r="I93" s="999"/>
      <c r="J93" s="116">
        <f>IF(A1=75,0,I92+I91+I90)</f>
        <v>817084.88</v>
      </c>
      <c r="K93" s="70"/>
      <c r="L93" s="70"/>
      <c r="M93" s="71"/>
      <c r="N93" s="70"/>
      <c r="O93" s="70"/>
      <c r="P93" s="70"/>
      <c r="Q93" s="70"/>
      <c r="R93" s="198" t="s">
        <v>111</v>
      </c>
      <c r="S93" s="199">
        <f>SUM(S90:S92)</f>
        <v>179.4</v>
      </c>
      <c r="T93" s="985" t="s">
        <v>112</v>
      </c>
      <c r="U93" s="986"/>
      <c r="V93" s="986"/>
      <c r="W93" s="986"/>
      <c r="X93" s="986"/>
      <c r="Y93" s="212">
        <f>IF(R1=75,0,X92+X91+X90)</f>
        <v>171882.14</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1</v>
      </c>
      <c r="U96" s="990"/>
      <c r="V96" s="990"/>
      <c r="W96" s="200" t="s">
        <v>117</v>
      </c>
      <c r="X96" s="201">
        <f>I97</f>
        <v>578</v>
      </c>
      <c r="Y96" s="212">
        <f>ROUND(X96*T96,2)</f>
        <v>578</v>
      </c>
    </row>
    <row r="97" spans="1:25" ht="17.25" customHeight="1" x14ac:dyDescent="0.25">
      <c r="A97" s="970" t="s">
        <v>116</v>
      </c>
      <c r="B97" s="970"/>
      <c r="C97" s="223">
        <v>1</v>
      </c>
      <c r="D97" s="223">
        <v>1</v>
      </c>
      <c r="E97" s="1044">
        <f>IF(D97&gt;0,(C97+D97)/2,C97)</f>
        <v>1</v>
      </c>
      <c r="F97" s="922"/>
      <c r="G97" s="922"/>
      <c r="H97" s="85" t="s">
        <v>117</v>
      </c>
      <c r="I97" s="119">
        <f>Consolidated!G$127</f>
        <v>578</v>
      </c>
      <c r="J97" s="127">
        <f>ROUND(I97*E97,2)</f>
        <v>578</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1</v>
      </c>
      <c r="D98" s="223">
        <v>0</v>
      </c>
      <c r="E98" s="1049">
        <f>(C98+D98)</f>
        <v>1</v>
      </c>
      <c r="F98" s="1049"/>
      <c r="G98" s="1049"/>
      <c r="H98" s="85" t="s">
        <v>117</v>
      </c>
      <c r="I98" s="119">
        <f>Consolidated!G$128</f>
        <v>1794</v>
      </c>
      <c r="J98" s="62">
        <f>ROUND(I98*E98,2)</f>
        <v>1794</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6740032.5599999996</v>
      </c>
      <c r="L107" s="538"/>
      <c r="R107" s="955" t="s">
        <v>125</v>
      </c>
      <c r="S107" s="955"/>
      <c r="T107" s="955"/>
      <c r="U107" s="955"/>
      <c r="V107" s="955"/>
      <c r="W107" s="955"/>
      <c r="X107" s="955"/>
      <c r="Y107" s="672">
        <f>SUM(Y106,Y105,Y97,Y96,Y93,Y86,Y85,Y84,Y70,Y69,Y67,Y33,Y71,Y50,Y87,Y83)</f>
        <v>1458411.4300000002</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6432781.3899999997</v>
      </c>
      <c r="R109" s="159" t="s">
        <v>176</v>
      </c>
      <c r="S109" s="159"/>
      <c r="T109" s="159"/>
      <c r="U109" s="159"/>
      <c r="V109" s="159"/>
      <c r="W109" s="159"/>
      <c r="X109" s="159"/>
      <c r="Y109" s="673">
        <f>Y107-Y38</f>
        <v>1151160.2600000002</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5">
        <v>1</v>
      </c>
      <c r="J111" s="126">
        <f>Y109</f>
        <v>1151160.2600000002</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H113" s="658"/>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I114" s="659">
        <f>IF(I111=1,J111,J109)</f>
        <v>1151160.2600000002</v>
      </c>
      <c r="J114" s="660">
        <f>ROUND(IF(E28=0,0,IF(E28&gt;250,-(((250/E28)*I114)*IF(H113="H",0.02,0.05)),IF(H113="H",-0.02*I114,-0.05*I114))),2)</f>
        <v>-57558.01</v>
      </c>
      <c r="M114" s="2"/>
      <c r="N114" s="3"/>
      <c r="R114" s="2"/>
      <c r="T114" s="4"/>
      <c r="W114" s="2"/>
      <c r="X114" s="5"/>
    </row>
    <row r="115" spans="1:26" ht="16.5" customHeight="1" x14ac:dyDescent="0.25">
      <c r="A115" s="231"/>
      <c r="B115" s="231"/>
      <c r="C115" s="231"/>
      <c r="D115" s="231"/>
      <c r="E115" s="231"/>
      <c r="F115" s="231"/>
      <c r="G115" s="231"/>
      <c r="H115" s="661"/>
      <c r="I115" s="662"/>
      <c r="J115" s="663"/>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664"/>
      <c r="I116" s="665"/>
      <c r="J116" s="666">
        <f>J107+J114</f>
        <v>6682474.5499999998</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61"/>
      <c r="I117" s="662"/>
      <c r="J117" s="663"/>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661"/>
      <c r="I118" s="662"/>
      <c r="J118" s="667">
        <f>-'Cumulative Payments'!R84</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61"/>
      <c r="I119" s="662"/>
      <c r="J119" s="663"/>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661"/>
      <c r="I120" s="662"/>
      <c r="J120" s="663">
        <f>J116+J118</f>
        <v>6682474.5499999998</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61"/>
      <c r="I121" s="662"/>
      <c r="J121" s="663"/>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661"/>
      <c r="I122" s="662"/>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61"/>
      <c r="I123" s="662"/>
      <c r="J123" s="663"/>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661"/>
      <c r="I124" s="662"/>
      <c r="J124" s="669">
        <f>ROUND(J120/J122,2)</f>
        <v>556872.88</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61"/>
      <c r="I125" s="662"/>
      <c r="J125" s="663"/>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661"/>
      <c r="I126" s="662"/>
      <c r="J126" s="670">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77115-A370-40C6-8E06-C088BC87A968}">
  <dimension ref="A1:Z207"/>
  <sheetViews>
    <sheetView topLeftCell="A36" workbookViewId="0">
      <selection activeCell="A36" sqref="A36:E36"/>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506</v>
      </c>
      <c r="B2" s="101"/>
      <c r="C2" s="101"/>
      <c r="D2" s="101"/>
      <c r="E2" s="6"/>
      <c r="F2" s="6"/>
      <c r="G2" s="6"/>
      <c r="H2" s="6"/>
      <c r="I2" s="706" t="str">
        <f>RIGHT(A2,4)</f>
        <v>3345</v>
      </c>
      <c r="J2" s="6"/>
      <c r="K2" s="6"/>
      <c r="L2" s="6"/>
      <c r="M2" s="6"/>
      <c r="N2" s="6"/>
      <c r="O2" s="6"/>
      <c r="P2" s="6"/>
      <c r="Q2" s="6"/>
      <c r="R2" s="927" t="str">
        <f>Revenue_Estimate_Worksheet_for___________Charter_School</f>
        <v>Revenue Estimate Worksheet: Career Academy of the Palm Beaches - 3345</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H</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0</v>
      </c>
      <c r="D14" s="392">
        <f>SUMIFS('Surv2-3'!L:L,'Surv2-3'!$H:$H,$I$2,'Surv2-3'!$I:$I,$O14)</f>
        <v>0</v>
      </c>
      <c r="E14" s="1020">
        <f t="shared" si="0"/>
        <v>0</v>
      </c>
      <c r="F14" s="1020"/>
      <c r="G14" s="1026">
        <f>Consolidated!$F16</f>
        <v>1</v>
      </c>
      <c r="H14" s="1026">
        <f>Consolidated!$H$9</f>
        <v>1</v>
      </c>
      <c r="I14" s="539">
        <f t="shared" si="3"/>
        <v>0</v>
      </c>
      <c r="J14" s="540">
        <f>ROUND(ROUND(ROUND(I14*$E$6,4)*($I$6),2)*(MAX($I$7,1)),2)</f>
        <v>0</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0</v>
      </c>
      <c r="D15" s="392">
        <f>SUMIFS('Surv2-3'!L:L,'Surv2-3'!$H:$H,$I$2,'Surv2-3'!$I:$I,$O15)</f>
        <v>0</v>
      </c>
      <c r="E15" s="1020">
        <f t="shared" si="0"/>
        <v>0</v>
      </c>
      <c r="F15" s="1020"/>
      <c r="G15" s="1026">
        <f>Consolidated!$F17</f>
        <v>1</v>
      </c>
      <c r="H15" s="1026">
        <f>Consolidated!$H$9</f>
        <v>1</v>
      </c>
      <c r="I15" s="539">
        <f t="shared" si="3"/>
        <v>0</v>
      </c>
      <c r="J15" s="540">
        <f t="shared" si="1"/>
        <v>0</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40.5</v>
      </c>
      <c r="D17" s="392">
        <f>SUMIFS('Surv2-3'!M:M,'Surv2-3'!$H:$H,$I$2,'Surv2-3'!$I:$I,$O17)</f>
        <v>41</v>
      </c>
      <c r="E17" s="1020">
        <f t="shared" si="0"/>
        <v>81.5</v>
      </c>
      <c r="F17" s="1020"/>
      <c r="G17" s="1026">
        <f>Consolidated!$F19</f>
        <v>0.97199999999999998</v>
      </c>
      <c r="H17" s="1026">
        <f>Consolidated!$H$9</f>
        <v>1</v>
      </c>
      <c r="I17" s="539">
        <f t="shared" si="3"/>
        <v>79.218000000000004</v>
      </c>
      <c r="J17" s="540">
        <f t="shared" si="1"/>
        <v>440715.66</v>
      </c>
      <c r="M17" s="2"/>
      <c r="O17" s="2" t="str">
        <f t="shared" si="2"/>
        <v>113</v>
      </c>
      <c r="R17" s="946" t="s">
        <v>25</v>
      </c>
      <c r="S17" s="946"/>
      <c r="T17" s="944">
        <f t="shared" si="4"/>
        <v>81.5</v>
      </c>
      <c r="U17" s="944"/>
      <c r="V17" s="950">
        <v>1</v>
      </c>
      <c r="W17" s="950"/>
      <c r="X17" s="145">
        <f t="shared" si="5"/>
        <v>81.5</v>
      </c>
      <c r="Y17" s="212">
        <f t="shared" si="7"/>
        <v>453411.17</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0.5</v>
      </c>
      <c r="D20" s="392">
        <f>SUMIFS('Surv2-3'!M:M,'Surv2-3'!$H:$H,$I$2,'Surv2-3'!$I:$I,$O20)</f>
        <v>1</v>
      </c>
      <c r="E20" s="1020">
        <f t="shared" si="0"/>
        <v>1.5</v>
      </c>
      <c r="F20" s="1020"/>
      <c r="G20" s="1026">
        <f>Consolidated!$F22</f>
        <v>3.609</v>
      </c>
      <c r="H20" s="1026">
        <f>Consolidated!$H$9</f>
        <v>1</v>
      </c>
      <c r="I20" s="539">
        <f t="shared" si="3"/>
        <v>5.4135</v>
      </c>
      <c r="J20" s="540">
        <f t="shared" si="1"/>
        <v>30117.07</v>
      </c>
      <c r="M20" s="2"/>
      <c r="O20" s="2" t="str">
        <f t="shared" si="2"/>
        <v>254</v>
      </c>
      <c r="R20" s="946" t="s">
        <v>28</v>
      </c>
      <c r="S20" s="946"/>
      <c r="T20" s="944">
        <f t="shared" si="4"/>
        <v>1.5</v>
      </c>
      <c r="U20" s="944"/>
      <c r="V20" s="950">
        <v>1</v>
      </c>
      <c r="W20" s="950"/>
      <c r="X20" s="145">
        <f t="shared" si="5"/>
        <v>1.5</v>
      </c>
      <c r="Y20" s="212">
        <f t="shared" si="7"/>
        <v>8344.99</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v>
      </c>
      <c r="D25" s="392">
        <f>SUMIFS('Surv2-3'!L:L,'Surv2-3'!$H:$H,$I$2,'Surv2-3'!$I:$I,$O25)</f>
        <v>0</v>
      </c>
      <c r="E25" s="1020">
        <f t="shared" si="0"/>
        <v>0</v>
      </c>
      <c r="F25" s="1020"/>
      <c r="G25" s="1026">
        <f>Consolidated!$F27</f>
        <v>1.165</v>
      </c>
      <c r="H25" s="1026">
        <f>Consolidated!$H$9</f>
        <v>1</v>
      </c>
      <c r="I25" s="539">
        <f t="shared" si="3"/>
        <v>0</v>
      </c>
      <c r="J25" s="540">
        <f t="shared" si="1"/>
        <v>0</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41</v>
      </c>
      <c r="D28" s="822">
        <f>SUM(D12:D27)</f>
        <v>42</v>
      </c>
      <c r="E28" s="1025">
        <f>SUM(E12:E27)</f>
        <v>83</v>
      </c>
      <c r="F28" s="1025"/>
      <c r="G28" s="1020"/>
      <c r="H28" s="1020"/>
      <c r="I28" s="23">
        <f>SUM(I12:I27)</f>
        <v>84.631500000000003</v>
      </c>
      <c r="J28" s="116">
        <f>SUM(J12:J27)</f>
        <v>470832.73</v>
      </c>
      <c r="M28" s="2"/>
      <c r="R28" s="963" t="s">
        <v>36</v>
      </c>
      <c r="S28" s="963"/>
      <c r="T28" s="964">
        <f>SUM(T12:T27)</f>
        <v>83</v>
      </c>
      <c r="U28" s="964"/>
      <c r="V28" s="965"/>
      <c r="W28" s="965"/>
      <c r="X28" s="147">
        <f>SUM(X12:X27)</f>
        <v>83</v>
      </c>
      <c r="Y28" s="212">
        <f>SUM(Y12:Y27)</f>
        <v>461756.15999999997</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84.631500000000003</v>
      </c>
      <c r="H33" s="1020" t="s">
        <v>45</v>
      </c>
      <c r="I33" s="1020"/>
      <c r="J33" s="32">
        <f>SUM(J32,J28)</f>
        <v>470832.73</v>
      </c>
      <c r="M33" s="2"/>
      <c r="R33" s="969" t="s">
        <v>44</v>
      </c>
      <c r="S33" s="969"/>
      <c r="T33" s="969"/>
      <c r="U33" s="969"/>
      <c r="V33" s="153">
        <f>V32+X28</f>
        <v>83</v>
      </c>
      <c r="W33" s="965" t="s">
        <v>45</v>
      </c>
      <c r="X33" s="965"/>
      <c r="Y33" s="154">
        <f>SUM(Y32,Y28)</f>
        <v>461756.15999999997</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445722.66</v>
      </c>
      <c r="H36" s="37" t="s">
        <v>49</v>
      </c>
      <c r="I36" s="38">
        <v>6.6699999999999995E-2</v>
      </c>
      <c r="J36" s="120">
        <f>ROUND(G36*I36,2)</f>
        <v>29729.7</v>
      </c>
      <c r="K36" s="39"/>
      <c r="L36" s="33"/>
      <c r="M36" s="33"/>
      <c r="N36" s="33"/>
      <c r="O36" s="31"/>
      <c r="P36" s="34"/>
      <c r="Q36" s="34"/>
      <c r="R36" s="946" t="s">
        <v>47</v>
      </c>
      <c r="S36" s="946"/>
      <c r="T36" s="946"/>
      <c r="U36" s="158"/>
      <c r="V36" s="161">
        <v>428376.2</v>
      </c>
      <c r="W36" s="162" t="s">
        <v>49</v>
      </c>
      <c r="X36" s="163">
        <v>6.6699999999999995E-2</v>
      </c>
      <c r="Y36" s="212">
        <f>J36</f>
        <v>29729.7</v>
      </c>
    </row>
    <row r="37" spans="1:25" ht="20.25" customHeight="1" x14ac:dyDescent="0.25">
      <c r="A37" s="916" t="s">
        <v>50</v>
      </c>
      <c r="B37" s="916"/>
      <c r="C37" s="916"/>
      <c r="D37" s="916"/>
      <c r="E37" s="916"/>
      <c r="F37" s="36" t="s">
        <v>48</v>
      </c>
      <c r="G37" s="121">
        <v>445722.66</v>
      </c>
      <c r="H37" s="37" t="s">
        <v>49</v>
      </c>
      <c r="I37" s="38">
        <v>5.4000000000000003E-3</v>
      </c>
      <c r="J37" s="120">
        <f>ROUND(G37*I37,2)</f>
        <v>2406.9</v>
      </c>
      <c r="K37" s="39"/>
      <c r="L37" s="33"/>
      <c r="M37" s="33"/>
      <c r="N37" s="33"/>
      <c r="O37" s="31"/>
      <c r="P37" s="34"/>
      <c r="Q37" s="34"/>
      <c r="R37" s="946" t="s">
        <v>50</v>
      </c>
      <c r="S37" s="946"/>
      <c r="T37" s="946"/>
      <c r="U37" s="158"/>
      <c r="V37" s="161">
        <v>428376.2</v>
      </c>
      <c r="W37" s="162" t="s">
        <v>49</v>
      </c>
      <c r="X37" s="163">
        <v>5.4000000000000003E-3</v>
      </c>
      <c r="Y37" s="212">
        <f>J37</f>
        <v>2406.9</v>
      </c>
    </row>
    <row r="38" spans="1:25" ht="20.25" customHeight="1" x14ac:dyDescent="0.25">
      <c r="A38" s="952" t="s">
        <v>51</v>
      </c>
      <c r="B38" s="952"/>
      <c r="C38" s="952"/>
      <c r="D38" s="952"/>
      <c r="E38" s="952"/>
      <c r="F38" s="36" t="s">
        <v>52</v>
      </c>
      <c r="G38" s="40"/>
      <c r="H38" s="37"/>
      <c r="I38" s="41"/>
      <c r="J38" s="120">
        <f>SUM(J36:J37)</f>
        <v>32136.600000000002</v>
      </c>
      <c r="K38" s="39"/>
      <c r="L38" s="33"/>
      <c r="M38" s="33"/>
      <c r="N38" s="33"/>
      <c r="O38" s="31"/>
      <c r="P38" s="34"/>
      <c r="Q38" s="34"/>
      <c r="R38" s="955" t="s">
        <v>51</v>
      </c>
      <c r="S38" s="955"/>
      <c r="T38" s="955"/>
      <c r="U38" s="158" t="s">
        <v>52</v>
      </c>
      <c r="V38" s="164"/>
      <c r="W38" s="162"/>
      <c r="X38" s="165"/>
      <c r="Y38" s="212">
        <f>Y36+Y37</f>
        <v>32136.600000000002</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37" t="s">
        <v>59</v>
      </c>
      <c r="H41" s="37">
        <v>251</v>
      </c>
      <c r="I41" s="125">
        <f>Consolidated!$H59</f>
        <v>1047</v>
      </c>
      <c r="J41" s="46">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4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46">
        <f t="shared" si="9"/>
        <v>0</v>
      </c>
      <c r="M43" s="2"/>
      <c r="R43" s="958"/>
      <c r="S43" s="958"/>
      <c r="T43" s="960"/>
      <c r="U43" s="960"/>
      <c r="V43" s="162" t="s">
        <v>59</v>
      </c>
      <c r="W43" s="162">
        <v>253</v>
      </c>
      <c r="X43" s="123">
        <f>Consolidated!$H61</f>
        <v>6896</v>
      </c>
      <c r="Y43" s="213">
        <f t="shared" si="10"/>
        <v>0</v>
      </c>
    </row>
    <row r="44" spans="1:25" ht="20.25" customHeight="1"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0</v>
      </c>
      <c r="D45" s="824">
        <f>SUMIFS('Surv2-3'!L:L,'Surv2-3'!$H:$H,$I$2,'Surv2-3'!$I:$I,$H45-140)</f>
        <v>0</v>
      </c>
      <c r="E45" s="1013">
        <f t="shared" si="8"/>
        <v>0</v>
      </c>
      <c r="F45" s="1013"/>
      <c r="G45" s="47" t="s">
        <v>60</v>
      </c>
      <c r="H45" s="37">
        <v>252</v>
      </c>
      <c r="I45" s="125">
        <f>Consolidated!$H63</f>
        <v>3506</v>
      </c>
      <c r="J45" s="46">
        <f t="shared" si="9"/>
        <v>0</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12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12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40.5</v>
      </c>
      <c r="D49" s="824">
        <f>SUMIFS('Surv2-3'!M:M,'Surv2-3'!$H:$H,$I$2,'Surv2-3'!$I:$I,$H49-140)</f>
        <v>41</v>
      </c>
      <c r="E49" s="1014">
        <f t="shared" si="8"/>
        <v>81.5</v>
      </c>
      <c r="F49" s="1014"/>
      <c r="G49" s="47" t="s">
        <v>61</v>
      </c>
      <c r="H49" s="37">
        <v>253</v>
      </c>
      <c r="I49" s="125">
        <f>Consolidated!$H67</f>
        <v>6685</v>
      </c>
      <c r="J49" s="126">
        <f t="shared" si="9"/>
        <v>544827.5</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40.5</v>
      </c>
      <c r="D50" s="825">
        <f>SUM(D41:D49)</f>
        <v>41</v>
      </c>
      <c r="E50" s="1015">
        <f>SUM(E41:E49)</f>
        <v>81.5</v>
      </c>
      <c r="F50" s="1015"/>
      <c r="G50" s="970" t="s">
        <v>63</v>
      </c>
      <c r="H50" s="970"/>
      <c r="I50" s="970"/>
      <c r="J50" s="220">
        <f>SUM(J41:J49)</f>
        <v>544827.5</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83</v>
      </c>
      <c r="U52" s="173" t="s">
        <v>66</v>
      </c>
      <c r="V52" s="174"/>
      <c r="W52" s="175" t="s">
        <v>67</v>
      </c>
      <c r="X52" s="977">
        <f>I53</f>
        <v>207716.69</v>
      </c>
      <c r="Y52" s="977"/>
    </row>
    <row r="53" spans="1:25" ht="16.5" customHeight="1" x14ac:dyDescent="0.25">
      <c r="A53" s="953" t="s">
        <v>65</v>
      </c>
      <c r="B53" s="953"/>
      <c r="C53" s="51"/>
      <c r="D53" s="51"/>
      <c r="E53" s="48">
        <f>E28</f>
        <v>83</v>
      </c>
      <c r="F53" s="49" t="s">
        <v>66</v>
      </c>
      <c r="G53" s="3"/>
      <c r="H53" s="50" t="s">
        <v>67</v>
      </c>
      <c r="I53" s="1051">
        <f>Consolidated!H$71</f>
        <v>207716.69</v>
      </c>
      <c r="J53" s="1051"/>
      <c r="M53" s="2"/>
      <c r="R53" s="176"/>
      <c r="S53" s="177"/>
      <c r="T53" s="159"/>
      <c r="U53" s="159"/>
      <c r="V53" s="159"/>
      <c r="W53" s="178" t="s">
        <v>68</v>
      </c>
      <c r="X53" s="978">
        <f>ROUND(T52/X52,6)</f>
        <v>4.0000000000000002E-4</v>
      </c>
      <c r="Y53" s="978"/>
    </row>
    <row r="54" spans="1:25" ht="22.5" customHeight="1" x14ac:dyDescent="0.25">
      <c r="A54" s="51"/>
      <c r="B54" s="52"/>
      <c r="C54" s="52"/>
      <c r="D54" s="52"/>
      <c r="H54" s="53" t="s">
        <v>68</v>
      </c>
      <c r="I54" s="1004">
        <f>IFERROR(ROUND(E53/I53,6),0)</f>
        <v>4.0000000000000002E-4</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83</v>
      </c>
      <c r="U55" s="173" t="s">
        <v>66</v>
      </c>
      <c r="V55" s="174"/>
      <c r="W55" s="175" t="s">
        <v>71</v>
      </c>
      <c r="X55" s="977">
        <f>I56</f>
        <v>221131.37000000002</v>
      </c>
      <c r="Y55" s="977"/>
    </row>
    <row r="56" spans="1:25" ht="16.5" customHeight="1" x14ac:dyDescent="0.25">
      <c r="A56" s="953" t="s">
        <v>70</v>
      </c>
      <c r="B56" s="953"/>
      <c r="C56" s="51"/>
      <c r="D56" s="51"/>
      <c r="E56" s="48">
        <f>G33</f>
        <v>84.631500000000003</v>
      </c>
      <c r="F56" s="49" t="s">
        <v>66</v>
      </c>
      <c r="G56" s="3"/>
      <c r="H56" s="50" t="s">
        <v>71</v>
      </c>
      <c r="I56" s="1051">
        <f>Consolidated!H$74</f>
        <v>221131.37000000002</v>
      </c>
      <c r="J56" s="1051"/>
      <c r="M56" s="2"/>
      <c r="R56" s="176"/>
      <c r="S56" s="159"/>
      <c r="T56" s="159"/>
      <c r="U56" s="159"/>
      <c r="V56" s="159"/>
      <c r="W56" s="178" t="s">
        <v>68</v>
      </c>
      <c r="X56" s="978">
        <f>ROUND(T55/X55,6)</f>
        <v>3.7500000000000001E-4</v>
      </c>
      <c r="Y56" s="978"/>
    </row>
    <row r="57" spans="1:25" ht="18.75" customHeight="1" x14ac:dyDescent="0.25">
      <c r="A57" s="51"/>
      <c r="H57" s="53" t="s">
        <v>68</v>
      </c>
      <c r="I57" s="1004">
        <f>IFERROR(ROUND(E56/I56,6),0)</f>
        <v>3.8299999999999999E-4</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83</v>
      </c>
      <c r="U58" s="173" t="s">
        <v>66</v>
      </c>
      <c r="V58" s="976" t="s">
        <v>74</v>
      </c>
      <c r="W58" s="976"/>
      <c r="X58" s="977">
        <f>I59</f>
        <v>178668.19</v>
      </c>
      <c r="Y58" s="977"/>
    </row>
    <row r="59" spans="1:25" ht="18.75" customHeight="1" x14ac:dyDescent="0.25">
      <c r="A59" s="953" t="s">
        <v>73</v>
      </c>
      <c r="B59" s="953"/>
      <c r="C59" s="51"/>
      <c r="D59" s="51"/>
      <c r="E59" s="48">
        <f>E28</f>
        <v>83</v>
      </c>
      <c r="F59" s="49" t="s">
        <v>66</v>
      </c>
      <c r="G59" s="1046" t="s">
        <v>74</v>
      </c>
      <c r="H59" s="1046"/>
      <c r="I59" s="1051">
        <f>Consolidated!H$77</f>
        <v>178668.19</v>
      </c>
      <c r="J59" s="1051"/>
      <c r="M59" s="2"/>
      <c r="R59" s="176"/>
      <c r="S59" s="159"/>
      <c r="T59" s="159"/>
      <c r="U59" s="159"/>
      <c r="V59" s="159"/>
      <c r="W59" s="178" t="s">
        <v>68</v>
      </c>
      <c r="X59" s="978">
        <f>ROUND(T58/X58,6)</f>
        <v>4.6500000000000003E-4</v>
      </c>
      <c r="Y59" s="978"/>
    </row>
    <row r="60" spans="1:25" ht="18" customHeight="1" x14ac:dyDescent="0.25">
      <c r="A60" s="51"/>
      <c r="H60" s="53" t="s">
        <v>68</v>
      </c>
      <c r="I60" s="1004">
        <f>IFERROR(ROUND(E59/I59,6),0)</f>
        <v>4.6500000000000003E-4</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83</v>
      </c>
      <c r="U61" s="173" t="s">
        <v>66</v>
      </c>
      <c r="V61" s="976" t="s">
        <v>76</v>
      </c>
      <c r="W61" s="976"/>
      <c r="X61" s="977">
        <f>I62</f>
        <v>207376.94</v>
      </c>
      <c r="Y61" s="977"/>
    </row>
    <row r="62" spans="1:25" ht="30.75" customHeight="1" x14ac:dyDescent="0.25">
      <c r="A62" s="953" t="s">
        <v>73</v>
      </c>
      <c r="B62" s="953"/>
      <c r="C62" s="51"/>
      <c r="D62" s="51"/>
      <c r="E62" s="48">
        <f>E28</f>
        <v>83</v>
      </c>
      <c r="F62" s="49" t="s">
        <v>66</v>
      </c>
      <c r="G62" s="1046" t="s">
        <v>76</v>
      </c>
      <c r="H62" s="1046"/>
      <c r="I62" s="1051">
        <f>Consolidated!H$80</f>
        <v>207376.94</v>
      </c>
      <c r="J62" s="1051"/>
      <c r="M62" s="2"/>
      <c r="R62" s="176"/>
      <c r="S62" s="159"/>
      <c r="T62" s="159"/>
      <c r="U62" s="159"/>
      <c r="V62" s="159"/>
      <c r="W62" s="178" t="s">
        <v>68</v>
      </c>
      <c r="X62" s="978">
        <f>ROUND(T61/X61,6)</f>
        <v>4.0000000000000002E-4</v>
      </c>
      <c r="Y62" s="978"/>
    </row>
    <row r="63" spans="1:25" ht="19.5" customHeight="1" x14ac:dyDescent="0.25">
      <c r="A63" s="51"/>
      <c r="H63" s="53" t="s">
        <v>68</v>
      </c>
      <c r="I63" s="1004">
        <f>IFERROR(ROUND(E62/I62,6),0)</f>
        <v>4.0000000000000002E-4</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83</v>
      </c>
      <c r="U64" s="173" t="s">
        <v>66</v>
      </c>
      <c r="V64" s="976" t="s">
        <v>161</v>
      </c>
      <c r="W64" s="976"/>
      <c r="X64" s="977">
        <f>I65</f>
        <v>178328.44</v>
      </c>
      <c r="Y64" s="977"/>
    </row>
    <row r="65" spans="1:26" ht="49.5" customHeight="1" x14ac:dyDescent="0.25">
      <c r="A65" s="953" t="s">
        <v>73</v>
      </c>
      <c r="B65" s="953"/>
      <c r="C65" s="51"/>
      <c r="D65" s="51"/>
      <c r="E65" s="48">
        <f>E28</f>
        <v>83</v>
      </c>
      <c r="F65" s="49" t="s">
        <v>66</v>
      </c>
      <c r="G65" s="1046" t="s">
        <v>78</v>
      </c>
      <c r="H65" s="1046"/>
      <c r="I65" s="1051">
        <f>Consolidated!H$83</f>
        <v>178328.44</v>
      </c>
      <c r="J65" s="1051"/>
      <c r="M65" s="2"/>
      <c r="R65" s="179"/>
      <c r="S65" s="159"/>
      <c r="T65" s="159"/>
      <c r="U65" s="159"/>
      <c r="V65" s="159"/>
      <c r="W65" s="178" t="s">
        <v>68</v>
      </c>
      <c r="X65" s="978">
        <f>ROUND(T64/X64,6)</f>
        <v>4.6500000000000003E-4</v>
      </c>
      <c r="Y65" s="978"/>
    </row>
    <row r="66" spans="1:26" ht="19.5" customHeight="1" x14ac:dyDescent="0.25">
      <c r="A66" s="51"/>
      <c r="H66" s="53" t="s">
        <v>68</v>
      </c>
      <c r="I66" s="1004">
        <f>IFERROR(ROUND(E65/I65,6),0)</f>
        <v>4.6500000000000003E-4</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4.0000000000000002E-4</v>
      </c>
      <c r="Y67" s="215">
        <f>ROUND(V67*X67,2)</f>
        <v>18244.189999999999</v>
      </c>
    </row>
    <row r="68" spans="1:26" ht="30.75" customHeight="1" x14ac:dyDescent="0.25">
      <c r="A68" s="1005" t="s">
        <v>79</v>
      </c>
      <c r="B68" s="1005"/>
      <c r="C68" s="1005"/>
      <c r="D68" s="1005"/>
      <c r="E68" s="1005"/>
      <c r="F68" s="36" t="s">
        <v>80</v>
      </c>
      <c r="G68" s="221">
        <f>Consolidated!F$86</f>
        <v>45610484</v>
      </c>
      <c r="H68" s="37" t="s">
        <v>81</v>
      </c>
      <c r="I68" s="41">
        <f>I63</f>
        <v>4.0000000000000002E-4</v>
      </c>
      <c r="J68" s="127">
        <f>ROUND(G68*I68,2)</f>
        <v>18244.189999999999</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4.0000000000000002E-4</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4.0000000000000002E-4</v>
      </c>
      <c r="J70" s="127">
        <f>ROUND(G70*I70,2)</f>
        <v>0</v>
      </c>
      <c r="M70" s="2"/>
      <c r="R70" s="955" t="s">
        <v>163</v>
      </c>
      <c r="S70" s="955"/>
      <c r="T70" s="955"/>
      <c r="U70" s="158"/>
      <c r="V70" s="182">
        <f>G71</f>
        <v>18959906</v>
      </c>
      <c r="W70" s="162" t="s">
        <v>81</v>
      </c>
      <c r="X70" s="165">
        <f>X65</f>
        <v>4.6500000000000003E-4</v>
      </c>
      <c r="Y70" s="212">
        <f t="shared" si="11"/>
        <v>8816.36</v>
      </c>
    </row>
    <row r="71" spans="1:26" ht="19.5" customHeight="1" x14ac:dyDescent="0.25">
      <c r="A71" s="952" t="s">
        <v>85</v>
      </c>
      <c r="B71" s="952"/>
      <c r="C71" s="952"/>
      <c r="D71" s="952"/>
      <c r="E71" s="952"/>
      <c r="F71" s="36" t="s">
        <v>86</v>
      </c>
      <c r="G71" s="221">
        <f>Consolidated!F$91</f>
        <v>18959906</v>
      </c>
      <c r="H71" s="37" t="s">
        <v>81</v>
      </c>
      <c r="I71" s="41">
        <f>I66</f>
        <v>4.6500000000000003E-4</v>
      </c>
      <c r="J71" s="127">
        <f>ROUND(G71*I71,2)</f>
        <v>8816.36</v>
      </c>
      <c r="M71" s="2"/>
      <c r="R71" s="166" t="s">
        <v>164</v>
      </c>
      <c r="S71" s="166"/>
      <c r="T71" s="166"/>
      <c r="U71" s="158"/>
      <c r="V71" s="160">
        <f>G72</f>
        <v>11308391</v>
      </c>
      <c r="W71" s="162" t="s">
        <v>81</v>
      </c>
      <c r="X71" s="165">
        <f>X59</f>
        <v>4.6500000000000003E-4</v>
      </c>
      <c r="Y71" s="212">
        <f t="shared" si="11"/>
        <v>5258.4</v>
      </c>
    </row>
    <row r="72" spans="1:26" ht="19.5" customHeight="1" x14ac:dyDescent="0.25">
      <c r="A72" s="42" t="s">
        <v>87</v>
      </c>
      <c r="B72" s="42"/>
      <c r="C72" s="42"/>
      <c r="D72" s="42"/>
      <c r="E72" s="42"/>
      <c r="F72" s="36" t="s">
        <v>88</v>
      </c>
      <c r="G72" s="221">
        <f>Consolidated!F$93</f>
        <v>11308391</v>
      </c>
      <c r="H72" s="37" t="s">
        <v>81</v>
      </c>
      <c r="I72" s="41">
        <f>I60</f>
        <v>4.6500000000000003E-4</v>
      </c>
      <c r="J72" s="127">
        <f>ROUND(G72*I72,2)</f>
        <v>5258.4</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3.8299999999999999E-4</v>
      </c>
      <c r="J85" s="127">
        <f>ROUND(G85*I85,2)</f>
        <v>102956.63</v>
      </c>
      <c r="K85" s="70"/>
      <c r="L85" s="70"/>
      <c r="M85" s="71"/>
      <c r="N85" s="70"/>
      <c r="O85" s="70"/>
      <c r="P85" s="70"/>
      <c r="Q85" s="70"/>
      <c r="R85" s="955" t="s">
        <v>168</v>
      </c>
      <c r="S85" s="955"/>
      <c r="T85" s="955"/>
      <c r="U85" s="158"/>
      <c r="V85" s="160">
        <f>G85</f>
        <v>268816278</v>
      </c>
      <c r="W85" s="162" t="s">
        <v>81</v>
      </c>
      <c r="X85" s="165">
        <f>X56</f>
        <v>3.7500000000000001E-4</v>
      </c>
      <c r="Y85" s="212">
        <f t="shared" ref="Y85:Y87" si="12">ROUND(V85*X85,2)</f>
        <v>100806.1</v>
      </c>
    </row>
    <row r="86" spans="1:26" ht="14.25" customHeight="1" x14ac:dyDescent="0.25">
      <c r="A86" s="952" t="s">
        <v>104</v>
      </c>
      <c r="B86" s="952"/>
      <c r="C86" s="952"/>
      <c r="D86" s="952"/>
      <c r="E86" s="952"/>
      <c r="F86" s="36" t="s">
        <v>103</v>
      </c>
      <c r="G86" s="128">
        <v>0</v>
      </c>
      <c r="H86" s="37" t="s">
        <v>81</v>
      </c>
      <c r="I86" s="41">
        <f>I57</f>
        <v>3.8299999999999999E-4</v>
      </c>
      <c r="J86" s="127">
        <f>ROUND(G86*I86,2)</f>
        <v>0</v>
      </c>
      <c r="K86" s="70"/>
      <c r="L86" s="71"/>
      <c r="M86" s="76"/>
      <c r="N86" s="76"/>
      <c r="O86" s="76"/>
      <c r="P86" s="76"/>
      <c r="Q86" s="70"/>
      <c r="R86" s="955" t="s">
        <v>169</v>
      </c>
      <c r="S86" s="955"/>
      <c r="T86" s="955"/>
      <c r="U86" s="158"/>
      <c r="V86" s="192">
        <f>G86</f>
        <v>0</v>
      </c>
      <c r="W86" s="162" t="s">
        <v>81</v>
      </c>
      <c r="X86" s="165">
        <f>X56</f>
        <v>3.7500000000000001E-4</v>
      </c>
      <c r="Y86" s="212">
        <f t="shared" si="12"/>
        <v>0</v>
      </c>
    </row>
    <row r="87" spans="1:26" ht="18" customHeight="1" x14ac:dyDescent="0.25">
      <c r="A87" s="952" t="s">
        <v>105</v>
      </c>
      <c r="B87" s="952"/>
      <c r="C87" s="952"/>
      <c r="D87" s="952"/>
      <c r="E87" s="952"/>
      <c r="F87" s="36" t="s">
        <v>84</v>
      </c>
      <c r="G87" s="128">
        <v>0</v>
      </c>
      <c r="H87" s="37" t="s">
        <v>81</v>
      </c>
      <c r="I87" s="41">
        <f>I54</f>
        <v>4.0000000000000002E-4</v>
      </c>
      <c r="J87" s="62">
        <f>ROUND(G87*I87,2)</f>
        <v>0</v>
      </c>
      <c r="K87" s="77"/>
      <c r="L87" s="70"/>
      <c r="M87" s="71"/>
      <c r="N87" s="70"/>
      <c r="O87" s="70"/>
      <c r="P87" s="70"/>
      <c r="Q87" s="70"/>
      <c r="R87" s="166" t="s">
        <v>170</v>
      </c>
      <c r="S87" s="166"/>
      <c r="T87" s="166"/>
      <c r="U87" s="158"/>
      <c r="V87" s="192">
        <f>G87</f>
        <v>0</v>
      </c>
      <c r="W87" s="162" t="s">
        <v>81</v>
      </c>
      <c r="X87" s="165">
        <f>X53</f>
        <v>4.0000000000000002E-4</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130">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0</v>
      </c>
      <c r="C91" s="80"/>
      <c r="D91" s="921">
        <f>I6</f>
        <v>1.0355000000000001</v>
      </c>
      <c r="E91" s="921"/>
      <c r="F91" s="921"/>
      <c r="G91" s="113">
        <f>Consolidated!F$119</f>
        <v>915.09</v>
      </c>
      <c r="H91" s="47" t="s">
        <v>68</v>
      </c>
      <c r="I91" s="129">
        <f>ROUND(B91*D91*G91,2)</f>
        <v>0</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84.631500000000003</v>
      </c>
      <c r="C92" s="80"/>
      <c r="D92" s="921">
        <f>I6</f>
        <v>1.0355000000000001</v>
      </c>
      <c r="E92" s="921"/>
      <c r="F92" s="921"/>
      <c r="G92" s="113">
        <f>Consolidated!F$120</f>
        <v>917.3</v>
      </c>
      <c r="H92" s="47" t="s">
        <v>68</v>
      </c>
      <c r="I92" s="537">
        <f>ROUND(B92*D92*G92,2)</f>
        <v>80388.429999999993</v>
      </c>
      <c r="K92" s="70"/>
      <c r="L92" s="70"/>
      <c r="M92" s="71"/>
      <c r="N92" s="70"/>
      <c r="O92" s="70"/>
      <c r="P92" s="70"/>
      <c r="Q92" s="70"/>
      <c r="R92" s="196" t="s">
        <v>61</v>
      </c>
      <c r="S92" s="197">
        <f>X16+X17+X20+X23+X26+X27</f>
        <v>83</v>
      </c>
      <c r="T92" s="984">
        <f>X6</f>
        <v>1.0355000000000001</v>
      </c>
      <c r="U92" s="984"/>
      <c r="V92" s="113">
        <f>G92</f>
        <v>917.3</v>
      </c>
      <c r="W92" s="171" t="s">
        <v>68</v>
      </c>
      <c r="X92" s="216">
        <f>ROUND(S92*T92*V92,2)</f>
        <v>78838.720000000001</v>
      </c>
      <c r="Y92" s="159"/>
    </row>
    <row r="93" spans="1:26" ht="18.75" customHeight="1" thickBot="1" x14ac:dyDescent="0.3">
      <c r="A93" s="84" t="s">
        <v>111</v>
      </c>
      <c r="B93" s="80">
        <f>SUM(B90:B92)</f>
        <v>84.631500000000003</v>
      </c>
      <c r="C93" s="80"/>
      <c r="D93" s="80"/>
      <c r="E93" s="999" t="s">
        <v>112</v>
      </c>
      <c r="F93" s="999"/>
      <c r="G93" s="999"/>
      <c r="H93" s="999"/>
      <c r="I93" s="999"/>
      <c r="J93" s="116">
        <f>IF(A1=75,0,I92+I91+I90)</f>
        <v>80388.429999999993</v>
      </c>
      <c r="K93" s="70"/>
      <c r="L93" s="70"/>
      <c r="M93" s="71"/>
      <c r="N93" s="70"/>
      <c r="O93" s="70"/>
      <c r="P93" s="70"/>
      <c r="Q93" s="70"/>
      <c r="R93" s="198" t="s">
        <v>111</v>
      </c>
      <c r="S93" s="199">
        <f>SUM(S90:S92)</f>
        <v>83</v>
      </c>
      <c r="T93" s="985" t="s">
        <v>112</v>
      </c>
      <c r="U93" s="986"/>
      <c r="V93" s="986"/>
      <c r="W93" s="986"/>
      <c r="X93" s="986"/>
      <c r="Y93" s="212">
        <f>IF(R1=75,0,X92+X91+X90)</f>
        <v>78838.720000000001</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75</v>
      </c>
      <c r="U96" s="990"/>
      <c r="V96" s="990"/>
      <c r="W96" s="200" t="s">
        <v>117</v>
      </c>
      <c r="X96" s="201">
        <f>I97</f>
        <v>578</v>
      </c>
      <c r="Y96" s="212">
        <f>ROUND(X96*T96,2)</f>
        <v>43350</v>
      </c>
    </row>
    <row r="97" spans="1:25" ht="17.25" customHeight="1" x14ac:dyDescent="0.25">
      <c r="A97" s="970" t="s">
        <v>116</v>
      </c>
      <c r="B97" s="970"/>
      <c r="C97" s="223">
        <v>73</v>
      </c>
      <c r="D97" s="223">
        <v>77</v>
      </c>
      <c r="E97" s="1044">
        <f>IF(D97&gt;0,(C97+D97)/2,C97)</f>
        <v>75</v>
      </c>
      <c r="F97" s="922"/>
      <c r="G97" s="922"/>
      <c r="H97" s="85" t="s">
        <v>117</v>
      </c>
      <c r="I97" s="119">
        <f>Consolidated!G$127</f>
        <v>578</v>
      </c>
      <c r="J97" s="127">
        <f>ROUND(I97*E97,2)</f>
        <v>43350</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1274674.24</v>
      </c>
      <c r="L107" s="538"/>
      <c r="R107" s="955" t="s">
        <v>125</v>
      </c>
      <c r="S107" s="955"/>
      <c r="T107" s="955"/>
      <c r="U107" s="955"/>
      <c r="V107" s="955"/>
      <c r="W107" s="955"/>
      <c r="X107" s="955"/>
      <c r="Y107" s="672">
        <f>SUM(Y106,Y105,Y97,Y96,Y93,Y86,Y85,Y84,Y70,Y69,Y67,Y33,Y71,Y50,Y87,Y83)</f>
        <v>717069.93</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1242537.6399999999</v>
      </c>
      <c r="R109" s="159" t="s">
        <v>176</v>
      </c>
      <c r="S109" s="159"/>
      <c r="T109" s="159"/>
      <c r="U109" s="159"/>
      <c r="V109" s="159"/>
      <c r="W109" s="159"/>
      <c r="X109" s="159"/>
      <c r="Y109" s="673">
        <f>Y107-Y38</f>
        <v>684933.33000000007</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v>1</v>
      </c>
      <c r="J111" s="126">
        <f>Y109</f>
        <v>684933.33000000007</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658"/>
      <c r="I114" s="659">
        <f>IF(I111=1,J111,J109)</f>
        <v>684933.33000000007</v>
      </c>
      <c r="J114" s="660">
        <f>ROUND(IF(E28=0,0,IF(E28&gt;250,-(((250/E28)*I114)*IF(H114="H",0.02,0.05)),IF(H114="H",-0.02*I114,-0.05*I114))),2)</f>
        <v>-34246.67</v>
      </c>
      <c r="M114" s="2"/>
      <c r="N114" s="3"/>
      <c r="R114" s="2"/>
      <c r="T114" s="4"/>
      <c r="W114" s="2"/>
      <c r="X114" s="5"/>
    </row>
    <row r="115" spans="1:26" ht="16.5" customHeight="1" x14ac:dyDescent="0.25">
      <c r="A115" s="231"/>
      <c r="B115" s="231"/>
      <c r="C115" s="231"/>
      <c r="D115" s="231"/>
      <c r="E115" s="231"/>
      <c r="F115" s="231"/>
      <c r="G115" s="231"/>
      <c r="H115" s="661"/>
      <c r="I115" s="662"/>
      <c r="J115" s="663"/>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664"/>
      <c r="I116" s="665"/>
      <c r="J116" s="666">
        <f>J107+J114</f>
        <v>1240427.57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61"/>
      <c r="I117" s="662"/>
      <c r="J117" s="663"/>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661"/>
      <c r="I118" s="662"/>
      <c r="J118" s="667">
        <f>-'Cumulative Payments'!R85</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61"/>
      <c r="I119" s="662"/>
      <c r="J119" s="663"/>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661"/>
      <c r="I120" s="662"/>
      <c r="J120" s="663">
        <f>J116+J118</f>
        <v>1240427.57</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61"/>
      <c r="I121" s="662"/>
      <c r="J121" s="663"/>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661"/>
      <c r="I122" s="662"/>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61"/>
      <c r="I123" s="662"/>
      <c r="J123" s="663"/>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661"/>
      <c r="I124" s="662"/>
      <c r="J124" s="669">
        <f>ROUND(J120/J122,2)</f>
        <v>103368.96000000001</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61"/>
      <c r="I125" s="662"/>
      <c r="J125" s="663"/>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661"/>
      <c r="I126" s="662"/>
      <c r="J126" s="670">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62"/>
      <c r="I127" s="671"/>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7587C-2277-491E-887B-4AF823F5E25B}">
  <dimension ref="A1:Z207"/>
  <sheetViews>
    <sheetView topLeftCell="A37" workbookViewId="0">
      <selection activeCell="A37" sqref="A37:E37"/>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616</v>
      </c>
      <c r="B2" s="101"/>
      <c r="C2" s="101"/>
      <c r="D2" s="101"/>
      <c r="E2" s="6"/>
      <c r="F2" s="6"/>
      <c r="G2" s="6"/>
      <c r="H2" s="6"/>
      <c r="I2" s="706" t="str">
        <f>RIGHT(A2,4)</f>
        <v>3362</v>
      </c>
      <c r="J2" s="6"/>
      <c r="K2" s="6"/>
      <c r="L2" s="6"/>
      <c r="M2" s="6"/>
      <c r="N2" s="6"/>
      <c r="O2" s="6"/>
      <c r="P2" s="6"/>
      <c r="Q2" s="6"/>
      <c r="R2" s="927" t="str">
        <f>Revenue_Estimate_Worksheet_for___________Charter_School</f>
        <v>Revenue Estimate Worksheet: Somerset Academy Avenir 3362</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E</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49.800000000000004</v>
      </c>
      <c r="D12" s="738">
        <f>SUMIFS('Surv2-3'!K:K,'Surv2-3'!$H:$H,$I$2,'Surv2-3'!$I:$I,$O12)</f>
        <v>49.419999999999995</v>
      </c>
      <c r="E12" s="1021">
        <f t="shared" ref="E12:E27" si="0">IF($D$28=0,C12*2,C12+D12)</f>
        <v>99.22</v>
      </c>
      <c r="F12" s="1021"/>
      <c r="G12" s="1037">
        <f>Consolidated!$F14</f>
        <v>1.1080000000000001</v>
      </c>
      <c r="H12" s="1037">
        <f>Consolidated!$H$9</f>
        <v>1</v>
      </c>
      <c r="I12" s="539">
        <f>ROUND(E12*G12,4)</f>
        <v>109.9358</v>
      </c>
      <c r="J12" s="540">
        <f t="shared" ref="J12:J27" si="1">ROUND(ROUND(ROUND(I12*$E$6,4)*($I$6),2)*(MAX($I$7,1)),2)</f>
        <v>611608.84</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6.5</v>
      </c>
      <c r="D13" s="392">
        <f>SUMIFS('Surv2-3'!K:K,'Surv2-3'!$H:$H,$I$2,'Surv2-3'!$I:$I,$O13)</f>
        <v>8.51</v>
      </c>
      <c r="E13" s="1020">
        <f t="shared" si="0"/>
        <v>15.01</v>
      </c>
      <c r="F13" s="1020"/>
      <c r="G13" s="1026">
        <f>Consolidated!$F15</f>
        <v>1.1080000000000001</v>
      </c>
      <c r="H13" s="1026">
        <f>Consolidated!$H$9</f>
        <v>1</v>
      </c>
      <c r="I13" s="539">
        <f t="shared" ref="I13:I27" si="3">ROUND(E13*G13,4)</f>
        <v>16.6311</v>
      </c>
      <c r="J13" s="540">
        <f t="shared" si="1"/>
        <v>92524.25</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13.59</v>
      </c>
      <c r="D14" s="392">
        <f>SUMIFS('Surv2-3'!L:L,'Surv2-3'!$H:$H,$I$2,'Surv2-3'!$I:$I,$O14)</f>
        <v>12.56</v>
      </c>
      <c r="E14" s="1020">
        <f t="shared" si="0"/>
        <v>26.15</v>
      </c>
      <c r="F14" s="1020"/>
      <c r="G14" s="1026">
        <f>Consolidated!$F16</f>
        <v>1</v>
      </c>
      <c r="H14" s="1026">
        <f>Consolidated!$H$9</f>
        <v>1</v>
      </c>
      <c r="I14" s="539">
        <f t="shared" si="3"/>
        <v>26.15</v>
      </c>
      <c r="J14" s="540">
        <f>ROUND(ROUND(ROUND(I14*$E$6,4)*($I$6),2)*(MAX($I$7,1)),2)</f>
        <v>145481.01</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3.5</v>
      </c>
      <c r="D15" s="392">
        <f>SUMIFS('Surv2-3'!L:L,'Surv2-3'!$H:$H,$I$2,'Surv2-3'!$I:$I,$O15)</f>
        <v>4.0199999999999996</v>
      </c>
      <c r="E15" s="1020">
        <f t="shared" si="0"/>
        <v>7.52</v>
      </c>
      <c r="F15" s="1020"/>
      <c r="G15" s="1026">
        <f>Consolidated!$F17</f>
        <v>1</v>
      </c>
      <c r="H15" s="1026">
        <f>Consolidated!$H$9</f>
        <v>1</v>
      </c>
      <c r="I15" s="539">
        <f t="shared" si="3"/>
        <v>7.52</v>
      </c>
      <c r="J15" s="540">
        <f t="shared" si="1"/>
        <v>41836.22</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6.2</v>
      </c>
      <c r="D24" s="392">
        <f>SUMIFS('Surv2-3'!K:K,'Surv2-3'!$H:$H,$I$2,'Surv2-3'!$I:$I,$O24)</f>
        <v>6.1899999999999995</v>
      </c>
      <c r="E24" s="1020">
        <f t="shared" si="0"/>
        <v>12.39</v>
      </c>
      <c r="F24" s="1020"/>
      <c r="G24" s="1026">
        <f>Consolidated!$F26</f>
        <v>1.165</v>
      </c>
      <c r="H24" s="1026">
        <f>Consolidated!$H$9</f>
        <v>1</v>
      </c>
      <c r="I24" s="539">
        <f t="shared" si="3"/>
        <v>14.4344</v>
      </c>
      <c r="J24" s="540">
        <f t="shared" si="1"/>
        <v>80303.289999999994</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0.41</v>
      </c>
      <c r="D25" s="392">
        <f>SUMIFS('Surv2-3'!L:L,'Surv2-3'!$H:$H,$I$2,'Surv2-3'!$I:$I,$O25)</f>
        <v>0.41</v>
      </c>
      <c r="E25" s="1020">
        <f t="shared" si="0"/>
        <v>0.82</v>
      </c>
      <c r="F25" s="1020"/>
      <c r="G25" s="1026">
        <f>Consolidated!$F27</f>
        <v>1.165</v>
      </c>
      <c r="H25" s="1026">
        <f>Consolidated!$H$9</f>
        <v>1</v>
      </c>
      <c r="I25" s="539">
        <f t="shared" si="3"/>
        <v>0.95530000000000004</v>
      </c>
      <c r="J25" s="540">
        <f t="shared" si="1"/>
        <v>5314.65</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80</v>
      </c>
      <c r="D28" s="822">
        <f>SUM(D12:D27)</f>
        <v>81.109999999999985</v>
      </c>
      <c r="E28" s="1025">
        <f>SUM(E12:E27)</f>
        <v>161.11000000000001</v>
      </c>
      <c r="F28" s="1025"/>
      <c r="G28" s="1020"/>
      <c r="H28" s="1020"/>
      <c r="I28" s="23">
        <f>SUM(I12:I27)</f>
        <v>175.62660000000002</v>
      </c>
      <c r="J28" s="116">
        <f>SUM(J12:J27)</f>
        <v>977068.26</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175.62660000000002</v>
      </c>
      <c r="H33" s="1020" t="s">
        <v>45</v>
      </c>
      <c r="I33" s="1020"/>
      <c r="J33" s="32">
        <f>SUM(J32,J28)</f>
        <v>977068.26</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191517.55</v>
      </c>
      <c r="H36" s="37" t="s">
        <v>49</v>
      </c>
      <c r="I36" s="38">
        <v>6.6699999999999995E-2</v>
      </c>
      <c r="J36" s="120">
        <f>ROUND(G36*I36,2)</f>
        <v>12774.22</v>
      </c>
      <c r="K36" s="39"/>
      <c r="L36" s="33"/>
      <c r="M36" s="33"/>
      <c r="N36" s="33"/>
      <c r="O36" s="31"/>
      <c r="P36" s="34"/>
      <c r="Q36" s="34"/>
      <c r="R36" s="946" t="s">
        <v>47</v>
      </c>
      <c r="S36" s="946"/>
      <c r="T36" s="946"/>
      <c r="U36" s="158"/>
      <c r="V36" s="161">
        <v>61196.59</v>
      </c>
      <c r="W36" s="162" t="s">
        <v>49</v>
      </c>
      <c r="X36" s="163">
        <v>6.6699999999999995E-2</v>
      </c>
      <c r="Y36" s="212">
        <f>ROUND(V36*X36,2)</f>
        <v>4081.81</v>
      </c>
    </row>
    <row r="37" spans="1:25" ht="20.25" customHeight="1" x14ac:dyDescent="0.25">
      <c r="A37" s="916" t="s">
        <v>50</v>
      </c>
      <c r="B37" s="916"/>
      <c r="C37" s="916"/>
      <c r="D37" s="916"/>
      <c r="E37" s="916"/>
      <c r="F37" s="36" t="s">
        <v>48</v>
      </c>
      <c r="G37" s="121">
        <v>191517.55</v>
      </c>
      <c r="H37" s="37" t="s">
        <v>49</v>
      </c>
      <c r="I37" s="38">
        <v>5.4000000000000003E-3</v>
      </c>
      <c r="J37" s="120">
        <f>ROUND(G37*I37,2)</f>
        <v>1034.19</v>
      </c>
      <c r="K37" s="39"/>
      <c r="L37" s="33"/>
      <c r="M37" s="33"/>
      <c r="N37" s="33"/>
      <c r="O37" s="31"/>
      <c r="P37" s="34"/>
      <c r="Q37" s="34"/>
      <c r="R37" s="946" t="s">
        <v>50</v>
      </c>
      <c r="S37" s="946"/>
      <c r="T37" s="946"/>
      <c r="U37" s="158"/>
      <c r="V37" s="161">
        <v>61196.59</v>
      </c>
      <c r="W37" s="162" t="s">
        <v>49</v>
      </c>
      <c r="X37" s="163">
        <v>5.4000000000000003E-3</v>
      </c>
      <c r="Y37" s="212">
        <f>ROUND(V37*X37,2)</f>
        <v>330.46</v>
      </c>
    </row>
    <row r="38" spans="1:25" ht="20.25" customHeight="1" x14ac:dyDescent="0.25">
      <c r="A38" s="952" t="s">
        <v>51</v>
      </c>
      <c r="B38" s="952"/>
      <c r="C38" s="952"/>
      <c r="D38" s="952"/>
      <c r="E38" s="952"/>
      <c r="F38" s="36" t="s">
        <v>52</v>
      </c>
      <c r="G38" s="40"/>
      <c r="H38" s="37"/>
      <c r="I38" s="41"/>
      <c r="J38" s="120">
        <f>SUM(J36:J37)</f>
        <v>13808.41</v>
      </c>
      <c r="K38" s="39"/>
      <c r="L38" s="33"/>
      <c r="M38" s="33"/>
      <c r="N38" s="33"/>
      <c r="O38" s="31"/>
      <c r="P38" s="34"/>
      <c r="Q38" s="34"/>
      <c r="R38" s="955" t="s">
        <v>51</v>
      </c>
      <c r="S38" s="955"/>
      <c r="T38" s="955"/>
      <c r="U38" s="158" t="s">
        <v>52</v>
      </c>
      <c r="V38" s="164"/>
      <c r="W38" s="162"/>
      <c r="X38" s="165"/>
      <c r="Y38" s="146">
        <f>Y36+Y37</f>
        <v>4412.2699999999995</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652"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6.5</v>
      </c>
      <c r="D41" s="737">
        <f>SUMIFS('Surv2-3'!K:K,'Surv2-3'!$H:$H,$I$2,'Surv2-3'!$I:$I,$H41-140)</f>
        <v>8.51</v>
      </c>
      <c r="E41" s="1013">
        <f t="shared" ref="E41:E49" si="8">IF($D$50=0,C41*2,C41+D41)</f>
        <v>15.01</v>
      </c>
      <c r="F41" s="1013"/>
      <c r="G41" s="37" t="s">
        <v>59</v>
      </c>
      <c r="H41" s="37">
        <v>251</v>
      </c>
      <c r="I41" s="125">
        <f>Consolidated!$H59</f>
        <v>1047</v>
      </c>
      <c r="J41" s="46">
        <f t="shared" ref="J41:J49" si="9">ROUND(E41*I41,2)</f>
        <v>15715.47</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4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46">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3.5</v>
      </c>
      <c r="D45" s="824">
        <f>SUMIFS('Surv2-3'!L:L,'Surv2-3'!$H:$H,$I$2,'Surv2-3'!$I:$I,$H45-140)</f>
        <v>4.0199999999999996</v>
      </c>
      <c r="E45" s="1013">
        <f t="shared" si="8"/>
        <v>7.52</v>
      </c>
      <c r="F45" s="1013"/>
      <c r="G45" s="47" t="s">
        <v>60</v>
      </c>
      <c r="H45" s="37">
        <v>252</v>
      </c>
      <c r="I45" s="125">
        <f>Consolidated!$H63</f>
        <v>3506</v>
      </c>
      <c r="J45" s="46">
        <f t="shared" si="9"/>
        <v>26365.119999999999</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L46" s="703"/>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46">
        <f t="shared" si="9"/>
        <v>0</v>
      </c>
      <c r="L47" s="703"/>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4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46">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10</v>
      </c>
      <c r="D50" s="825">
        <f>SUM(D41:D49)</f>
        <v>12.53</v>
      </c>
      <c r="E50" s="1015">
        <f>SUM(E41:E49)</f>
        <v>22.53</v>
      </c>
      <c r="F50" s="1015"/>
      <c r="G50" s="970" t="s">
        <v>63</v>
      </c>
      <c r="H50" s="970"/>
      <c r="I50" s="970"/>
      <c r="J50" s="220">
        <f>SUM(J41:J49)</f>
        <v>42080.59</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48">
        <f>E28</f>
        <v>161.11000000000001</v>
      </c>
      <c r="D53" s="49" t="s">
        <v>66</v>
      </c>
      <c r="G53" s="3"/>
      <c r="H53" s="50" t="s">
        <v>67</v>
      </c>
      <c r="I53" s="654">
        <f>Consolidated!H$71</f>
        <v>207716.69</v>
      </c>
      <c r="J53" s="653"/>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IFERROR(ROUND(C53/I53,6),0)</f>
        <v>7.76E-4</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48">
        <f>G33</f>
        <v>175.62660000000002</v>
      </c>
      <c r="D56" s="49" t="s">
        <v>66</v>
      </c>
      <c r="G56" s="3"/>
      <c r="H56" s="50" t="s">
        <v>71</v>
      </c>
      <c r="I56" s="654">
        <f>Consolidated!H$74</f>
        <v>221131.37000000002</v>
      </c>
      <c r="J56" s="653"/>
      <c r="M56" s="2"/>
      <c r="R56" s="176"/>
      <c r="S56" s="159"/>
      <c r="T56" s="159"/>
      <c r="U56" s="159"/>
      <c r="V56" s="159"/>
      <c r="W56" s="178" t="s">
        <v>68</v>
      </c>
      <c r="X56" s="978">
        <f>ROUND(T55/X55,6)</f>
        <v>0</v>
      </c>
      <c r="Y56" s="978"/>
    </row>
    <row r="57" spans="1:25" ht="18.75" customHeight="1" x14ac:dyDescent="0.25">
      <c r="A57" s="51"/>
      <c r="H57" s="53" t="s">
        <v>68</v>
      </c>
      <c r="I57" s="1004">
        <f>IFERROR(ROUND(C56/I56,6),0)</f>
        <v>7.94E-4</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48">
        <f>E28</f>
        <v>161.11000000000001</v>
      </c>
      <c r="D59" s="49" t="s">
        <v>66</v>
      </c>
      <c r="F59" s="1027" t="s">
        <v>74</v>
      </c>
      <c r="G59" s="1027"/>
      <c r="H59" s="1027"/>
      <c r="I59" s="654">
        <f>Consolidated!H$77</f>
        <v>178668.19</v>
      </c>
      <c r="J59" s="653"/>
      <c r="M59" s="2"/>
      <c r="R59" s="176"/>
      <c r="S59" s="159"/>
      <c r="T59" s="159"/>
      <c r="U59" s="159"/>
      <c r="V59" s="159"/>
      <c r="W59" s="178" t="s">
        <v>68</v>
      </c>
      <c r="X59" s="978">
        <f>ROUND(T58/X58,6)</f>
        <v>0</v>
      </c>
      <c r="Y59" s="978"/>
    </row>
    <row r="60" spans="1:25" ht="18" customHeight="1" x14ac:dyDescent="0.25">
      <c r="A60" s="51"/>
      <c r="H60" s="53" t="s">
        <v>68</v>
      </c>
      <c r="I60" s="1004">
        <f>IFERROR(ROUND(C59/I59,6),0)</f>
        <v>9.0200000000000002E-4</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23.25" customHeight="1" x14ac:dyDescent="0.25">
      <c r="A62" s="953" t="s">
        <v>73</v>
      </c>
      <c r="B62" s="953"/>
      <c r="C62" s="48">
        <f>E28</f>
        <v>161.11000000000001</v>
      </c>
      <c r="D62" s="49" t="s">
        <v>66</v>
      </c>
      <c r="F62" s="1027" t="s">
        <v>76</v>
      </c>
      <c r="G62" s="1027"/>
      <c r="H62" s="1027"/>
      <c r="I62" s="654">
        <f>Consolidated!H$80</f>
        <v>207376.94</v>
      </c>
      <c r="J62" s="653"/>
      <c r="M62" s="2"/>
      <c r="R62" s="176"/>
      <c r="S62" s="159"/>
      <c r="T62" s="159"/>
      <c r="U62" s="159"/>
      <c r="V62" s="159"/>
      <c r="W62" s="178" t="s">
        <v>68</v>
      </c>
      <c r="X62" s="978">
        <f>ROUND(T61/X61,6)</f>
        <v>0</v>
      </c>
      <c r="Y62" s="978"/>
    </row>
    <row r="63" spans="1:25" ht="19.5" customHeight="1" x14ac:dyDescent="0.25">
      <c r="A63" s="51"/>
      <c r="H63" s="53" t="s">
        <v>68</v>
      </c>
      <c r="I63" s="1004">
        <f>IFERROR(ROUND(C62/I62,6),0)</f>
        <v>7.7700000000000002E-4</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22.5" customHeight="1" x14ac:dyDescent="0.25">
      <c r="A65" s="953" t="s">
        <v>73</v>
      </c>
      <c r="B65" s="953"/>
      <c r="C65" s="48">
        <f>E28</f>
        <v>161.11000000000001</v>
      </c>
      <c r="D65" s="1046" t="s">
        <v>607</v>
      </c>
      <c r="E65" s="1046"/>
      <c r="F65" s="1046"/>
      <c r="G65" s="1046"/>
      <c r="H65" s="1046"/>
      <c r="I65" s="654">
        <f>Consolidated!H$83</f>
        <v>178328.44</v>
      </c>
      <c r="J65" s="653"/>
      <c r="M65" s="2"/>
      <c r="R65" s="179"/>
      <c r="S65" s="159"/>
      <c r="T65" s="159"/>
      <c r="U65" s="159"/>
      <c r="V65" s="159"/>
      <c r="W65" s="178" t="s">
        <v>68</v>
      </c>
      <c r="X65" s="978">
        <f>ROUND(T64/X64,6)</f>
        <v>0</v>
      </c>
      <c r="Y65" s="978"/>
    </row>
    <row r="66" spans="1:26" ht="19.5" customHeight="1" x14ac:dyDescent="0.25">
      <c r="A66" s="51"/>
      <c r="H66" s="53" t="s">
        <v>68</v>
      </c>
      <c r="I66" s="1004">
        <f>IFERROR(ROUND(C65/I65,6),0)</f>
        <v>9.0300000000000005E-4</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7.7700000000000002E-4</v>
      </c>
      <c r="J68" s="127">
        <f>ROUND(G68*I68,2)</f>
        <v>35439.35</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7.76E-4</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9.0300000000000005E-4</v>
      </c>
      <c r="J71" s="127">
        <f>ROUND(G71*I71,2)</f>
        <v>17120.8</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9.0200000000000002E-4</v>
      </c>
      <c r="J72" s="127">
        <f>ROUND(G72*I72,2)</f>
        <v>10200.17</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7.94E-4</v>
      </c>
      <c r="J85" s="127">
        <f>ROUND(G85*I85,2)</f>
        <v>213440.12</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7.94E-4</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7.76E-4</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141.00130000000001</v>
      </c>
      <c r="C90" s="80"/>
      <c r="D90" s="921">
        <f>I6</f>
        <v>1.0355000000000001</v>
      </c>
      <c r="E90" s="921"/>
      <c r="F90" s="921"/>
      <c r="G90" s="113">
        <f>Consolidated!F$118</f>
        <v>958.42</v>
      </c>
      <c r="H90" s="47" t="s">
        <v>68</v>
      </c>
      <c r="I90" s="657">
        <f>ROUND(B90*D90*G90,2)</f>
        <v>139935.88</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34.625300000000003</v>
      </c>
      <c r="C91" s="80"/>
      <c r="D91" s="921">
        <f>I6</f>
        <v>1.0355000000000001</v>
      </c>
      <c r="E91" s="921"/>
      <c r="F91" s="921"/>
      <c r="G91" s="113">
        <f>Consolidated!F$119</f>
        <v>915.09</v>
      </c>
      <c r="H91" s="47" t="s">
        <v>68</v>
      </c>
      <c r="I91" s="4">
        <f>ROUND(B91*D91*G91,2)</f>
        <v>32810.089999999997</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175.62660000000002</v>
      </c>
      <c r="C93" s="80"/>
      <c r="D93" s="80"/>
      <c r="E93" s="999" t="s">
        <v>112</v>
      </c>
      <c r="F93" s="999"/>
      <c r="G93" s="999"/>
      <c r="H93" s="999"/>
      <c r="I93" s="999"/>
      <c r="J93" s="116">
        <f>IF(A1=75,0,I92+I91+I90)</f>
        <v>172745.97</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0</v>
      </c>
      <c r="D97" s="223">
        <v>0</v>
      </c>
      <c r="E97" s="922">
        <f>IF(D97&gt;0,(C97+D97)/2,C97)</f>
        <v>0</v>
      </c>
      <c r="F97" s="922"/>
      <c r="G97" s="922"/>
      <c r="H97" s="85" t="s">
        <v>117</v>
      </c>
      <c r="I97" s="119">
        <f>Consolidated!G$127</f>
        <v>578</v>
      </c>
      <c r="J97" s="127">
        <f>ROUND(I97*E97,2)</f>
        <v>0</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c r="E98" s="1002">
        <f>(C98+D98)/2</f>
        <v>0</v>
      </c>
      <c r="F98" s="1002"/>
      <c r="G98" s="1002"/>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8"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970" t="s">
        <v>125</v>
      </c>
      <c r="B107" s="970"/>
      <c r="C107" s="970"/>
      <c r="D107" s="970"/>
      <c r="E107" s="970"/>
      <c r="F107" s="970"/>
      <c r="G107" s="970"/>
      <c r="H107" s="970"/>
      <c r="I107" s="970"/>
      <c r="J107" s="541">
        <f>SUM(J106,J105,J98,J97,J93,J86,J85,J71,J70,J68,J33,J72,J50,J87,J84)</f>
        <v>1468095.26</v>
      </c>
      <c r="R107" s="955" t="s">
        <v>125</v>
      </c>
      <c r="S107" s="955"/>
      <c r="T107" s="955"/>
      <c r="U107" s="955"/>
      <c r="V107" s="955"/>
      <c r="W107" s="955"/>
      <c r="X107" s="955"/>
      <c r="Y107" s="672">
        <f>SUM(Y106,Y105,Y97,Y96,Y93,Y86,Y85,Y84,Y70,Y69,Y67,Y33,Y71,Y50,Y87,Y83)</f>
        <v>0</v>
      </c>
    </row>
    <row r="108" spans="1:25" ht="15.75" customHeight="1" thickTop="1" x14ac:dyDescent="0.25">
      <c r="A108" s="920"/>
      <c r="B108" s="920"/>
      <c r="C108" s="920"/>
      <c r="D108" s="920"/>
      <c r="E108" s="920"/>
      <c r="F108" s="920"/>
      <c r="G108" s="920"/>
      <c r="H108" s="920"/>
      <c r="I108" s="920"/>
      <c r="J108" s="920"/>
      <c r="R108" s="928"/>
      <c r="S108" s="928"/>
      <c r="T108" s="928"/>
      <c r="U108" s="928"/>
      <c r="V108" s="928"/>
      <c r="W108" s="928"/>
      <c r="X108" s="928"/>
      <c r="Y108" s="928"/>
    </row>
    <row r="109" spans="1:25" ht="17.25" customHeight="1" thickBot="1" x14ac:dyDescent="0.3">
      <c r="A109" s="952" t="s">
        <v>131</v>
      </c>
      <c r="B109" s="952"/>
      <c r="C109" s="952"/>
      <c r="D109" s="952"/>
      <c r="E109" s="952"/>
      <c r="F109" s="920"/>
      <c r="G109" s="920"/>
      <c r="H109" s="920"/>
      <c r="I109" s="2" t="s">
        <v>132</v>
      </c>
      <c r="J109" s="543">
        <f>J107-J38</f>
        <v>1454286.85</v>
      </c>
      <c r="R109" s="159" t="s">
        <v>176</v>
      </c>
      <c r="S109" s="159"/>
      <c r="T109" s="159"/>
      <c r="U109" s="159"/>
      <c r="V109" s="159"/>
      <c r="W109" s="159"/>
      <c r="X109" s="159"/>
      <c r="Y109" s="673">
        <f>Y107-Y38</f>
        <v>-4412.2699999999995</v>
      </c>
    </row>
    <row r="110" spans="1:25" ht="18.75" customHeight="1" thickTop="1" x14ac:dyDescent="0.25">
      <c r="A110" s="952" t="s">
        <v>133</v>
      </c>
      <c r="B110" s="952"/>
      <c r="C110" s="952"/>
      <c r="D110" s="952"/>
      <c r="E110" s="952"/>
      <c r="F110" s="952"/>
      <c r="G110" s="952"/>
      <c r="H110" s="952"/>
      <c r="I110" s="42" t="s">
        <v>134</v>
      </c>
      <c r="J110" s="72"/>
      <c r="R110" s="1012" t="s">
        <v>136</v>
      </c>
      <c r="S110" s="1012"/>
      <c r="T110" s="1012"/>
      <c r="U110" s="1012"/>
      <c r="V110" s="1012"/>
      <c r="W110" s="1012"/>
      <c r="X110" s="1012"/>
      <c r="Y110" s="1012"/>
    </row>
    <row r="111" spans="1:25" ht="15.75" customHeight="1" x14ac:dyDescent="0.25">
      <c r="A111" s="953" t="s">
        <v>135</v>
      </c>
      <c r="B111" s="953"/>
      <c r="C111" s="953"/>
      <c r="D111" s="953"/>
      <c r="E111" s="953"/>
      <c r="F111" s="953"/>
      <c r="G111" s="953"/>
      <c r="H111" s="953"/>
      <c r="I111" s="224"/>
      <c r="J111" s="126">
        <f>Y109</f>
        <v>-4412.2699999999995</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H113" s="51"/>
      <c r="I113" s="90"/>
      <c r="J113" s="72"/>
      <c r="R113" s="229"/>
      <c r="S113" s="229"/>
      <c r="T113" s="229"/>
      <c r="U113" s="229"/>
      <c r="V113" s="229"/>
      <c r="W113" s="229"/>
      <c r="X113" s="229"/>
      <c r="Y113" s="229"/>
    </row>
    <row r="114" spans="1:26" x14ac:dyDescent="0.25">
      <c r="A114" s="230" t="s">
        <v>180</v>
      </c>
      <c r="B114" s="231"/>
      <c r="C114" s="231"/>
      <c r="D114" s="231"/>
      <c r="E114" s="231"/>
      <c r="F114" s="231"/>
      <c r="G114" s="231"/>
      <c r="H114" s="658">
        <v>0</v>
      </c>
      <c r="I114" s="659">
        <f>IF(I111=1,J111,J109)</f>
        <v>1454286.85</v>
      </c>
      <c r="J114" s="660">
        <f>ROUND(IF(E28=0,0,IF(E28&gt;250,-(((250/E28)*I114)*IF(H114="H",0.02,0.05)),IF(H114="H",-0.02*I114,-0.05*I114))),2)</f>
        <v>-72714.34</v>
      </c>
      <c r="M114" s="2"/>
      <c r="N114" s="3"/>
      <c r="R114" s="2"/>
      <c r="T114" s="4"/>
      <c r="W114" s="2"/>
      <c r="X114" s="5"/>
    </row>
    <row r="115" spans="1:26" ht="16.5" customHeight="1" x14ac:dyDescent="0.25">
      <c r="A115" s="231"/>
      <c r="B115" s="231"/>
      <c r="C115" s="231"/>
      <c r="D115" s="231"/>
      <c r="E115" s="231"/>
      <c r="F115" s="231"/>
      <c r="G115" s="231"/>
      <c r="H115" s="661"/>
      <c r="I115" s="662"/>
      <c r="J115" s="663"/>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664"/>
      <c r="I116" s="665"/>
      <c r="J116" s="666">
        <f>J107+J114</f>
        <v>1395380.92</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61"/>
      <c r="I117" s="662"/>
      <c r="J117" s="663"/>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1"/>
      <c r="F118" s="230"/>
      <c r="G118" s="231"/>
      <c r="H118" s="661"/>
      <c r="I118" s="662"/>
      <c r="J118" s="667">
        <f>-'Cumulative Payments'!R86</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61"/>
      <c r="I119" s="662"/>
      <c r="J119" s="663"/>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661"/>
      <c r="I120" s="662"/>
      <c r="J120" s="663">
        <f>J116+J118</f>
        <v>1395380.92</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61"/>
      <c r="I121" s="662"/>
      <c r="J121" s="663"/>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661"/>
      <c r="I122" s="662"/>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61"/>
      <c r="I123" s="662"/>
      <c r="J123" s="663"/>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661"/>
      <c r="I124" s="662"/>
      <c r="J124" s="669">
        <f>ROUND(J120/J122,2)</f>
        <v>116281.74</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61"/>
      <c r="I125" s="662"/>
      <c r="J125" s="663"/>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661"/>
      <c r="I126" s="662"/>
      <c r="J126" s="670">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62"/>
      <c r="I127" s="671"/>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X56:Y56"/>
    <mergeCell ref="A59:B59"/>
    <mergeCell ref="F59:H59"/>
    <mergeCell ref="X59:Y59"/>
    <mergeCell ref="I60:J60"/>
    <mergeCell ref="R60:Y60"/>
    <mergeCell ref="A61:J61"/>
    <mergeCell ref="R61:S61"/>
    <mergeCell ref="V61:W61"/>
    <mergeCell ref="X61:Y61"/>
    <mergeCell ref="A65:B65"/>
    <mergeCell ref="D65:H65"/>
    <mergeCell ref="X65:Y65"/>
    <mergeCell ref="I66:J66"/>
    <mergeCell ref="R67:T67"/>
    <mergeCell ref="A68:E68"/>
    <mergeCell ref="R68:S68"/>
    <mergeCell ref="A62:B62"/>
    <mergeCell ref="F62:H62"/>
    <mergeCell ref="X62:Y62"/>
    <mergeCell ref="I63:J63"/>
    <mergeCell ref="R63:Y63"/>
    <mergeCell ref="A64:J64"/>
    <mergeCell ref="R64:S64"/>
    <mergeCell ref="V64:W64"/>
    <mergeCell ref="X64:Y64"/>
    <mergeCell ref="A74:B74"/>
    <mergeCell ref="E74:I74"/>
    <mergeCell ref="R74:S74"/>
    <mergeCell ref="A75:B75"/>
    <mergeCell ref="R75:S75"/>
    <mergeCell ref="A76:B76"/>
    <mergeCell ref="R76:S76"/>
    <mergeCell ref="A69:B69"/>
    <mergeCell ref="R69:T69"/>
    <mergeCell ref="A70:E70"/>
    <mergeCell ref="R70:T70"/>
    <mergeCell ref="A71:E71"/>
    <mergeCell ref="R73:S73"/>
    <mergeCell ref="T73:X73"/>
    <mergeCell ref="A84:B84"/>
    <mergeCell ref="R84:T84"/>
    <mergeCell ref="A85:E85"/>
    <mergeCell ref="R85:T85"/>
    <mergeCell ref="A86:E86"/>
    <mergeCell ref="R86:T86"/>
    <mergeCell ref="A77:B77"/>
    <mergeCell ref="R78:S78"/>
    <mergeCell ref="A79:B79"/>
    <mergeCell ref="R79:S79"/>
    <mergeCell ref="A80:B80"/>
    <mergeCell ref="R83:S83"/>
    <mergeCell ref="D90:F90"/>
    <mergeCell ref="T90:U90"/>
    <mergeCell ref="D91:F91"/>
    <mergeCell ref="T91:U91"/>
    <mergeCell ref="D92:F92"/>
    <mergeCell ref="T92:U92"/>
    <mergeCell ref="A87:E87"/>
    <mergeCell ref="A88:J88"/>
    <mergeCell ref="R88:Y88"/>
    <mergeCell ref="D89:F89"/>
    <mergeCell ref="G89:J89"/>
    <mergeCell ref="R89:S89"/>
    <mergeCell ref="T89:U89"/>
    <mergeCell ref="V89:Y89"/>
    <mergeCell ref="E96:G96"/>
    <mergeCell ref="R96:S96"/>
    <mergeCell ref="T96:V96"/>
    <mergeCell ref="A97:B97"/>
    <mergeCell ref="E97:G97"/>
    <mergeCell ref="R97:S97"/>
    <mergeCell ref="T97:V97"/>
    <mergeCell ref="E93:I93"/>
    <mergeCell ref="T93:X93"/>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91F80-EBBF-476F-8041-5F2637D0FB76}">
  <dimension ref="A1:Z207"/>
  <sheetViews>
    <sheetView topLeftCell="A42" workbookViewId="0">
      <selection activeCell="C42" sqref="C42"/>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507</v>
      </c>
      <c r="B2" s="101"/>
      <c r="C2" s="101"/>
      <c r="D2" s="101"/>
      <c r="E2" s="6"/>
      <c r="F2" s="6"/>
      <c r="G2" s="6"/>
      <c r="H2" s="6"/>
      <c r="I2" s="706" t="str">
        <f>RIGHT(A2,4)</f>
        <v>3381</v>
      </c>
      <c r="J2" s="6"/>
      <c r="K2" s="6"/>
      <c r="L2" s="6"/>
      <c r="M2" s="6"/>
      <c r="N2" s="6"/>
      <c r="O2" s="6"/>
      <c r="P2" s="6"/>
      <c r="Q2" s="6"/>
      <c r="R2" s="927" t="str">
        <f>Revenue_Estimate_Worksheet_for___________Charter_School</f>
        <v>Revenue Estimate Worksheet: Imagine Schools - Chancellor Campus - 3381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M</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171.58</v>
      </c>
      <c r="D12" s="738">
        <f>SUMIFS('Surv2-3'!K:K,'Surv2-3'!$H:$H,$I$2,'Surv2-3'!$I:$I,$O12)</f>
        <v>171.7</v>
      </c>
      <c r="E12" s="1021">
        <f t="shared" ref="E12:E27" si="0">IF($D$28=0,C12*2,C12+D12)</f>
        <v>343.28</v>
      </c>
      <c r="F12" s="1021"/>
      <c r="G12" s="1037">
        <f>Consolidated!$F14</f>
        <v>1.1080000000000001</v>
      </c>
      <c r="H12" s="1037">
        <f>Consolidated!$H$9</f>
        <v>1</v>
      </c>
      <c r="I12" s="539">
        <f>ROUND(E12*G12,4)</f>
        <v>380.35419999999999</v>
      </c>
      <c r="J12" s="540">
        <f t="shared" ref="J12:J27" si="1">ROUND(ROUND(ROUND(I12*$E$6,4)*($I$6),2)*(MAX($I$7,1)),2)</f>
        <v>2116034.9</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29</v>
      </c>
      <c r="D13" s="392">
        <f>SUMIFS('Surv2-3'!K:K,'Surv2-3'!$H:$H,$I$2,'Surv2-3'!$I:$I,$O13)</f>
        <v>30.14</v>
      </c>
      <c r="E13" s="1020">
        <f t="shared" si="0"/>
        <v>59.14</v>
      </c>
      <c r="F13" s="1020"/>
      <c r="G13" s="1026">
        <f>Consolidated!$F15</f>
        <v>1.1080000000000001</v>
      </c>
      <c r="H13" s="1026">
        <f>Consolidated!$H$9</f>
        <v>1</v>
      </c>
      <c r="I13" s="539">
        <f t="shared" ref="I13:I27" si="3">ROUND(E13*G13,4)</f>
        <v>65.527100000000004</v>
      </c>
      <c r="J13" s="540">
        <f t="shared" si="1"/>
        <v>364548.7</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229.57</v>
      </c>
      <c r="D14" s="392">
        <f>SUMIFS('Surv2-3'!L:L,'Surv2-3'!$H:$H,$I$2,'Surv2-3'!$I:$I,$O14)</f>
        <v>225.17</v>
      </c>
      <c r="E14" s="1020">
        <f t="shared" si="0"/>
        <v>454.74</v>
      </c>
      <c r="F14" s="1020"/>
      <c r="G14" s="1026">
        <f>Consolidated!$F16</f>
        <v>1</v>
      </c>
      <c r="H14" s="1026">
        <f>Consolidated!$H$9</f>
        <v>1</v>
      </c>
      <c r="I14" s="539">
        <f t="shared" si="3"/>
        <v>454.74</v>
      </c>
      <c r="J14" s="540">
        <f>ROUND(ROUND(ROUND(I14*$E$6,4)*($I$6),2)*(MAX($I$7,1)),2)</f>
        <v>2529867.46</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61.5</v>
      </c>
      <c r="D15" s="392">
        <f>SUMIFS('Surv2-3'!L:L,'Surv2-3'!$H:$H,$I$2,'Surv2-3'!$I:$I,$O15)</f>
        <v>64.449999999999989</v>
      </c>
      <c r="E15" s="1020">
        <f t="shared" si="0"/>
        <v>125.94999999999999</v>
      </c>
      <c r="F15" s="1020"/>
      <c r="G15" s="1026">
        <f>Consolidated!$F17</f>
        <v>1</v>
      </c>
      <c r="H15" s="1026">
        <f>Consolidated!$H$9</f>
        <v>1</v>
      </c>
      <c r="I15" s="539">
        <f t="shared" si="3"/>
        <v>125.95</v>
      </c>
      <c r="J15" s="540">
        <f t="shared" si="1"/>
        <v>700701.07</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27.42</v>
      </c>
      <c r="D24" s="392">
        <f>SUMIFS('Surv2-3'!K:K,'Surv2-3'!$H:$H,$I$2,'Surv2-3'!$I:$I,$O24)</f>
        <v>29.340000000000003</v>
      </c>
      <c r="E24" s="1020">
        <f t="shared" si="0"/>
        <v>56.760000000000005</v>
      </c>
      <c r="F24" s="1020"/>
      <c r="G24" s="1026">
        <f>Consolidated!$F26</f>
        <v>1.165</v>
      </c>
      <c r="H24" s="1026">
        <f>Consolidated!$H$9</f>
        <v>1</v>
      </c>
      <c r="I24" s="539">
        <f t="shared" si="3"/>
        <v>66.125399999999999</v>
      </c>
      <c r="J24" s="540">
        <f t="shared" si="1"/>
        <v>367877.24</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4.72</v>
      </c>
      <c r="D25" s="392">
        <f>SUMIFS('Surv2-3'!L:L,'Surv2-3'!$H:$H,$I$2,'Surv2-3'!$I:$I,$O25)</f>
        <v>4.72</v>
      </c>
      <c r="E25" s="1020">
        <f t="shared" si="0"/>
        <v>9.44</v>
      </c>
      <c r="F25" s="1020"/>
      <c r="G25" s="1026">
        <f>Consolidated!$F27</f>
        <v>1.165</v>
      </c>
      <c r="H25" s="1026">
        <f>Consolidated!$H$9</f>
        <v>1</v>
      </c>
      <c r="I25" s="539">
        <f t="shared" si="3"/>
        <v>10.9976</v>
      </c>
      <c r="J25" s="540">
        <f t="shared" si="1"/>
        <v>61183.25</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523.79</v>
      </c>
      <c r="D28" s="822">
        <f>SUM(D12:D27)</f>
        <v>525.52</v>
      </c>
      <c r="E28" s="1048">
        <f>SUM(E12:E27)</f>
        <v>1049.31</v>
      </c>
      <c r="F28" s="1048"/>
      <c r="G28" s="1020"/>
      <c r="H28" s="1020"/>
      <c r="I28" s="23">
        <f>SUM(I12:I27)</f>
        <v>1103.6942999999999</v>
      </c>
      <c r="J28" s="116">
        <f>SUM(J12:J27)</f>
        <v>6140212.620000001</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1103.6942999999999</v>
      </c>
      <c r="H33" s="1020" t="s">
        <v>45</v>
      </c>
      <c r="I33" s="1020"/>
      <c r="J33" s="32">
        <f>SUM(J32,J28)</f>
        <v>6140212.620000001</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6129355.2400000002</v>
      </c>
      <c r="H36" s="37" t="s">
        <v>49</v>
      </c>
      <c r="I36" s="38">
        <v>6.6699999999999995E-2</v>
      </c>
      <c r="J36" s="120">
        <f>ROUND(G36*I36,2)</f>
        <v>408827.99</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6129355.2400000002</v>
      </c>
      <c r="H37" s="37" t="s">
        <v>49</v>
      </c>
      <c r="I37" s="38">
        <v>5.4000000000000003E-3</v>
      </c>
      <c r="J37" s="120">
        <f>ROUND(G37*I37,2)</f>
        <v>33098.519999999997</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441926.51</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29</v>
      </c>
      <c r="D41" s="737">
        <f>SUMIFS('Surv2-3'!K:K,'Surv2-3'!$H:$H,$I$2,'Surv2-3'!$I:$I,$H41-140)</f>
        <v>30.14</v>
      </c>
      <c r="E41" s="1013">
        <f t="shared" ref="E41:E49" si="8">IF($D$50=0,C41*2,C41+D41)</f>
        <v>59.14</v>
      </c>
      <c r="F41" s="1013"/>
      <c r="G41" s="37" t="s">
        <v>59</v>
      </c>
      <c r="H41" s="37">
        <v>251</v>
      </c>
      <c r="I41" s="125">
        <f>Consolidated!$H59</f>
        <v>1047</v>
      </c>
      <c r="J41" s="46">
        <f t="shared" ref="J41:J49" si="9">ROUND(E41*I41,2)</f>
        <v>61919.58</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4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46">
        <f t="shared" si="9"/>
        <v>0</v>
      </c>
      <c r="M43" s="2"/>
      <c r="R43" s="958"/>
      <c r="S43" s="958"/>
      <c r="T43" s="960"/>
      <c r="U43" s="960"/>
      <c r="V43" s="162" t="s">
        <v>59</v>
      </c>
      <c r="W43" s="162">
        <v>253</v>
      </c>
      <c r="X43" s="123">
        <f>Consolidated!$H61</f>
        <v>6896</v>
      </c>
      <c r="Y43" s="213">
        <f t="shared" si="10"/>
        <v>0</v>
      </c>
    </row>
    <row r="44" spans="1:25" ht="20.25" customHeight="1"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61.5</v>
      </c>
      <c r="D45" s="824">
        <f>SUMIFS('Surv2-3'!L:L,'Surv2-3'!$H:$H,$I$2,'Surv2-3'!$I:$I,$H45-140)</f>
        <v>64.449999999999989</v>
      </c>
      <c r="E45" s="1013">
        <f t="shared" si="8"/>
        <v>125.94999999999999</v>
      </c>
      <c r="F45" s="1013"/>
      <c r="G45" s="47" t="s">
        <v>60</v>
      </c>
      <c r="H45" s="37">
        <v>252</v>
      </c>
      <c r="I45" s="125">
        <f>Consolidated!$H63</f>
        <v>3506</v>
      </c>
      <c r="J45" s="46">
        <f t="shared" si="9"/>
        <v>441580.7</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4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4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46">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90.5</v>
      </c>
      <c r="D50" s="825">
        <f>SUM(D41:D49)</f>
        <v>94.589999999999989</v>
      </c>
      <c r="E50" s="1015">
        <f>SUM(E41:E49)</f>
        <v>185.08999999999997</v>
      </c>
      <c r="F50" s="1015"/>
      <c r="G50" s="970" t="s">
        <v>63</v>
      </c>
      <c r="H50" s="970"/>
      <c r="I50" s="970"/>
      <c r="J50" s="220">
        <f>SUM(J41:J49)</f>
        <v>503500.28</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1049.31</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5.0520000000000001E-3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1103.6942999999999</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4.9909999999999998E-3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1049.31</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5.8729999999999997E-3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1049.31</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5.0600000000000003E-3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1049.31</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5.8840000000000003E-3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5.0600000000000003E-3</v>
      </c>
      <c r="J68" s="127">
        <f>ROUND(G68*I68,2)</f>
        <v>230789.05</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5.0520000000000001E-3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5.8840000000000003E-3</v>
      </c>
      <c r="J71" s="127">
        <f>ROUND(G71*I71,2)</f>
        <v>111560.09</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5.8729999999999997E-3</v>
      </c>
      <c r="J72" s="127">
        <f>ROUND(G72*I72,2)</f>
        <v>66414.179999999993</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4.9909999999999998E-3</v>
      </c>
      <c r="J85" s="127">
        <f>ROUND(G85*I85,2)</f>
        <v>1341662.04</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4.9909999999999998E-3</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5.0520000000000001E-3</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512.00670000000002</v>
      </c>
      <c r="C90" s="80"/>
      <c r="D90" s="921">
        <f>I6</f>
        <v>1.0355000000000001</v>
      </c>
      <c r="E90" s="921"/>
      <c r="F90" s="921"/>
      <c r="G90" s="113">
        <f>Consolidated!F$118</f>
        <v>958.42</v>
      </c>
      <c r="H90" s="47" t="s">
        <v>68</v>
      </c>
      <c r="I90" s="537">
        <f>ROUND(B90*D90*G90,2)</f>
        <v>508137.93</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591.68760000000009</v>
      </c>
      <c r="C91" s="80"/>
      <c r="D91" s="921">
        <f>I6</f>
        <v>1.0355000000000001</v>
      </c>
      <c r="E91" s="921"/>
      <c r="F91" s="921"/>
      <c r="G91" s="113">
        <f>Consolidated!F$119</f>
        <v>915.09</v>
      </c>
      <c r="H91" s="47" t="s">
        <v>68</v>
      </c>
      <c r="I91" s="537">
        <f>ROUND(B91*D91*G91,2)</f>
        <v>560668.79</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1103.6943000000001</v>
      </c>
      <c r="C93" s="80"/>
      <c r="D93" s="80"/>
      <c r="E93" s="999" t="s">
        <v>112</v>
      </c>
      <c r="F93" s="999"/>
      <c r="G93" s="999"/>
      <c r="H93" s="999"/>
      <c r="I93" s="999"/>
      <c r="J93" s="116">
        <f>IF(A1=75,0,I92+I91+I90)</f>
        <v>1068806.72</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109</v>
      </c>
      <c r="D97" s="223">
        <v>113</v>
      </c>
      <c r="E97" s="1044">
        <f>IF(D97&gt;0,(C97+D97)/2,C97)</f>
        <v>111</v>
      </c>
      <c r="F97" s="922"/>
      <c r="G97" s="922"/>
      <c r="H97" s="85" t="s">
        <v>117</v>
      </c>
      <c r="I97" s="119">
        <f>Consolidated!G$127</f>
        <v>578</v>
      </c>
      <c r="J97" s="127">
        <f>ROUND(I97*E97,2)</f>
        <v>64158</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9527102.9799999986</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9085176.4699999988</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658" t="s">
        <v>495</v>
      </c>
      <c r="I114" s="659">
        <f>IF(I111=1,J111,J109)</f>
        <v>9085176.4699999988</v>
      </c>
      <c r="J114" s="660">
        <f>ROUND(IF(E28=0,0,IF(E28&gt;250,-(((250/E28)*I114)*IF(H114="H",0.02,0.05)),IF(H114="H",-0.02*I114,-0.05*I114))),2)</f>
        <v>-43291.19</v>
      </c>
      <c r="M114" s="2"/>
      <c r="N114" s="3"/>
      <c r="R114" s="2"/>
      <c r="T114" s="4"/>
      <c r="W114" s="2"/>
      <c r="X114" s="5"/>
    </row>
    <row r="115" spans="1:26" ht="16.5" customHeight="1" x14ac:dyDescent="0.25">
      <c r="A115" s="231"/>
      <c r="B115" s="231"/>
      <c r="C115" s="231"/>
      <c r="D115" s="231"/>
      <c r="E115" s="231"/>
      <c r="F115" s="231"/>
      <c r="G115" s="231"/>
      <c r="H115" s="661"/>
      <c r="I115" s="662"/>
      <c r="J115" s="663"/>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664"/>
      <c r="I116" s="665"/>
      <c r="J116" s="666">
        <f>J107+J114</f>
        <v>9483811.7899999991</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61"/>
      <c r="I117" s="662"/>
      <c r="J117" s="663"/>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661"/>
      <c r="I118" s="662"/>
      <c r="J118" s="667">
        <f>-'Cumulative Payments'!R87</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61"/>
      <c r="I119" s="662"/>
      <c r="J119" s="663"/>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661"/>
      <c r="I120" s="662"/>
      <c r="J120" s="663">
        <f>J116+J118</f>
        <v>9483811.7899999991</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61"/>
      <c r="I121" s="662"/>
      <c r="J121" s="663"/>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661"/>
      <c r="I122" s="662"/>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61"/>
      <c r="I123" s="662"/>
      <c r="J123" s="663"/>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661"/>
      <c r="I124" s="662"/>
      <c r="J124" s="669">
        <f>ROUND(J120/J122,2)</f>
        <v>790317.65</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61"/>
      <c r="I125" s="662"/>
      <c r="J125" s="663"/>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661"/>
      <c r="I126" s="662"/>
      <c r="J126" s="670">
        <f>ROUND(IF(H114="H",(I114*0.02)+J114,(I114*0.05)+J114),2)</f>
        <v>138412.34</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59939-EC71-4FF6-8991-4A56F4519FA9}">
  <dimension ref="A1:Z207"/>
  <sheetViews>
    <sheetView topLeftCell="A41" workbookViewId="0">
      <selection activeCell="C41" sqref="C41"/>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638</v>
      </c>
      <c r="B2" s="101"/>
      <c r="C2" s="101"/>
      <c r="D2" s="101"/>
      <c r="E2" s="6"/>
      <c r="F2" s="6"/>
      <c r="G2" s="6"/>
      <c r="H2" s="6"/>
      <c r="I2" s="706" t="str">
        <f>RIGHT(A2,4)</f>
        <v>3382</v>
      </c>
      <c r="J2" s="6"/>
      <c r="K2" s="6"/>
      <c r="L2" s="6"/>
      <c r="M2" s="6"/>
      <c r="N2" s="6"/>
      <c r="O2" s="6"/>
      <c r="P2" s="6"/>
      <c r="Q2" s="6"/>
      <c r="R2" s="927" t="str">
        <f>Revenue_Estimate_Worksheet_for___________Charter_School</f>
        <v>Revenue Estimate Worksheet: Glades Day - 3382</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M</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41.54</v>
      </c>
      <c r="D12" s="738">
        <f>SUMIFS('Surv2-3'!K:K,'Surv2-3'!$H:$H,$I$2,'Surv2-3'!$I:$I,$O12)</f>
        <v>37.42</v>
      </c>
      <c r="E12" s="1021">
        <f t="shared" ref="E12:E27" si="0">IF($D$28=0,C12*2,C12+D12)</f>
        <v>78.960000000000008</v>
      </c>
      <c r="F12" s="1021"/>
      <c r="G12" s="1037">
        <f>Consolidated!$F14</f>
        <v>1.1080000000000001</v>
      </c>
      <c r="H12" s="1037">
        <f>Consolidated!$H$9</f>
        <v>1</v>
      </c>
      <c r="I12" s="539">
        <f>ROUND(E12*G12,4)</f>
        <v>87.487700000000004</v>
      </c>
      <c r="J12" s="540">
        <f t="shared" ref="J12:J27" si="1">ROUND(ROUND(ROUND(I12*$E$6,4)*($I$6),2)*(MAX($I$7,1)),2)</f>
        <v>486722.71</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8</v>
      </c>
      <c r="D13" s="392">
        <f>SUMIFS('Surv2-3'!K:K,'Surv2-3'!$H:$H,$I$2,'Surv2-3'!$I:$I,$O13)</f>
        <v>7.49</v>
      </c>
      <c r="E13" s="1020">
        <f t="shared" si="0"/>
        <v>15.49</v>
      </c>
      <c r="F13" s="1020"/>
      <c r="G13" s="1026">
        <f>Consolidated!$F15</f>
        <v>1.1080000000000001</v>
      </c>
      <c r="H13" s="1026">
        <f>Consolidated!$H$9</f>
        <v>1</v>
      </c>
      <c r="I13" s="539">
        <f t="shared" ref="I13:I27" si="3">ROUND(E13*G13,4)</f>
        <v>17.1629</v>
      </c>
      <c r="J13" s="540">
        <f t="shared" si="1"/>
        <v>95482.83</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62.08</v>
      </c>
      <c r="D14" s="392">
        <f>SUMIFS('Surv2-3'!L:L,'Surv2-3'!$H:$H,$I$2,'Surv2-3'!$I:$I,$O14)</f>
        <v>61.349999999999994</v>
      </c>
      <c r="E14" s="1020">
        <f t="shared" si="0"/>
        <v>123.42999999999999</v>
      </c>
      <c r="F14" s="1020"/>
      <c r="G14" s="1026">
        <f>Consolidated!$F16</f>
        <v>1</v>
      </c>
      <c r="H14" s="1026">
        <f>Consolidated!$H$9</f>
        <v>1</v>
      </c>
      <c r="I14" s="539">
        <f t="shared" si="3"/>
        <v>123.43</v>
      </c>
      <c r="J14" s="540">
        <f>ROUND(ROUND(ROUND(I14*$E$6,4)*($I$6),2)*(MAX($I$7,1)),2)</f>
        <v>686681.49</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20</v>
      </c>
      <c r="D15" s="392">
        <f>SUMIFS('Surv2-3'!L:L,'Surv2-3'!$H:$H,$I$2,'Surv2-3'!$I:$I,$O15)</f>
        <v>16.53</v>
      </c>
      <c r="E15" s="1020">
        <f t="shared" si="0"/>
        <v>36.53</v>
      </c>
      <c r="F15" s="1020"/>
      <c r="G15" s="1026">
        <f>Consolidated!$F17</f>
        <v>1</v>
      </c>
      <c r="H15" s="1026">
        <f>Consolidated!$H$9</f>
        <v>1</v>
      </c>
      <c r="I15" s="539">
        <f t="shared" si="3"/>
        <v>36.53</v>
      </c>
      <c r="J15" s="540">
        <f t="shared" si="1"/>
        <v>203228.35</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3.4699999999999998</v>
      </c>
      <c r="D24" s="392">
        <f>SUMIFS('Surv2-3'!K:K,'Surv2-3'!$H:$H,$I$2,'Surv2-3'!$I:$I,$O24)</f>
        <v>3.07</v>
      </c>
      <c r="E24" s="1020">
        <f t="shared" si="0"/>
        <v>6.5399999999999991</v>
      </c>
      <c r="F24" s="1020"/>
      <c r="G24" s="1026">
        <f>Consolidated!$F26</f>
        <v>1.165</v>
      </c>
      <c r="H24" s="1026">
        <f>Consolidated!$H$9</f>
        <v>1</v>
      </c>
      <c r="I24" s="539">
        <f t="shared" si="3"/>
        <v>7.6191000000000004</v>
      </c>
      <c r="J24" s="540">
        <f t="shared" si="1"/>
        <v>42387.55</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0.42</v>
      </c>
      <c r="D25" s="392">
        <f>SUMIFS('Surv2-3'!L:L,'Surv2-3'!$H:$H,$I$2,'Surv2-3'!$I:$I,$O25)</f>
        <v>0.42</v>
      </c>
      <c r="E25" s="1020">
        <f t="shared" si="0"/>
        <v>0.84</v>
      </c>
      <c r="F25" s="1020"/>
      <c r="G25" s="1026">
        <f>Consolidated!$F27</f>
        <v>1.165</v>
      </c>
      <c r="H25" s="1026">
        <f>Consolidated!$H$9</f>
        <v>1</v>
      </c>
      <c r="I25" s="539">
        <f t="shared" si="3"/>
        <v>0.97860000000000003</v>
      </c>
      <c r="J25" s="540">
        <f t="shared" si="1"/>
        <v>5444.27</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135.51</v>
      </c>
      <c r="D28" s="822">
        <f>SUM(D12:D27)</f>
        <v>126.27999999999999</v>
      </c>
      <c r="E28" s="1025">
        <f>SUM(E12:E27)</f>
        <v>261.78999999999996</v>
      </c>
      <c r="F28" s="1025"/>
      <c r="G28" s="1020"/>
      <c r="H28" s="1020"/>
      <c r="I28" s="23">
        <f>SUM(I12:I27)</f>
        <v>273.20829999999995</v>
      </c>
      <c r="J28" s="116">
        <f>SUM(J12:J27)</f>
        <v>1519947.2000000002</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273.20829999999995</v>
      </c>
      <c r="H33" s="1020" t="s">
        <v>45</v>
      </c>
      <c r="I33" s="1020"/>
      <c r="J33" s="32">
        <f>SUM(J32,J28)</f>
        <v>1519947.2000000002</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1589443.16</v>
      </c>
      <c r="H36" s="37" t="s">
        <v>49</v>
      </c>
      <c r="I36" s="38">
        <v>6.6699999999999995E-2</v>
      </c>
      <c r="J36" s="120">
        <f>ROUND(G36*I36,2)</f>
        <v>106015.86</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1589443.16</v>
      </c>
      <c r="H37" s="37" t="s">
        <v>49</v>
      </c>
      <c r="I37" s="38">
        <v>5.4000000000000003E-3</v>
      </c>
      <c r="J37" s="120">
        <f>ROUND(G37*I37,2)</f>
        <v>8582.99</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114598.85</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8</v>
      </c>
      <c r="D41" s="737">
        <f>SUMIFS('Surv2-3'!K:K,'Surv2-3'!$H:$H,$I$2,'Surv2-3'!$I:$I,$H41-140)</f>
        <v>7.49</v>
      </c>
      <c r="E41" s="1013">
        <f t="shared" ref="E41:E49" si="8">IF($D$50=0,C41*2,C41+D41)</f>
        <v>15.49</v>
      </c>
      <c r="F41" s="1013"/>
      <c r="G41" s="37" t="s">
        <v>59</v>
      </c>
      <c r="H41" s="37">
        <v>251</v>
      </c>
      <c r="I41" s="125">
        <f>Consolidated!$H59</f>
        <v>1047</v>
      </c>
      <c r="J41" s="537">
        <f t="shared" ref="J41:J49" si="9">ROUND(E41*I41,2)</f>
        <v>16218.03</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537">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537">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20</v>
      </c>
      <c r="D45" s="824">
        <f>SUMIFS('Surv2-3'!L:L,'Surv2-3'!$H:$H,$I$2,'Surv2-3'!$I:$I,$H45-140)</f>
        <v>16.53</v>
      </c>
      <c r="E45" s="1013">
        <f t="shared" si="8"/>
        <v>36.53</v>
      </c>
      <c r="F45" s="1013"/>
      <c r="G45" s="47" t="s">
        <v>60</v>
      </c>
      <c r="H45" s="37">
        <v>252</v>
      </c>
      <c r="I45" s="125">
        <f>Consolidated!$H63</f>
        <v>3506</v>
      </c>
      <c r="J45" s="537">
        <f t="shared" si="9"/>
        <v>128074.18</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4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4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46">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28</v>
      </c>
      <c r="D50" s="825">
        <f>SUM(D41:D49)</f>
        <v>24.020000000000003</v>
      </c>
      <c r="E50" s="1015">
        <f>SUM(E41:E49)</f>
        <v>52.02</v>
      </c>
      <c r="F50" s="1015"/>
      <c r="G50" s="970" t="s">
        <v>63</v>
      </c>
      <c r="H50" s="970"/>
      <c r="I50" s="970"/>
      <c r="J50" s="220">
        <f>SUM(J41:J49)</f>
        <v>144292.21</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261.78999999999996</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1.2600000000000001E-3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273.20829999999995</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1.2359999999999999E-3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261.78999999999996</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1.4649999999999999E-3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261.78999999999996</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1.2620000000000001E-3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261.78999999999996</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1.4679999999999999E-3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1.2620000000000001E-3</v>
      </c>
      <c r="J68" s="127">
        <f>ROUND(G68*I68,2)</f>
        <v>57560.43</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1.2600000000000001E-3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1.4679999999999999E-3</v>
      </c>
      <c r="J71" s="127">
        <f>ROUND(G71*I71,2)</f>
        <v>27833.14</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1.4649999999999999E-3</v>
      </c>
      <c r="J72" s="127">
        <f>ROUND(G72*I72,2)</f>
        <v>16566.79</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1.2359999999999999E-3</v>
      </c>
      <c r="J85" s="127">
        <f>ROUND(G85*I85,2)</f>
        <v>332256.92</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1.2359999999999999E-3</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1.2600000000000001E-3</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112.2697</v>
      </c>
      <c r="C90" s="80"/>
      <c r="D90" s="921">
        <f>I6</f>
        <v>1.0355000000000001</v>
      </c>
      <c r="E90" s="921"/>
      <c r="F90" s="921"/>
      <c r="G90" s="113">
        <f>Consolidated!F$118</f>
        <v>958.42</v>
      </c>
      <c r="H90" s="47" t="s">
        <v>68</v>
      </c>
      <c r="I90" s="537">
        <f>ROUND(B90*D90*G90,2)</f>
        <v>111421.38</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160.93860000000001</v>
      </c>
      <c r="C91" s="80"/>
      <c r="D91" s="921">
        <f>I6</f>
        <v>1.0355000000000001</v>
      </c>
      <c r="E91" s="921"/>
      <c r="F91" s="921"/>
      <c r="G91" s="113">
        <f>Consolidated!F$119</f>
        <v>915.09</v>
      </c>
      <c r="H91" s="47" t="s">
        <v>68</v>
      </c>
      <c r="I91" s="537">
        <f>ROUND(B91*D91*G91,2)</f>
        <v>152501.51</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273.20830000000001</v>
      </c>
      <c r="C93" s="80"/>
      <c r="D93" s="80"/>
      <c r="E93" s="999" t="s">
        <v>112</v>
      </c>
      <c r="F93" s="999"/>
      <c r="G93" s="999"/>
      <c r="H93" s="999"/>
      <c r="I93" s="999"/>
      <c r="J93" s="116">
        <f>IF(A1=75,0,I92+I91+I90)</f>
        <v>263922.89</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240</v>
      </c>
      <c r="D97" s="223">
        <v>232</v>
      </c>
      <c r="E97" s="1044">
        <f>IF(D97&gt;0,(C97+D97)/2,C97)</f>
        <v>236</v>
      </c>
      <c r="F97" s="922"/>
      <c r="G97" s="922"/>
      <c r="H97" s="85" t="s">
        <v>117</v>
      </c>
      <c r="I97" s="119">
        <f>Consolidated!G$127</f>
        <v>578</v>
      </c>
      <c r="J97" s="127">
        <f>ROUND(I97*E97,2)</f>
        <v>136408</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2498787.58</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2384188.73</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658"/>
      <c r="I114" s="659">
        <f>IF(I111=1,J111,J109)</f>
        <v>2384188.73</v>
      </c>
      <c r="J114" s="660">
        <f>ROUND(IF(E28=0,0,IF(E28&gt;250,-(((250/E28)*I114)*IF(H114="H",0.02,0.05)),IF(H114="H",-0.02*I114,-0.05*I114))),2)</f>
        <v>-113840.71</v>
      </c>
      <c r="M114" s="2"/>
      <c r="N114" s="3"/>
      <c r="R114" s="2"/>
      <c r="T114" s="4"/>
      <c r="W114" s="2"/>
      <c r="X114" s="5"/>
    </row>
    <row r="115" spans="1:26" ht="16.5" customHeight="1" x14ac:dyDescent="0.25">
      <c r="A115" s="231"/>
      <c r="B115" s="231"/>
      <c r="C115" s="231"/>
      <c r="D115" s="231"/>
      <c r="E115" s="231"/>
      <c r="F115" s="231"/>
      <c r="G115" s="231"/>
      <c r="H115" s="661"/>
      <c r="I115" s="662"/>
      <c r="J115" s="663"/>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664"/>
      <c r="I116" s="665"/>
      <c r="J116" s="666">
        <f>J107+J114</f>
        <v>2384946.87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61"/>
      <c r="I117" s="662"/>
      <c r="J117" s="663"/>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661"/>
      <c r="I118" s="662"/>
      <c r="J118" s="667">
        <f>-'Cumulative Payments'!R88</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61"/>
      <c r="I119" s="662"/>
      <c r="J119" s="663"/>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661"/>
      <c r="I120" s="662"/>
      <c r="J120" s="663">
        <f>J116+J118</f>
        <v>2384946.87</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61"/>
      <c r="I121" s="662"/>
      <c r="J121" s="663"/>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661"/>
      <c r="I122" s="662"/>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61"/>
      <c r="I123" s="662"/>
      <c r="J123" s="663"/>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661"/>
      <c r="I124" s="662"/>
      <c r="J124" s="669">
        <f>ROUND(J120/J122,2)</f>
        <v>198745.57</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61"/>
      <c r="I125" s="662"/>
      <c r="J125" s="663"/>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661"/>
      <c r="I126" s="662"/>
      <c r="J126" s="670">
        <f>ROUND(IF(H114="H",(I114*0.02)+J114,(I114*0.05)+J114),2)</f>
        <v>5368.73</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62"/>
      <c r="I127" s="671"/>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40D20-9D20-4687-8A60-D4D664693457}">
  <sheetPr>
    <tabColor theme="0" tint="-0.34998626667073579"/>
  </sheetPr>
  <dimension ref="A1:Z207"/>
  <sheetViews>
    <sheetView topLeftCell="A101" workbookViewId="0">
      <selection activeCell="C101" sqref="C101"/>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508</v>
      </c>
      <c r="B2" s="101"/>
      <c r="C2" s="101"/>
      <c r="D2" s="101"/>
      <c r="E2" s="6"/>
      <c r="F2" s="6"/>
      <c r="G2" s="6"/>
      <c r="H2" s="6"/>
      <c r="I2" s="713" t="str">
        <f>RIGHT(A2,4)</f>
        <v>3391</v>
      </c>
      <c r="J2" s="712" t="s">
        <v>644</v>
      </c>
      <c r="K2" s="6"/>
      <c r="L2" s="6"/>
      <c r="M2" s="6"/>
      <c r="N2" s="6"/>
      <c r="O2" s="6"/>
      <c r="P2" s="6"/>
      <c r="Q2" s="6"/>
      <c r="R2" s="927" t="str">
        <f>Revenue_Estimate_Worksheet_for___________Charter_School</f>
        <v>Revenue Estimate Worksheet: Seagull Academy for Independent Living - 3391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E</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0</v>
      </c>
      <c r="D14" s="392">
        <f>SUMIFS('Surv2-3'!L:L,'Surv2-3'!$H:$H,$I$2,'Surv2-3'!$I:$I,$O14)</f>
        <v>0</v>
      </c>
      <c r="E14" s="1020">
        <f t="shared" si="0"/>
        <v>0</v>
      </c>
      <c r="F14" s="1020"/>
      <c r="G14" s="1026">
        <f>Consolidated!$F16</f>
        <v>1</v>
      </c>
      <c r="H14" s="1026">
        <f>Consolidated!$H$9</f>
        <v>1</v>
      </c>
      <c r="I14" s="539">
        <f t="shared" si="3"/>
        <v>0</v>
      </c>
      <c r="J14" s="540">
        <f>ROUND(ROUND(ROUND(I14*$E$6,4)*($I$6),2)*(MAX($I$7,1)),2)</f>
        <v>0</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0</v>
      </c>
      <c r="D15" s="392">
        <f>SUMIFS('Surv2-3'!L:L,'Surv2-3'!$H:$H,$I$2,'Surv2-3'!$I:$I,$O15)</f>
        <v>0</v>
      </c>
      <c r="E15" s="1020">
        <f t="shared" si="0"/>
        <v>0</v>
      </c>
      <c r="F15" s="1020"/>
      <c r="G15" s="1026">
        <f>Consolidated!$F17</f>
        <v>1</v>
      </c>
      <c r="H15" s="1026">
        <f>Consolidated!$H$9</f>
        <v>1</v>
      </c>
      <c r="I15" s="539">
        <f t="shared" si="3"/>
        <v>0</v>
      </c>
      <c r="J15" s="540">
        <f t="shared" si="1"/>
        <v>0</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v>
      </c>
      <c r="D25" s="392">
        <f>SUMIFS('Surv2-3'!L:L,'Surv2-3'!$H:$H,$I$2,'Surv2-3'!$I:$I,$O25)</f>
        <v>0</v>
      </c>
      <c r="E25" s="1020">
        <f t="shared" si="0"/>
        <v>0</v>
      </c>
      <c r="F25" s="1020"/>
      <c r="G25" s="1026">
        <f>Consolidated!$F27</f>
        <v>1.165</v>
      </c>
      <c r="H25" s="1026">
        <f>Consolidated!$H$9</f>
        <v>1</v>
      </c>
      <c r="I25" s="539">
        <f t="shared" si="3"/>
        <v>0</v>
      </c>
      <c r="J25" s="540">
        <f t="shared" si="1"/>
        <v>0</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0</v>
      </c>
      <c r="D28" s="822">
        <f>SUM(D12:D27)</f>
        <v>0</v>
      </c>
      <c r="E28" s="1025">
        <f>SUM(E12:E27)</f>
        <v>0</v>
      </c>
      <c r="F28" s="1025"/>
      <c r="G28" s="1020"/>
      <c r="H28" s="1020"/>
      <c r="I28" s="23">
        <f>SUM(I12:I27)</f>
        <v>0</v>
      </c>
      <c r="J28" s="116">
        <f>SUM(J12:J27)</f>
        <v>0</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0</v>
      </c>
      <c r="H33" s="1020" t="s">
        <v>45</v>
      </c>
      <c r="I33" s="1020"/>
      <c r="J33" s="32">
        <f>SUM(J32,J28)</f>
        <v>0</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0</v>
      </c>
      <c r="H36" s="37" t="s">
        <v>49</v>
      </c>
      <c r="I36" s="38">
        <v>6.6699999999999995E-2</v>
      </c>
      <c r="J36" s="120">
        <f>ROUND(G36*I36,2)</f>
        <v>0</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0</v>
      </c>
      <c r="H37" s="37" t="s">
        <v>49</v>
      </c>
      <c r="I37" s="38">
        <v>5.4000000000000003E-3</v>
      </c>
      <c r="J37" s="120">
        <f>ROUND(G37*I37,2)</f>
        <v>0</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0</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37" t="s">
        <v>59</v>
      </c>
      <c r="H41" s="37">
        <v>251</v>
      </c>
      <c r="I41" s="125">
        <f>Consolidated!$H59</f>
        <v>1047</v>
      </c>
      <c r="J41" s="46">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4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46">
        <f t="shared" si="9"/>
        <v>0</v>
      </c>
      <c r="M43" s="2"/>
      <c r="R43" s="958"/>
      <c r="S43" s="958"/>
      <c r="T43" s="960"/>
      <c r="U43" s="960"/>
      <c r="V43" s="162" t="s">
        <v>59</v>
      </c>
      <c r="W43" s="162">
        <v>253</v>
      </c>
      <c r="X43" s="123">
        <f>Consolidated!$H61</f>
        <v>6896</v>
      </c>
      <c r="Y43" s="213">
        <f t="shared" si="10"/>
        <v>0</v>
      </c>
    </row>
    <row r="44" spans="1:25" ht="20.25" customHeight="1"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0</v>
      </c>
      <c r="D45" s="824">
        <f>SUMIFS('Surv2-3'!L:L,'Surv2-3'!$H:$H,$I$2,'Surv2-3'!$I:$I,$H45-140)</f>
        <v>0</v>
      </c>
      <c r="E45" s="1013">
        <f t="shared" si="8"/>
        <v>0</v>
      </c>
      <c r="F45" s="1013"/>
      <c r="G45" s="47" t="s">
        <v>60</v>
      </c>
      <c r="H45" s="37">
        <v>252</v>
      </c>
      <c r="I45" s="125">
        <f>Consolidated!$H63</f>
        <v>3506</v>
      </c>
      <c r="J45" s="46">
        <f t="shared" si="9"/>
        <v>0</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4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4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46">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0</v>
      </c>
      <c r="D50" s="825">
        <f>SUM(D41:D49)</f>
        <v>0</v>
      </c>
      <c r="E50" s="1015">
        <f>SUM(E41:E49)</f>
        <v>0</v>
      </c>
      <c r="F50" s="1015"/>
      <c r="G50" s="970" t="s">
        <v>63</v>
      </c>
      <c r="H50" s="970"/>
      <c r="I50" s="970"/>
      <c r="J50" s="220">
        <f>SUM(J41:J49)</f>
        <v>0</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0</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0</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E56</f>
        <v>0</v>
      </c>
      <c r="U55" s="173" t="s">
        <v>66</v>
      </c>
      <c r="V55" s="174"/>
      <c r="W55" s="175" t="s">
        <v>71</v>
      </c>
      <c r="X55" s="977">
        <f>I56</f>
        <v>221131.37000000002</v>
      </c>
      <c r="Y55" s="977"/>
    </row>
    <row r="56" spans="1:25" ht="16.5" customHeight="1" x14ac:dyDescent="0.25">
      <c r="A56" s="953" t="s">
        <v>70</v>
      </c>
      <c r="B56" s="953"/>
      <c r="C56" s="51"/>
      <c r="D56" s="51"/>
      <c r="E56" s="48">
        <f>G33</f>
        <v>0</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0</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0</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0</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0</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0</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0</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0</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0</v>
      </c>
      <c r="J68" s="127">
        <f>ROUND(G68*I68,2)</f>
        <v>0</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0</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0</v>
      </c>
      <c r="J71" s="127">
        <f>ROUND(G71*I71,2)</f>
        <v>0</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0</v>
      </c>
      <c r="J72" s="127">
        <f>ROUND(G72*I72,2)</f>
        <v>0</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0</v>
      </c>
      <c r="J85" s="127">
        <f>ROUND(G85*I85,2)</f>
        <v>0</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0</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0</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130">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0</v>
      </c>
      <c r="C91" s="80"/>
      <c r="D91" s="921">
        <f>I6</f>
        <v>1.0355000000000001</v>
      </c>
      <c r="E91" s="921"/>
      <c r="F91" s="921"/>
      <c r="G91" s="113">
        <f>Consolidated!F$119</f>
        <v>915.09</v>
      </c>
      <c r="H91" s="47" t="s">
        <v>68</v>
      </c>
      <c r="I91" s="129">
        <f>ROUND(B91*D91*G91,2)</f>
        <v>0</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0</v>
      </c>
      <c r="C93" s="80"/>
      <c r="D93" s="80"/>
      <c r="E93" s="999" t="s">
        <v>112</v>
      </c>
      <c r="F93" s="999"/>
      <c r="G93" s="999"/>
      <c r="H93" s="999"/>
      <c r="I93" s="999"/>
      <c r="J93" s="116">
        <f>IF(A1=75,0,I92+I91+I90)</f>
        <v>0</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0</v>
      </c>
      <c r="D97" s="223">
        <v>0</v>
      </c>
      <c r="E97" s="1044">
        <f>IF(D97&gt;0,(C97+D97)/2,C97)</f>
        <v>0</v>
      </c>
      <c r="F97" s="922"/>
      <c r="G97" s="922"/>
      <c r="H97" s="85" t="s">
        <v>117</v>
      </c>
      <c r="I97" s="119">
        <f>Consolidated!G$127</f>
        <v>578</v>
      </c>
      <c r="J97" s="127">
        <f>ROUND(I97*E97,2)</f>
        <v>0</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0</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0</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H113" s="232"/>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I114" s="233">
        <f>IF(I111=1,J111,J109)</f>
        <v>0</v>
      </c>
      <c r="J114" s="234">
        <f>ROUND(IF(E28=0,0,IF(E28&gt;250,-(((250/E28)*I114)*IF(H113="H",0.02,0.05)),IF(H113="H",-0.02*I114,-0.05*I114))),2)</f>
        <v>0</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0</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Payments'!R89</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0</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0</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7AC9E-96AC-474C-9DCC-C563D3696D69}">
  <dimension ref="A1:Z207"/>
  <sheetViews>
    <sheetView topLeftCell="A36" workbookViewId="0">
      <selection activeCell="A36" sqref="A36:E36"/>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509</v>
      </c>
      <c r="B2" s="101"/>
      <c r="C2" s="101"/>
      <c r="D2" s="101"/>
      <c r="E2" s="6"/>
      <c r="F2" s="6"/>
      <c r="G2" s="6"/>
      <c r="H2" s="6"/>
      <c r="I2" s="706" t="str">
        <f>RIGHT(A2,4)</f>
        <v>3394</v>
      </c>
      <c r="J2" s="6"/>
      <c r="K2" s="6"/>
      <c r="L2" s="6"/>
      <c r="M2" s="6"/>
      <c r="N2" s="6"/>
      <c r="O2" s="6"/>
      <c r="P2" s="6"/>
      <c r="Q2" s="6"/>
      <c r="R2" s="927" t="str">
        <f>Revenue_Estimate_Worksheet_for___________Charter_School</f>
        <v>Revenue Estimate Worksheet: Montessori Academy of Early Enrichment - 3394</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E</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39.619999999999997</v>
      </c>
      <c r="D12" s="738">
        <f>SUMIFS('Surv2-3'!K:K,'Surv2-3'!$H:$H,$I$2,'Surv2-3'!$I:$I,$O12)</f>
        <v>38.08</v>
      </c>
      <c r="E12" s="1021">
        <f t="shared" ref="E12:E27" si="0">IF($D$28=0,C12*2,C12+D12)</f>
        <v>77.699999999999989</v>
      </c>
      <c r="F12" s="1021"/>
      <c r="G12" s="1037">
        <f>Consolidated!$F14</f>
        <v>1.1080000000000001</v>
      </c>
      <c r="H12" s="1037">
        <f>Consolidated!$H$9</f>
        <v>1</v>
      </c>
      <c r="I12" s="539">
        <f>ROUND(E12*G12,4)</f>
        <v>86.0916</v>
      </c>
      <c r="J12" s="540">
        <f t="shared" ref="J12:J27" si="1">ROUND(ROUND(ROUND(I12*$E$6,4)*($I$6),2)*(MAX($I$7,1)),2)</f>
        <v>478955.75</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4</v>
      </c>
      <c r="D13" s="392">
        <f>SUMIFS('Surv2-3'!K:K,'Surv2-3'!$H:$H,$I$2,'Surv2-3'!$I:$I,$O13)</f>
        <v>5</v>
      </c>
      <c r="E13" s="1020">
        <f t="shared" si="0"/>
        <v>9</v>
      </c>
      <c r="F13" s="1020"/>
      <c r="G13" s="1026">
        <f>Consolidated!$F15</f>
        <v>1.1080000000000001</v>
      </c>
      <c r="H13" s="1026">
        <f>Consolidated!$H$9</f>
        <v>1</v>
      </c>
      <c r="I13" s="539">
        <f t="shared" ref="I13:I27" si="3">ROUND(E13*G13,4)</f>
        <v>9.9719999999999995</v>
      </c>
      <c r="J13" s="540">
        <f t="shared" si="1"/>
        <v>55477.5</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14.780000000000001</v>
      </c>
      <c r="D14" s="392">
        <f>SUMIFS('Surv2-3'!L:L,'Surv2-3'!$H:$H,$I$2,'Surv2-3'!$I:$I,$O14)</f>
        <v>14.83</v>
      </c>
      <c r="E14" s="1020">
        <f t="shared" si="0"/>
        <v>29.61</v>
      </c>
      <c r="F14" s="1020"/>
      <c r="G14" s="1026">
        <f>Consolidated!$F16</f>
        <v>1</v>
      </c>
      <c r="H14" s="1026">
        <f>Consolidated!$H$9</f>
        <v>1</v>
      </c>
      <c r="I14" s="539">
        <f t="shared" si="3"/>
        <v>29.61</v>
      </c>
      <c r="J14" s="540">
        <f>ROUND(ROUND(ROUND(I14*$E$6,4)*($I$6),2)*(MAX($I$7,1)),2)</f>
        <v>164730.12</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4</v>
      </c>
      <c r="D15" s="392">
        <f>SUMIFS('Surv2-3'!L:L,'Surv2-3'!$H:$H,$I$2,'Surv2-3'!$I:$I,$O15)</f>
        <v>4.5</v>
      </c>
      <c r="E15" s="1020">
        <f t="shared" si="0"/>
        <v>8.5</v>
      </c>
      <c r="F15" s="1020"/>
      <c r="G15" s="1026">
        <f>Consolidated!$F17</f>
        <v>1</v>
      </c>
      <c r="H15" s="1026">
        <f>Consolidated!$H$9</f>
        <v>1</v>
      </c>
      <c r="I15" s="539">
        <f t="shared" si="3"/>
        <v>8.5</v>
      </c>
      <c r="J15" s="540">
        <f t="shared" si="1"/>
        <v>47288.28</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26.38</v>
      </c>
      <c r="D24" s="392">
        <f>SUMIFS('Surv2-3'!K:K,'Surv2-3'!$H:$H,$I$2,'Surv2-3'!$I:$I,$O24)</f>
        <v>25.9</v>
      </c>
      <c r="E24" s="1020">
        <f t="shared" si="0"/>
        <v>52.28</v>
      </c>
      <c r="F24" s="1020"/>
      <c r="G24" s="1026">
        <f>Consolidated!$F26</f>
        <v>1.165</v>
      </c>
      <c r="H24" s="1026">
        <f>Consolidated!$H$9</f>
        <v>1</v>
      </c>
      <c r="I24" s="539">
        <f t="shared" si="3"/>
        <v>60.906199999999998</v>
      </c>
      <c r="J24" s="540">
        <f t="shared" si="1"/>
        <v>338841.13</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7.7200000000000006</v>
      </c>
      <c r="D25" s="392">
        <f>SUMIFS('Surv2-3'!L:L,'Surv2-3'!$H:$H,$I$2,'Surv2-3'!$I:$I,$O25)</f>
        <v>8.17</v>
      </c>
      <c r="E25" s="1020">
        <f t="shared" si="0"/>
        <v>15.89</v>
      </c>
      <c r="F25" s="1020"/>
      <c r="G25" s="1026">
        <f>Consolidated!$F27</f>
        <v>1.165</v>
      </c>
      <c r="H25" s="1026">
        <f>Consolidated!$H$9</f>
        <v>1</v>
      </c>
      <c r="I25" s="539">
        <f t="shared" si="3"/>
        <v>18.511900000000001</v>
      </c>
      <c r="J25" s="540">
        <f t="shared" si="1"/>
        <v>102987.76</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96.5</v>
      </c>
      <c r="D28" s="822">
        <f>SUM(D12:D27)</f>
        <v>96.48</v>
      </c>
      <c r="E28" s="1025">
        <f>SUM(E12:E27)</f>
        <v>192.97999999999996</v>
      </c>
      <c r="F28" s="1025"/>
      <c r="G28" s="1020"/>
      <c r="H28" s="1020"/>
      <c r="I28" s="23">
        <f>SUM(I12:I27)</f>
        <v>213.59169999999997</v>
      </c>
      <c r="J28" s="116">
        <f>SUM(J12:J27)</f>
        <v>1188280.54</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213.59169999999997</v>
      </c>
      <c r="H33" s="1020" t="s">
        <v>45</v>
      </c>
      <c r="I33" s="1020"/>
      <c r="J33" s="32">
        <f>SUM(J32,J28)</f>
        <v>1188280.54</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1179988.9600000002</v>
      </c>
      <c r="H36" s="37" t="s">
        <v>49</v>
      </c>
      <c r="I36" s="38">
        <v>6.6699999999999995E-2</v>
      </c>
      <c r="J36" s="120">
        <f>ROUND(G36*I36,2)</f>
        <v>78705.259999999995</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1179988.9600000002</v>
      </c>
      <c r="H37" s="37" t="s">
        <v>49</v>
      </c>
      <c r="I37" s="38">
        <v>5.4000000000000003E-3</v>
      </c>
      <c r="J37" s="120">
        <f>ROUND(G37*I37,2)</f>
        <v>6371.94</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85077.2</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4</v>
      </c>
      <c r="D41" s="737">
        <f>SUMIFS('Surv2-3'!K:K,'Surv2-3'!$H:$H,$I$2,'Surv2-3'!$I:$I,$H41-140)</f>
        <v>5</v>
      </c>
      <c r="E41" s="1013">
        <f t="shared" ref="E41:E49" si="8">IF($D$50=0,C41*2,C41+D41)</f>
        <v>9</v>
      </c>
      <c r="F41" s="1013"/>
      <c r="G41" s="37" t="s">
        <v>59</v>
      </c>
      <c r="H41" s="37">
        <v>251</v>
      </c>
      <c r="I41" s="125">
        <f>Consolidated!$H59</f>
        <v>1047</v>
      </c>
      <c r="J41" s="537">
        <f t="shared" ref="J41:J49" si="9">ROUND(E41*I41,2)</f>
        <v>9423</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537">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537">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537">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4</v>
      </c>
      <c r="D45" s="824">
        <f>SUMIFS('Surv2-3'!L:L,'Surv2-3'!$H:$H,$I$2,'Surv2-3'!$I:$I,$H45-140)</f>
        <v>4.5</v>
      </c>
      <c r="E45" s="1013">
        <f t="shared" si="8"/>
        <v>8.5</v>
      </c>
      <c r="F45" s="1013"/>
      <c r="G45" s="47" t="s">
        <v>60</v>
      </c>
      <c r="H45" s="37">
        <v>252</v>
      </c>
      <c r="I45" s="125">
        <f>Consolidated!$H63</f>
        <v>3506</v>
      </c>
      <c r="J45" s="537">
        <f t="shared" si="9"/>
        <v>29801</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537">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537">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537">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537">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8</v>
      </c>
      <c r="D50" s="825">
        <f>SUM(D41:D49)</f>
        <v>9.5</v>
      </c>
      <c r="E50" s="1015">
        <f>SUM(E41:E49)</f>
        <v>17.5</v>
      </c>
      <c r="F50" s="1015"/>
      <c r="G50" s="970" t="s">
        <v>63</v>
      </c>
      <c r="H50" s="970"/>
      <c r="I50" s="970"/>
      <c r="J50" s="220">
        <f>SUM(J41:J49)</f>
        <v>39224</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192.97999999999996</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9.2900000000000003E-4</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213.59169999999997</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9.6599999999999995E-4</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192.97999999999996</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1.08E-3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192.97999999999996</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9.3099999999999997E-4</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192.97999999999996</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1.0820000000000001E-3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9.3099999999999997E-4</v>
      </c>
      <c r="J68" s="127">
        <f>ROUND(G68*I68,2)</f>
        <v>42463.360000000001</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9.2900000000000003E-4</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1.0820000000000001E-3</v>
      </c>
      <c r="J71" s="127">
        <f>ROUND(G71*I71,2)</f>
        <v>20514.62</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1.08E-3</v>
      </c>
      <c r="J72" s="127">
        <f>ROUND(G72*I72,2)</f>
        <v>12213.06</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9.6599999999999995E-4</v>
      </c>
      <c r="J85" s="127">
        <f>ROUND(G85*I85,2)</f>
        <v>259676.52</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9.6599999999999995E-4</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9.2900000000000003E-4</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156.96979999999999</v>
      </c>
      <c r="C90" s="80"/>
      <c r="D90" s="921">
        <f>I6</f>
        <v>1.0355000000000001</v>
      </c>
      <c r="E90" s="921"/>
      <c r="F90" s="921"/>
      <c r="G90" s="113">
        <f>Consolidated!F$118</f>
        <v>958.42</v>
      </c>
      <c r="H90" s="47" t="s">
        <v>68</v>
      </c>
      <c r="I90" s="537">
        <f>ROUND(B90*D90*G90,2)</f>
        <v>155783.72</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56.621899999999997</v>
      </c>
      <c r="C91" s="80"/>
      <c r="D91" s="921">
        <f>I6</f>
        <v>1.0355000000000001</v>
      </c>
      <c r="E91" s="921"/>
      <c r="F91" s="921"/>
      <c r="G91" s="113">
        <f>Consolidated!F$119</f>
        <v>915.09</v>
      </c>
      <c r="H91" s="47" t="s">
        <v>68</v>
      </c>
      <c r="I91" s="537">
        <f>ROUND(B91*D91*G91,2)</f>
        <v>53653.54</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213.5917</v>
      </c>
      <c r="C93" s="80"/>
      <c r="D93" s="80"/>
      <c r="E93" s="999" t="s">
        <v>112</v>
      </c>
      <c r="F93" s="999"/>
      <c r="G93" s="999"/>
      <c r="H93" s="999"/>
      <c r="I93" s="999"/>
      <c r="J93" s="116">
        <f>IF(A1=75,0,I92+I91+I90)</f>
        <v>209437.26</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8</v>
      </c>
      <c r="D97" s="223">
        <v>8</v>
      </c>
      <c r="E97" s="1044">
        <f>IF(D97&gt;0,(C97+D97)/2,C97)</f>
        <v>8</v>
      </c>
      <c r="F97" s="922"/>
      <c r="G97" s="922"/>
      <c r="H97" s="85" t="s">
        <v>117</v>
      </c>
      <c r="I97" s="119">
        <f>Consolidated!G$127</f>
        <v>578</v>
      </c>
      <c r="J97" s="127">
        <f>ROUND(I97*E97,2)</f>
        <v>4624</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1776433.36</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1691356.1600000001</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232"/>
      <c r="I114" s="233">
        <f>IF(I111=1,J111,J109)</f>
        <v>1691356.1600000001</v>
      </c>
      <c r="J114" s="234">
        <f>ROUND(IF(E28=0,0,IF(E28&gt;250,-(((250/E28)*I114)*IF(H114="H",0.02,0.05)),IF(H114="H",-0.02*I114,-0.05*I114))),2)</f>
        <v>-84567.81</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1691865.55</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Payments'!R90</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1691865.55</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140988.79999999999</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B45D7-63B0-406D-95BB-AFD47F5F9045}">
  <dimension ref="A1:Z207"/>
  <sheetViews>
    <sheetView topLeftCell="A40" workbookViewId="0">
      <selection activeCell="C40" sqref="C40"/>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510</v>
      </c>
      <c r="B2" s="101"/>
      <c r="C2" s="101"/>
      <c r="D2" s="101"/>
      <c r="E2" s="6"/>
      <c r="F2" s="6"/>
      <c r="G2" s="6"/>
      <c r="H2" s="6"/>
      <c r="I2" s="706" t="str">
        <f>RIGHT(A2,4)</f>
        <v>3395</v>
      </c>
      <c r="J2" s="6"/>
      <c r="K2" s="6"/>
      <c r="L2" s="6"/>
      <c r="M2" s="6"/>
      <c r="N2" s="6"/>
      <c r="O2" s="6"/>
      <c r="P2" s="6"/>
      <c r="Q2" s="6"/>
      <c r="R2" s="927" t="str">
        <f>Revenue_Estimate_Worksheet_for___________Charter_School</f>
        <v>Revenue Estimate Worksheet: Somerset Academy JFK Charter School - 3395</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M</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63.97</v>
      </c>
      <c r="D12" s="738">
        <f>SUMIFS('Surv2-3'!K:K,'Surv2-3'!$H:$H,$I$2,'Surv2-3'!$I:$I,$O12)</f>
        <v>62.459999999999994</v>
      </c>
      <c r="E12" s="1021">
        <f t="shared" ref="E12:E27" si="0">IF($D$28=0,C12*2,C12+D12)</f>
        <v>126.42999999999999</v>
      </c>
      <c r="F12" s="1021"/>
      <c r="G12" s="1037">
        <f>Consolidated!$F14</f>
        <v>1.1080000000000001</v>
      </c>
      <c r="H12" s="1037">
        <f>Consolidated!$H$9</f>
        <v>1</v>
      </c>
      <c r="I12" s="539">
        <f>ROUND(E12*G12,4)</f>
        <v>140.08439999999999</v>
      </c>
      <c r="J12" s="540">
        <f t="shared" ref="J12:J27" si="1">ROUND(ROUND(ROUND(I12*$E$6,4)*($I$6),2)*(MAX($I$7,1)),2)</f>
        <v>779335.37</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10.5</v>
      </c>
      <c r="D13" s="392">
        <f>SUMIFS('Surv2-3'!K:K,'Surv2-3'!$H:$H,$I$2,'Surv2-3'!$I:$I,$O13)</f>
        <v>12</v>
      </c>
      <c r="E13" s="1020">
        <f t="shared" si="0"/>
        <v>22.5</v>
      </c>
      <c r="F13" s="1020"/>
      <c r="G13" s="1026">
        <f>Consolidated!$F15</f>
        <v>1.1080000000000001</v>
      </c>
      <c r="H13" s="1026">
        <f>Consolidated!$H$9</f>
        <v>1</v>
      </c>
      <c r="I13" s="539">
        <f t="shared" ref="I13:I27" si="3">ROUND(E13*G13,4)</f>
        <v>24.93</v>
      </c>
      <c r="J13" s="540">
        <f t="shared" si="1"/>
        <v>138693.75</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114.82</v>
      </c>
      <c r="D14" s="392">
        <f>SUMIFS('Surv2-3'!L:L,'Surv2-3'!$H:$H,$I$2,'Surv2-3'!$I:$I,$O14)</f>
        <v>111.23</v>
      </c>
      <c r="E14" s="1020">
        <f t="shared" si="0"/>
        <v>226.05</v>
      </c>
      <c r="F14" s="1020"/>
      <c r="G14" s="1026">
        <f>Consolidated!$F16</f>
        <v>1</v>
      </c>
      <c r="H14" s="1026">
        <f>Consolidated!$H$9</f>
        <v>1</v>
      </c>
      <c r="I14" s="539">
        <f t="shared" si="3"/>
        <v>226.05</v>
      </c>
      <c r="J14" s="540">
        <f>ROUND(ROUND(ROUND(I14*$E$6,4)*($I$6),2)*(MAX($I$7,1)),2)</f>
        <v>1257590.1399999999</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17.5</v>
      </c>
      <c r="D15" s="392">
        <f>SUMIFS('Surv2-3'!L:L,'Surv2-3'!$H:$H,$I$2,'Surv2-3'!$I:$I,$O15)</f>
        <v>18.5</v>
      </c>
      <c r="E15" s="1020">
        <f t="shared" si="0"/>
        <v>36</v>
      </c>
      <c r="F15" s="1020"/>
      <c r="G15" s="1026">
        <f>Consolidated!$F17</f>
        <v>1</v>
      </c>
      <c r="H15" s="1026">
        <f>Consolidated!$H$9</f>
        <v>1</v>
      </c>
      <c r="I15" s="539">
        <f t="shared" si="3"/>
        <v>36</v>
      </c>
      <c r="J15" s="540">
        <f t="shared" si="1"/>
        <v>200279.78</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52.53</v>
      </c>
      <c r="D24" s="392">
        <f>SUMIFS('Surv2-3'!K:K,'Surv2-3'!$H:$H,$I$2,'Surv2-3'!$I:$I,$O24)</f>
        <v>52.53</v>
      </c>
      <c r="E24" s="1020">
        <f t="shared" si="0"/>
        <v>105.06</v>
      </c>
      <c r="F24" s="1020"/>
      <c r="G24" s="1026">
        <f>Consolidated!$F26</f>
        <v>1.165</v>
      </c>
      <c r="H24" s="1026">
        <f>Consolidated!$H$9</f>
        <v>1</v>
      </c>
      <c r="I24" s="539">
        <f t="shared" si="3"/>
        <v>122.39490000000001</v>
      </c>
      <c r="J24" s="540">
        <f t="shared" si="1"/>
        <v>680922.89</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11.18</v>
      </c>
      <c r="D25" s="392">
        <f>SUMIFS('Surv2-3'!L:L,'Surv2-3'!$H:$H,$I$2,'Surv2-3'!$I:$I,$O25)</f>
        <v>10.009999999999998</v>
      </c>
      <c r="E25" s="1020">
        <f t="shared" si="0"/>
        <v>21.189999999999998</v>
      </c>
      <c r="F25" s="1020"/>
      <c r="G25" s="1026">
        <f>Consolidated!$F27</f>
        <v>1.165</v>
      </c>
      <c r="H25" s="1026">
        <f>Consolidated!$H$9</f>
        <v>1</v>
      </c>
      <c r="I25" s="539">
        <f t="shared" si="3"/>
        <v>24.686399999999999</v>
      </c>
      <c r="J25" s="540">
        <f t="shared" si="1"/>
        <v>137338.51999999999</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270.5</v>
      </c>
      <c r="D28" s="822">
        <f>SUM(D12:D27)</f>
        <v>266.73</v>
      </c>
      <c r="E28" s="1025">
        <f>SUM(E12:E27)</f>
        <v>537.23</v>
      </c>
      <c r="F28" s="1025"/>
      <c r="G28" s="1020"/>
      <c r="H28" s="1020"/>
      <c r="I28" s="23">
        <f>SUM(I12:I27)</f>
        <v>574.14570000000003</v>
      </c>
      <c r="J28" s="116">
        <f>SUM(J12:J27)</f>
        <v>3194160.4499999997</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574.14570000000003</v>
      </c>
      <c r="H33" s="1020" t="s">
        <v>45</v>
      </c>
      <c r="I33" s="1020"/>
      <c r="J33" s="32">
        <f>SUM(J32,J28)</f>
        <v>3194160.4499999997</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3066507.69</v>
      </c>
      <c r="H36" s="37" t="s">
        <v>49</v>
      </c>
      <c r="I36" s="38">
        <v>6.6699999999999995E-2</v>
      </c>
      <c r="J36" s="120">
        <f>ROUND(G36*I36,2)</f>
        <v>204536.06</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3066507.69</v>
      </c>
      <c r="H37" s="37" t="s">
        <v>49</v>
      </c>
      <c r="I37" s="38">
        <v>5.4000000000000003E-3</v>
      </c>
      <c r="J37" s="120">
        <f>ROUND(G37*I37,2)</f>
        <v>16559.14</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221095.2</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10.5</v>
      </c>
      <c r="D41" s="737">
        <f>SUMIFS('Surv2-3'!K:K,'Surv2-3'!$H:$H,$I$2,'Surv2-3'!$I:$I,$H41-140)</f>
        <v>12</v>
      </c>
      <c r="E41" s="1013">
        <f t="shared" ref="E41:E49" si="8">IF($D$50=0,C41*2,C41+D41)</f>
        <v>22.5</v>
      </c>
      <c r="F41" s="1013"/>
      <c r="G41" s="37" t="s">
        <v>59</v>
      </c>
      <c r="H41" s="37">
        <v>251</v>
      </c>
      <c r="I41" s="125">
        <f>Consolidated!$H59</f>
        <v>1047</v>
      </c>
      <c r="J41" s="537">
        <f t="shared" ref="J41:J49" si="9">ROUND(E41*I41,2)</f>
        <v>23557.5</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537">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537">
        <f t="shared" si="9"/>
        <v>0</v>
      </c>
      <c r="M43" s="2"/>
      <c r="R43" s="958"/>
      <c r="S43" s="958"/>
      <c r="T43" s="960"/>
      <c r="U43" s="960"/>
      <c r="V43" s="162" t="s">
        <v>59</v>
      </c>
      <c r="W43" s="162">
        <v>253</v>
      </c>
      <c r="X43" s="123">
        <f>Consolidated!$H61</f>
        <v>6896</v>
      </c>
      <c r="Y43" s="213">
        <f t="shared" si="10"/>
        <v>0</v>
      </c>
    </row>
    <row r="44" spans="1:25" ht="20.25" customHeight="1"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537">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17.5</v>
      </c>
      <c r="D45" s="824">
        <f>SUMIFS('Surv2-3'!L:L,'Surv2-3'!$H:$H,$I$2,'Surv2-3'!$I:$I,$H45-140)</f>
        <v>18.5</v>
      </c>
      <c r="E45" s="1013">
        <f t="shared" si="8"/>
        <v>36</v>
      </c>
      <c r="F45" s="1013"/>
      <c r="G45" s="47" t="s">
        <v>60</v>
      </c>
      <c r="H45" s="37">
        <v>252</v>
      </c>
      <c r="I45" s="125">
        <f>Consolidated!$H63</f>
        <v>3506</v>
      </c>
      <c r="J45" s="537">
        <f t="shared" si="9"/>
        <v>126216</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537">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537">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537">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537">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28</v>
      </c>
      <c r="D50" s="825">
        <f>SUM(D41:D49)</f>
        <v>30.5</v>
      </c>
      <c r="E50" s="1015">
        <f>SUM(E41:E49)</f>
        <v>58.5</v>
      </c>
      <c r="F50" s="1015"/>
      <c r="G50" s="970" t="s">
        <v>63</v>
      </c>
      <c r="H50" s="970"/>
      <c r="I50" s="970"/>
      <c r="J50" s="220">
        <f>SUM(J41:J49)</f>
        <v>149773.5</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537.23</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2.5860000000000002E-3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574.14570000000003</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2.5959999999999998E-3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537.23</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3.0070000000000001E-3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537.23</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2.591E-3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537.23</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3.0130000000000001E-3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2.591E-3</v>
      </c>
      <c r="J68" s="127">
        <f>ROUND(G68*I68,2)</f>
        <v>118176.76</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2.5860000000000002E-3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3.0130000000000001E-3</v>
      </c>
      <c r="J71" s="127">
        <f>ROUND(G71*I71,2)</f>
        <v>57126.2</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3.0070000000000001E-3</v>
      </c>
      <c r="J72" s="127">
        <f>ROUND(G72*I72,2)</f>
        <v>34004.33</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2.5959999999999998E-3</v>
      </c>
      <c r="J85" s="127">
        <f>ROUND(G85*I85,2)</f>
        <v>697847.06</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2.5959999999999998E-3</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2.5860000000000002E-3</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287.40930000000003</v>
      </c>
      <c r="C90" s="80"/>
      <c r="D90" s="921">
        <f>I6</f>
        <v>1.0355000000000001</v>
      </c>
      <c r="E90" s="921"/>
      <c r="F90" s="921"/>
      <c r="G90" s="113">
        <f>Consolidated!F$118</f>
        <v>958.42</v>
      </c>
      <c r="H90" s="47" t="s">
        <v>68</v>
      </c>
      <c r="I90" s="537">
        <f>ROUND(B90*D90*G90,2)</f>
        <v>285237.61</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286.7364</v>
      </c>
      <c r="C91" s="80"/>
      <c r="D91" s="921">
        <f>I6</f>
        <v>1.0355000000000001</v>
      </c>
      <c r="E91" s="921"/>
      <c r="F91" s="921"/>
      <c r="G91" s="113">
        <f>Consolidated!F$119</f>
        <v>915.09</v>
      </c>
      <c r="H91" s="47" t="s">
        <v>68</v>
      </c>
      <c r="I91" s="537">
        <f>ROUND(B91*D91*G91,2)</f>
        <v>271704.44</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574.14570000000003</v>
      </c>
      <c r="C93" s="80"/>
      <c r="D93" s="80"/>
      <c r="E93" s="999" t="s">
        <v>112</v>
      </c>
      <c r="F93" s="999"/>
      <c r="G93" s="999"/>
      <c r="H93" s="999"/>
      <c r="I93" s="999"/>
      <c r="J93" s="116">
        <f>IF(A1=75,0,I92+I91+I90)</f>
        <v>556942.05000000005</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22</v>
      </c>
      <c r="D97" s="223">
        <v>25</v>
      </c>
      <c r="E97" s="1044">
        <f>IF(D97&gt;0,(C97+D97)/2,C97)</f>
        <v>23.5</v>
      </c>
      <c r="F97" s="922"/>
      <c r="G97" s="922"/>
      <c r="H97" s="85" t="s">
        <v>117</v>
      </c>
      <c r="I97" s="119">
        <f>Consolidated!G$127</f>
        <v>578</v>
      </c>
      <c r="J97" s="127">
        <f>ROUND(I97*E97,2)</f>
        <v>13583</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4821613.3499999996</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4600518.1499999994</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H113" s="232"/>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I114" s="233">
        <f>IF(I111=1,J111,J109)</f>
        <v>4600518.1499999994</v>
      </c>
      <c r="J114" s="234">
        <f>ROUND(IF(E28=0,0,IF(E28&gt;250,-(((250/E28)*I114)*IF(H113="H",0.02,0.05)),IF(H113="H",-0.02*I114,-0.05*I114))),2)</f>
        <v>-107042.56</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4714570.79</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Payments'!R91</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4714570.79</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392880.9</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ROUND(IF(H113="H",(I114*0.02)+J114,(I114*0.05)+J114),2)</f>
        <v>122983.35</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69E22-647E-4303-BB2B-0912D6B33EC4}">
  <dimension ref="A1:Z207"/>
  <sheetViews>
    <sheetView topLeftCell="A36" workbookViewId="0">
      <selection activeCell="A36" sqref="A36:E36"/>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511</v>
      </c>
      <c r="B2" s="101"/>
      <c r="C2" s="101"/>
      <c r="D2" s="101"/>
      <c r="E2" s="6"/>
      <c r="F2" s="6"/>
      <c r="G2" s="6"/>
      <c r="H2" s="6"/>
      <c r="I2" s="706" t="str">
        <f>RIGHT(A2,4)</f>
        <v>3396</v>
      </c>
      <c r="J2" s="6"/>
      <c r="K2" s="6"/>
      <c r="L2" s="6"/>
      <c r="M2" s="6"/>
      <c r="N2" s="6"/>
      <c r="O2" s="6"/>
      <c r="P2" s="6"/>
      <c r="Q2" s="6"/>
      <c r="R2" s="927" t="str">
        <f>Revenue_Estimate_Worksheet_for___________Charter_School</f>
        <v>Revenue Estimate Worksheet: G-Star School of the Arts for Motion Pictures &amp; Television - 3396</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H</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105.63999999999999</v>
      </c>
      <c r="D14" s="392">
        <f>SUMIFS('Surv2-3'!L:L,'Surv2-3'!$H:$H,$I$2,'Surv2-3'!$I:$I,$O14)</f>
        <v>95.830000000000013</v>
      </c>
      <c r="E14" s="1020">
        <f t="shared" si="0"/>
        <v>201.47</v>
      </c>
      <c r="F14" s="1020"/>
      <c r="G14" s="1026">
        <f>Consolidated!$F16</f>
        <v>1</v>
      </c>
      <c r="H14" s="1026">
        <f>Consolidated!$H$9</f>
        <v>1</v>
      </c>
      <c r="I14" s="539">
        <f t="shared" si="3"/>
        <v>201.47</v>
      </c>
      <c r="J14" s="540">
        <f>ROUND(ROUND(ROUND(I14*$E$6,4)*($I$6),2)*(MAX($I$7,1)),2)</f>
        <v>1120843.55</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11</v>
      </c>
      <c r="D15" s="392">
        <f>SUMIFS('Surv2-3'!L:L,'Surv2-3'!$H:$H,$I$2,'Surv2-3'!$I:$I,$O15)</f>
        <v>10.48</v>
      </c>
      <c r="E15" s="1020">
        <f t="shared" si="0"/>
        <v>21.48</v>
      </c>
      <c r="F15" s="1020"/>
      <c r="G15" s="1026">
        <f>Consolidated!$F17</f>
        <v>1</v>
      </c>
      <c r="H15" s="1026">
        <f>Consolidated!$H$9</f>
        <v>1</v>
      </c>
      <c r="I15" s="539">
        <f t="shared" si="3"/>
        <v>21.48</v>
      </c>
      <c r="J15" s="540">
        <f t="shared" si="1"/>
        <v>119500.27</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169.48000000000002</v>
      </c>
      <c r="D16" s="392">
        <f>SUMIFS('Surv2-3'!M:M,'Surv2-3'!$H:$H,$I$2,'Surv2-3'!$I:$I,$O16)</f>
        <v>168.27</v>
      </c>
      <c r="E16" s="1020">
        <f t="shared" si="0"/>
        <v>337.75</v>
      </c>
      <c r="F16" s="1020"/>
      <c r="G16" s="1026">
        <f>Consolidated!$F18</f>
        <v>0.97199999999999998</v>
      </c>
      <c r="H16" s="1026">
        <f>Consolidated!$H$9</f>
        <v>1</v>
      </c>
      <c r="I16" s="539">
        <f t="shared" si="3"/>
        <v>328.29300000000001</v>
      </c>
      <c r="J16" s="540">
        <f t="shared" si="1"/>
        <v>1826401.41</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35</v>
      </c>
      <c r="D17" s="392">
        <f>SUMIFS('Surv2-3'!M:M,'Surv2-3'!$H:$H,$I$2,'Surv2-3'!$I:$I,$O17)</f>
        <v>33.880000000000003</v>
      </c>
      <c r="E17" s="1020">
        <f t="shared" si="0"/>
        <v>68.88</v>
      </c>
      <c r="F17" s="1020"/>
      <c r="G17" s="1026">
        <f>Consolidated!$F19</f>
        <v>0.97199999999999998</v>
      </c>
      <c r="H17" s="1026">
        <f>Consolidated!$H$9</f>
        <v>1</v>
      </c>
      <c r="I17" s="539">
        <f t="shared" si="3"/>
        <v>66.951400000000007</v>
      </c>
      <c r="J17" s="540">
        <f t="shared" si="1"/>
        <v>372472.55</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6.21</v>
      </c>
      <c r="D25" s="392">
        <f>SUMIFS('Surv2-3'!L:L,'Surv2-3'!$H:$H,$I$2,'Surv2-3'!$I:$I,$O25)</f>
        <v>4.5599999999999996</v>
      </c>
      <c r="E25" s="1020">
        <f t="shared" si="0"/>
        <v>10.77</v>
      </c>
      <c r="F25" s="1020"/>
      <c r="G25" s="1026">
        <f>Consolidated!$F27</f>
        <v>1.165</v>
      </c>
      <c r="H25" s="1026">
        <f>Consolidated!$H$9</f>
        <v>1</v>
      </c>
      <c r="I25" s="539">
        <f t="shared" si="3"/>
        <v>12.5471</v>
      </c>
      <c r="J25" s="540">
        <f t="shared" si="1"/>
        <v>69803.62</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9.5</v>
      </c>
      <c r="D26" s="392">
        <f>SUMIFS('Surv2-3'!M:M,'Surv2-3'!$H:$H,$I$2,'Surv2-3'!$I:$I,$O26)</f>
        <v>7.97</v>
      </c>
      <c r="E26" s="1020">
        <f t="shared" si="0"/>
        <v>17.47</v>
      </c>
      <c r="F26" s="1020"/>
      <c r="G26" s="1026">
        <f>Consolidated!$F28</f>
        <v>1.165</v>
      </c>
      <c r="H26" s="1026">
        <f>Consolidated!$H$9</f>
        <v>1</v>
      </c>
      <c r="I26" s="539">
        <f t="shared" si="3"/>
        <v>20.352599999999999</v>
      </c>
      <c r="J26" s="540">
        <f t="shared" si="1"/>
        <v>113228.18</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21.86</v>
      </c>
      <c r="D27" s="393">
        <f>SUMIFS('Surv2-3'!J:J,'Surv2-3'!$H:$H,$I$2,'Surv2-3'!$I:$I,$O27)</f>
        <v>22.26</v>
      </c>
      <c r="E27" s="1022">
        <f t="shared" si="0"/>
        <v>44.120000000000005</v>
      </c>
      <c r="F27" s="1022"/>
      <c r="G27" s="1023">
        <f>Consolidated!$F29</f>
        <v>1.081</v>
      </c>
      <c r="H27" s="1023">
        <f>Consolidated!$H$9</f>
        <v>1</v>
      </c>
      <c r="I27" s="22">
        <f t="shared" si="3"/>
        <v>47.6937</v>
      </c>
      <c r="J27" s="116">
        <f t="shared" si="1"/>
        <v>265335.65999999997</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358.69</v>
      </c>
      <c r="D28" s="822">
        <f>SUM(D12:D27)</f>
        <v>343.25000000000006</v>
      </c>
      <c r="E28" s="1025">
        <f>SUM(E12:E27)</f>
        <v>701.94</v>
      </c>
      <c r="F28" s="1025"/>
      <c r="G28" s="1020"/>
      <c r="H28" s="1020"/>
      <c r="I28" s="23">
        <f>SUM(I12:I27)</f>
        <v>698.78780000000006</v>
      </c>
      <c r="J28" s="116">
        <f>SUM(J12:J27)</f>
        <v>3887585.24</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698.78780000000006</v>
      </c>
      <c r="H33" s="1020" t="s">
        <v>45</v>
      </c>
      <c r="I33" s="1020"/>
      <c r="J33" s="32">
        <f>SUM(J32,J28)</f>
        <v>3887585.24</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3901661.02</v>
      </c>
      <c r="H36" s="37" t="s">
        <v>49</v>
      </c>
      <c r="I36" s="38">
        <v>6.6699999999999995E-2</v>
      </c>
      <c r="J36" s="120">
        <f>ROUND(G36*I36,2)</f>
        <v>260240.79</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3901661.02</v>
      </c>
      <c r="H37" s="37" t="s">
        <v>49</v>
      </c>
      <c r="I37" s="38">
        <v>5.4000000000000003E-3</v>
      </c>
      <c r="J37" s="120">
        <f>ROUND(G37*I37,2)</f>
        <v>21068.97</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281309.76</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37" t="s">
        <v>59</v>
      </c>
      <c r="H41" s="37">
        <v>251</v>
      </c>
      <c r="I41" s="125">
        <f>Consolidated!$H59</f>
        <v>1047</v>
      </c>
      <c r="J41" s="537">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537">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537">
        <f t="shared" si="9"/>
        <v>0</v>
      </c>
      <c r="M43" s="2"/>
      <c r="R43" s="958"/>
      <c r="S43" s="958"/>
      <c r="T43" s="960"/>
      <c r="U43" s="960"/>
      <c r="V43" s="162" t="s">
        <v>59</v>
      </c>
      <c r="W43" s="162">
        <v>253</v>
      </c>
      <c r="X43" s="123">
        <f>Consolidated!$H61</f>
        <v>6896</v>
      </c>
      <c r="Y43" s="213">
        <f t="shared" si="10"/>
        <v>0</v>
      </c>
    </row>
    <row r="44" spans="1:25" ht="20.25" customHeight="1"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537">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11</v>
      </c>
      <c r="D45" s="824">
        <f>SUMIFS('Surv2-3'!L:L,'Surv2-3'!$H:$H,$I$2,'Surv2-3'!$I:$I,$H45-140)</f>
        <v>10.48</v>
      </c>
      <c r="E45" s="1013">
        <f t="shared" si="8"/>
        <v>21.48</v>
      </c>
      <c r="F45" s="1013"/>
      <c r="G45" s="47" t="s">
        <v>60</v>
      </c>
      <c r="H45" s="37">
        <v>252</v>
      </c>
      <c r="I45" s="125">
        <f>Consolidated!$H63</f>
        <v>3506</v>
      </c>
      <c r="J45" s="537">
        <f t="shared" si="9"/>
        <v>75308.88</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537">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537">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537">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35</v>
      </c>
      <c r="D49" s="824">
        <f>SUMIFS('Surv2-3'!M:M,'Surv2-3'!$H:$H,$I$2,'Surv2-3'!$I:$I,$H49-140)</f>
        <v>33.880000000000003</v>
      </c>
      <c r="E49" s="1014">
        <f t="shared" si="8"/>
        <v>68.88</v>
      </c>
      <c r="F49" s="1014"/>
      <c r="G49" s="47" t="s">
        <v>61</v>
      </c>
      <c r="H49" s="37">
        <v>253</v>
      </c>
      <c r="I49" s="125">
        <f>Consolidated!$H67</f>
        <v>6685</v>
      </c>
      <c r="J49" s="537">
        <f t="shared" si="9"/>
        <v>460462.8</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46</v>
      </c>
      <c r="D50" s="825">
        <f>SUM(D41:D49)</f>
        <v>44.36</v>
      </c>
      <c r="E50" s="1015">
        <f>SUM(E41:E49)</f>
        <v>90.36</v>
      </c>
      <c r="F50" s="1015"/>
      <c r="G50" s="970" t="s">
        <v>63</v>
      </c>
      <c r="H50" s="970"/>
      <c r="I50" s="970"/>
      <c r="J50" s="220">
        <f>SUM(J41:J49)</f>
        <v>535771.67999999993</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701.94</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3.3790000000000001E-3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698.78780000000006</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3.16E-3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701.94</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3.9290000000000002E-3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701.94</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3.385E-3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701.94</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3.9360000000000003E-3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3.385E-3</v>
      </c>
      <c r="J68" s="127">
        <f>ROUND(G68*I68,2)</f>
        <v>154391.49</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3.3790000000000001E-3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3.9360000000000003E-3</v>
      </c>
      <c r="J71" s="127">
        <f>ROUND(G71*I71,2)</f>
        <v>74626.19</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3.9290000000000002E-3</v>
      </c>
      <c r="J72" s="127">
        <f>ROUND(G72*I72,2)</f>
        <v>44430.67</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v>24.88</v>
      </c>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v>36.020000000000003</v>
      </c>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v>3.6</v>
      </c>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v>0.5</v>
      </c>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65</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20" t="s">
        <v>101</v>
      </c>
      <c r="B84" s="920"/>
      <c r="C84" s="920"/>
      <c r="D84" s="52"/>
      <c r="G84" s="112">
        <f>Consolidated!F$106</f>
        <v>58502790</v>
      </c>
      <c r="H84" s="37" t="s">
        <v>81</v>
      </c>
      <c r="I84" s="41">
        <f>IFERROR(ROUND(J81/J82,6),0)</f>
        <v>5.0379999999999999E-3</v>
      </c>
      <c r="J84" s="674">
        <f>ROUND(G84*I84,2)</f>
        <v>294737.06</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3.16E-3</v>
      </c>
      <c r="J85" s="127">
        <f>ROUND(G85*I85,2)</f>
        <v>849459.44</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3.16E-3</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3.3790000000000001E-3</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537">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235.49709999999999</v>
      </c>
      <c r="C91" s="80"/>
      <c r="D91" s="921">
        <f>I6</f>
        <v>1.0355000000000001</v>
      </c>
      <c r="E91" s="921"/>
      <c r="F91" s="921"/>
      <c r="G91" s="113">
        <f>Consolidated!F$119</f>
        <v>915.09</v>
      </c>
      <c r="H91" s="47" t="s">
        <v>68</v>
      </c>
      <c r="I91" s="537">
        <f>ROUND(B91*D91*G91,2)</f>
        <v>223151.33</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463.29070000000002</v>
      </c>
      <c r="C92" s="80"/>
      <c r="D92" s="921">
        <f>I6</f>
        <v>1.0355000000000001</v>
      </c>
      <c r="E92" s="921"/>
      <c r="F92" s="921"/>
      <c r="G92" s="113">
        <f>Consolidated!F$120</f>
        <v>917.3</v>
      </c>
      <c r="H92" s="47" t="s">
        <v>68</v>
      </c>
      <c r="I92" s="537">
        <f>ROUND(B92*D92*G92,2)</f>
        <v>440063.23</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698.78780000000006</v>
      </c>
      <c r="C93" s="80"/>
      <c r="D93" s="80"/>
      <c r="E93" s="999" t="s">
        <v>112</v>
      </c>
      <c r="F93" s="999"/>
      <c r="G93" s="999"/>
      <c r="H93" s="999"/>
      <c r="I93" s="999"/>
      <c r="J93" s="116">
        <f>IF(A1=75,0,I92+I91+I90)</f>
        <v>663214.55999999994</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273</v>
      </c>
      <c r="D97" s="223">
        <v>263</v>
      </c>
      <c r="E97" s="1044">
        <f>IF(D97&gt;0,(C97+D97)/2,C97)</f>
        <v>268</v>
      </c>
      <c r="F97" s="922"/>
      <c r="G97" s="922"/>
      <c r="H97" s="85" t="s">
        <v>117</v>
      </c>
      <c r="I97" s="119">
        <f>Consolidated!G$127</f>
        <v>578</v>
      </c>
      <c r="J97" s="127">
        <f>ROUND(I97*E97,2)</f>
        <v>154904</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6659120.3299999991</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6377810.5699999994</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675" t="s">
        <v>180</v>
      </c>
      <c r="B114" s="661"/>
      <c r="C114" s="661"/>
      <c r="D114" s="661"/>
      <c r="E114" s="661"/>
      <c r="F114" s="661"/>
      <c r="G114" s="661"/>
      <c r="H114" s="658" t="s">
        <v>495</v>
      </c>
      <c r="I114" s="659">
        <f>IF(I111=1,J111,J109)</f>
        <v>6377810.5699999994</v>
      </c>
      <c r="J114" s="660">
        <f>ROUND(IF(E28=0,0,IF(E28&gt;250,-(((250/E28)*I114)*IF(H114="H",0.02,0.05)),IF(H114="H",-0.02*I114,-0.05*I114))),2)</f>
        <v>-45429.88</v>
      </c>
      <c r="M114" s="2"/>
      <c r="N114" s="3"/>
      <c r="R114" s="2"/>
      <c r="T114" s="4"/>
      <c r="W114" s="2"/>
      <c r="X114" s="5"/>
    </row>
    <row r="115" spans="1:26" ht="16.5" customHeight="1" x14ac:dyDescent="0.25">
      <c r="A115" s="661"/>
      <c r="B115" s="661"/>
      <c r="C115" s="661"/>
      <c r="D115" s="661"/>
      <c r="E115" s="661"/>
      <c r="F115" s="661"/>
      <c r="G115" s="661"/>
      <c r="H115" s="661"/>
      <c r="I115" s="662"/>
      <c r="J115" s="663"/>
      <c r="K115" s="72"/>
      <c r="M115" s="2"/>
      <c r="N115" s="3"/>
      <c r="R115" s="2"/>
      <c r="S115" s="229"/>
      <c r="T115" s="229"/>
      <c r="U115" s="229"/>
      <c r="V115" s="229"/>
      <c r="W115" s="229"/>
      <c r="X115" s="229"/>
      <c r="Y115" s="229"/>
      <c r="Z115" s="229"/>
    </row>
    <row r="116" spans="1:26" ht="16.5" customHeight="1" x14ac:dyDescent="0.25">
      <c r="A116" s="676" t="s">
        <v>181</v>
      </c>
      <c r="B116" s="664"/>
      <c r="C116" s="664"/>
      <c r="D116" s="664"/>
      <c r="E116" s="664"/>
      <c r="F116" s="664"/>
      <c r="G116" s="664"/>
      <c r="H116" s="664"/>
      <c r="I116" s="665"/>
      <c r="J116" s="666">
        <f>J107+J114</f>
        <v>6613690.4499999993</v>
      </c>
      <c r="K116" s="72"/>
      <c r="M116" s="2"/>
      <c r="N116" s="3"/>
      <c r="R116" s="2"/>
      <c r="S116" s="229"/>
      <c r="T116" s="229"/>
      <c r="U116" s="229"/>
      <c r="V116" s="229"/>
      <c r="W116" s="229"/>
      <c r="X116" s="229"/>
      <c r="Y116" s="229"/>
      <c r="Z116" s="229"/>
    </row>
    <row r="117" spans="1:26" ht="16.5" customHeight="1" x14ac:dyDescent="0.25">
      <c r="A117" s="661"/>
      <c r="B117" s="661"/>
      <c r="C117" s="661"/>
      <c r="D117" s="661"/>
      <c r="E117" s="661"/>
      <c r="F117" s="661"/>
      <c r="G117" s="661"/>
      <c r="H117" s="661"/>
      <c r="I117" s="662"/>
      <c r="J117" s="663"/>
      <c r="K117" s="72"/>
      <c r="M117" s="2"/>
      <c r="N117" s="3"/>
      <c r="R117" s="2"/>
      <c r="S117" s="229"/>
      <c r="T117" s="229"/>
      <c r="U117" s="229"/>
      <c r="V117" s="229"/>
      <c r="W117" s="229"/>
      <c r="X117" s="229"/>
      <c r="Y117" s="229"/>
      <c r="Z117" s="229"/>
    </row>
    <row r="118" spans="1:26" ht="16.5" customHeight="1" x14ac:dyDescent="0.25">
      <c r="A118" s="675" t="s">
        <v>182</v>
      </c>
      <c r="B118" s="661"/>
      <c r="C118" s="677"/>
      <c r="D118" s="661"/>
      <c r="E118" s="675"/>
      <c r="F118" s="675"/>
      <c r="G118" s="661"/>
      <c r="H118" s="661"/>
      <c r="I118" s="662"/>
      <c r="J118" s="667">
        <f>-'Cumulative Payments'!R92</f>
        <v>0</v>
      </c>
      <c r="K118" s="72"/>
      <c r="M118" s="2"/>
      <c r="N118" s="3"/>
      <c r="R118" s="2"/>
      <c r="S118" s="229"/>
      <c r="T118" s="229"/>
      <c r="U118" s="229"/>
      <c r="V118" s="229"/>
      <c r="W118" s="229"/>
      <c r="X118" s="229"/>
      <c r="Y118" s="229"/>
      <c r="Z118" s="229"/>
    </row>
    <row r="119" spans="1:26" ht="16.5" customHeight="1" x14ac:dyDescent="0.25">
      <c r="A119" s="661"/>
      <c r="B119" s="661"/>
      <c r="C119" s="661"/>
      <c r="D119" s="661"/>
      <c r="E119" s="661"/>
      <c r="F119" s="661"/>
      <c r="G119" s="661"/>
      <c r="H119" s="661"/>
      <c r="I119" s="662"/>
      <c r="J119" s="663"/>
      <c r="K119" s="72"/>
      <c r="M119" s="2"/>
      <c r="N119" s="3"/>
      <c r="R119" s="2"/>
      <c r="S119" s="229"/>
      <c r="T119" s="229"/>
      <c r="U119" s="229"/>
      <c r="V119" s="229"/>
      <c r="W119" s="229"/>
      <c r="X119" s="229"/>
      <c r="Y119" s="229"/>
      <c r="Z119" s="229"/>
    </row>
    <row r="120" spans="1:26" ht="16.5" customHeight="1" x14ac:dyDescent="0.25">
      <c r="A120" s="675" t="s">
        <v>183</v>
      </c>
      <c r="B120" s="661"/>
      <c r="C120" s="661"/>
      <c r="D120" s="661"/>
      <c r="E120" s="661"/>
      <c r="F120" s="661"/>
      <c r="G120" s="661"/>
      <c r="H120" s="661"/>
      <c r="I120" s="662"/>
      <c r="J120" s="663">
        <f>J116+J118</f>
        <v>6613690.4499999993</v>
      </c>
      <c r="K120" s="72"/>
      <c r="M120" s="2"/>
      <c r="N120" s="3"/>
      <c r="R120" s="2"/>
      <c r="S120" s="229"/>
      <c r="T120" s="229"/>
      <c r="U120" s="229"/>
      <c r="V120" s="229"/>
      <c r="W120" s="229"/>
      <c r="X120" s="229"/>
      <c r="Y120" s="229"/>
      <c r="Z120" s="229"/>
    </row>
    <row r="121" spans="1:26" ht="16.5" customHeight="1" x14ac:dyDescent="0.25">
      <c r="A121" s="675"/>
      <c r="B121" s="661"/>
      <c r="C121" s="661"/>
      <c r="D121" s="661"/>
      <c r="E121" s="661"/>
      <c r="F121" s="661"/>
      <c r="G121" s="661"/>
      <c r="H121" s="661"/>
      <c r="I121" s="662"/>
      <c r="J121" s="663"/>
      <c r="K121" s="72"/>
      <c r="M121" s="2"/>
      <c r="N121" s="3"/>
      <c r="R121" s="2"/>
      <c r="S121" s="229"/>
      <c r="T121" s="229"/>
      <c r="U121" s="229"/>
      <c r="V121" s="229"/>
      <c r="W121" s="229"/>
      <c r="X121" s="229"/>
      <c r="Y121" s="229"/>
      <c r="Z121" s="229"/>
    </row>
    <row r="122" spans="1:26" ht="16.5" customHeight="1" x14ac:dyDescent="0.25">
      <c r="A122" s="675" t="s">
        <v>184</v>
      </c>
      <c r="B122" s="661"/>
      <c r="C122" s="661"/>
      <c r="D122" s="661"/>
      <c r="E122" s="661"/>
      <c r="F122" s="661"/>
      <c r="G122" s="661"/>
      <c r="H122" s="661"/>
      <c r="I122" s="662"/>
      <c r="J122" s="668">
        <f>Consolidated!I$157</f>
        <v>12</v>
      </c>
      <c r="K122" s="72"/>
      <c r="M122" s="2"/>
      <c r="N122" s="3"/>
      <c r="R122" s="2"/>
      <c r="S122" s="229"/>
      <c r="T122" s="229"/>
      <c r="U122" s="229"/>
      <c r="V122" s="229"/>
      <c r="W122" s="229"/>
      <c r="X122" s="229"/>
      <c r="Y122" s="229"/>
      <c r="Z122" s="229"/>
    </row>
    <row r="123" spans="1:26" ht="16.5" customHeight="1" x14ac:dyDescent="0.25">
      <c r="A123" s="661"/>
      <c r="B123" s="661"/>
      <c r="C123" s="661"/>
      <c r="D123" s="661"/>
      <c r="E123" s="661"/>
      <c r="F123" s="661"/>
      <c r="G123" s="661"/>
      <c r="H123" s="661"/>
      <c r="I123" s="662"/>
      <c r="J123" s="663"/>
      <c r="K123" s="72"/>
      <c r="M123" s="2"/>
      <c r="N123" s="3"/>
      <c r="R123" s="2"/>
      <c r="S123" s="229"/>
      <c r="T123" s="229"/>
      <c r="U123" s="229"/>
      <c r="V123" s="229"/>
      <c r="W123" s="229"/>
      <c r="X123" s="229"/>
      <c r="Y123" s="229"/>
      <c r="Z123" s="229"/>
    </row>
    <row r="124" spans="1:26" ht="16.5" customHeight="1" thickBot="1" x14ac:dyDescent="0.3">
      <c r="A124" s="675" t="s">
        <v>185</v>
      </c>
      <c r="B124" s="661"/>
      <c r="C124" s="661"/>
      <c r="D124" s="661"/>
      <c r="E124" s="661"/>
      <c r="F124" s="661"/>
      <c r="G124" s="661"/>
      <c r="H124" s="661"/>
      <c r="I124" s="662"/>
      <c r="J124" s="669">
        <f>ROUND(J120/J122,2)</f>
        <v>551140.87</v>
      </c>
      <c r="K124" s="72"/>
      <c r="M124" s="2"/>
      <c r="N124" s="3"/>
      <c r="R124" s="2"/>
      <c r="S124" s="229"/>
      <c r="T124" s="229"/>
      <c r="U124" s="229"/>
      <c r="V124" s="229"/>
      <c r="W124" s="229"/>
      <c r="X124" s="229"/>
      <c r="Y124" s="229"/>
      <c r="Z124" s="229"/>
    </row>
    <row r="125" spans="1:26" ht="16.5" customHeight="1" thickTop="1" x14ac:dyDescent="0.25">
      <c r="A125" s="661"/>
      <c r="B125" s="661"/>
      <c r="C125" s="661"/>
      <c r="D125" s="661"/>
      <c r="E125" s="661"/>
      <c r="F125" s="661"/>
      <c r="G125" s="661"/>
      <c r="H125" s="661"/>
      <c r="I125" s="662"/>
      <c r="J125" s="663"/>
      <c r="K125" s="72"/>
      <c r="M125" s="2"/>
      <c r="N125" s="3"/>
      <c r="R125" s="2"/>
      <c r="S125" s="229"/>
      <c r="T125" s="229"/>
      <c r="U125" s="229"/>
      <c r="V125" s="229"/>
      <c r="W125" s="229"/>
      <c r="X125" s="229"/>
      <c r="Y125" s="229"/>
      <c r="Z125" s="229"/>
    </row>
    <row r="126" spans="1:26" ht="16.5" customHeight="1" thickBot="1" x14ac:dyDescent="0.3">
      <c r="A126" s="675" t="s">
        <v>186</v>
      </c>
      <c r="B126" s="661"/>
      <c r="C126" s="661"/>
      <c r="D126" s="661"/>
      <c r="E126" s="661"/>
      <c r="F126" s="661"/>
      <c r="G126" s="661"/>
      <c r="H126" s="661"/>
      <c r="I126" s="662"/>
      <c r="J126" s="670">
        <f>ROUND(IF(H114="H",(I114*0.02)+J114,(I114*0.05)+J114),2)</f>
        <v>82126.33</v>
      </c>
      <c r="K126" s="72"/>
      <c r="M126" s="2"/>
      <c r="N126" s="3"/>
      <c r="R126" s="2"/>
      <c r="S126" s="229"/>
      <c r="T126" s="229"/>
      <c r="U126" s="229"/>
      <c r="V126" s="229"/>
      <c r="W126" s="229"/>
      <c r="X126" s="229"/>
      <c r="Y126" s="229"/>
      <c r="Z126" s="229"/>
    </row>
    <row r="127" spans="1:26" ht="15.75" customHeight="1" thickTop="1" x14ac:dyDescent="0.25">
      <c r="A127" s="661"/>
      <c r="B127" s="661"/>
      <c r="C127" s="661"/>
      <c r="D127" s="661"/>
      <c r="E127" s="661"/>
      <c r="F127" s="661"/>
      <c r="G127" s="661"/>
      <c r="H127" s="662"/>
      <c r="I127" s="671"/>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C9480-D1A2-43E0-A4B6-7F1373A18D9B}">
  <dimension ref="A1:Z207"/>
  <sheetViews>
    <sheetView topLeftCell="A26" workbookViewId="0">
      <selection activeCell="C17" sqref="C1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512</v>
      </c>
      <c r="B2" s="101"/>
      <c r="C2" s="101"/>
      <c r="D2" s="101"/>
      <c r="E2" s="6"/>
      <c r="F2" s="6"/>
      <c r="G2" s="6"/>
      <c r="H2" s="6"/>
      <c r="I2" s="706" t="str">
        <f>RIGHT(A2,4)</f>
        <v>3398</v>
      </c>
      <c r="J2" s="6"/>
      <c r="K2" s="6"/>
      <c r="L2" s="6"/>
      <c r="M2" s="6"/>
      <c r="N2" s="6"/>
      <c r="O2" s="6"/>
      <c r="P2" s="6"/>
      <c r="Q2" s="6"/>
      <c r="R2" s="927" t="str">
        <f>Revenue_Estimate_Worksheet_for___________Charter_School</f>
        <v>Revenue Estimate Worksheet: Everglades Preparatory Academy - 3398</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H</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3</v>
      </c>
      <c r="D14" s="392">
        <f>SUMIFS('Surv2-3'!L:L,'Surv2-3'!$H:$H,$I$2,'Surv2-3'!$I:$I,$O14)</f>
        <v>3.52</v>
      </c>
      <c r="E14" s="1020">
        <f t="shared" si="0"/>
        <v>6.52</v>
      </c>
      <c r="F14" s="1020"/>
      <c r="G14" s="1026">
        <f>Consolidated!$F16</f>
        <v>1</v>
      </c>
      <c r="H14" s="1026">
        <f>Consolidated!$H$9</f>
        <v>1</v>
      </c>
      <c r="I14" s="539">
        <f t="shared" si="3"/>
        <v>6.52</v>
      </c>
      <c r="J14" s="540">
        <f>ROUND(ROUND(ROUND(I14*$E$6,4)*($I$6),2)*(MAX($I$7,1)),2)</f>
        <v>36272.89</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0</v>
      </c>
      <c r="D15" s="392">
        <f>SUMIFS('Surv2-3'!L:L,'Surv2-3'!$H:$H,$I$2,'Surv2-3'!$I:$I,$O15)</f>
        <v>2.5</v>
      </c>
      <c r="E15" s="1020">
        <f t="shared" si="0"/>
        <v>2.5</v>
      </c>
      <c r="F15" s="1020"/>
      <c r="G15" s="1026">
        <f>Consolidated!$F17</f>
        <v>1</v>
      </c>
      <c r="H15" s="1026">
        <f>Consolidated!$H$9</f>
        <v>1</v>
      </c>
      <c r="I15" s="539">
        <f t="shared" si="3"/>
        <v>2.5</v>
      </c>
      <c r="J15" s="540">
        <f t="shared" si="1"/>
        <v>13908.32</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32.300000000000004</v>
      </c>
      <c r="D16" s="392">
        <f>SUMIFS('Surv2-3'!M:M,'Surv2-3'!$H:$H,$I$2,'Surv2-3'!$I:$I,$O16)</f>
        <v>33.68</v>
      </c>
      <c r="E16" s="1020">
        <f t="shared" si="0"/>
        <v>65.98</v>
      </c>
      <c r="F16" s="1020"/>
      <c r="G16" s="1026">
        <f>Consolidated!$F18</f>
        <v>0.97199999999999998</v>
      </c>
      <c r="H16" s="1026">
        <f>Consolidated!$H$9</f>
        <v>1</v>
      </c>
      <c r="I16" s="539">
        <f t="shared" si="3"/>
        <v>64.132599999999996</v>
      </c>
      <c r="J16" s="540">
        <f t="shared" si="1"/>
        <v>356790.64</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12.5</v>
      </c>
      <c r="D17" s="392">
        <f>SUMIFS('Surv2-3'!M:M,'Surv2-3'!$H:$H,$I$2,'Surv2-3'!$I:$I,$O17)</f>
        <v>9.3500000000000014</v>
      </c>
      <c r="E17" s="1020">
        <f t="shared" si="0"/>
        <v>21.85</v>
      </c>
      <c r="F17" s="1020"/>
      <c r="G17" s="1026">
        <f>Consolidated!$F19</f>
        <v>0.97199999999999998</v>
      </c>
      <c r="H17" s="1026">
        <f>Consolidated!$H$9</f>
        <v>1</v>
      </c>
      <c r="I17" s="539">
        <f t="shared" si="3"/>
        <v>21.238199999999999</v>
      </c>
      <c r="J17" s="540">
        <f t="shared" si="1"/>
        <v>118155.06</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v>
      </c>
      <c r="D25" s="392">
        <f>SUMIFS('Surv2-3'!L:L,'Surv2-3'!$H:$H,$I$2,'Surv2-3'!$I:$I,$O25)</f>
        <v>0</v>
      </c>
      <c r="E25" s="1020">
        <f t="shared" si="0"/>
        <v>0</v>
      </c>
      <c r="F25" s="1020"/>
      <c r="G25" s="1026">
        <f>Consolidated!$F27</f>
        <v>1.165</v>
      </c>
      <c r="H25" s="1026">
        <f>Consolidated!$H$9</f>
        <v>1</v>
      </c>
      <c r="I25" s="539">
        <f t="shared" si="3"/>
        <v>0</v>
      </c>
      <c r="J25" s="540">
        <f t="shared" si="1"/>
        <v>0</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0.4</v>
      </c>
      <c r="D26" s="392">
        <f>SUMIFS('Surv2-3'!M:M,'Surv2-3'!$H:$H,$I$2,'Surv2-3'!$I:$I,$O26)</f>
        <v>0.41</v>
      </c>
      <c r="E26" s="1020">
        <f t="shared" si="0"/>
        <v>0.81</v>
      </c>
      <c r="F26" s="1020"/>
      <c r="G26" s="1026">
        <f>Consolidated!$F28</f>
        <v>1.165</v>
      </c>
      <c r="H26" s="1026">
        <f>Consolidated!$H$9</f>
        <v>1</v>
      </c>
      <c r="I26" s="539">
        <f t="shared" si="3"/>
        <v>0.94369999999999998</v>
      </c>
      <c r="J26" s="540">
        <f t="shared" si="1"/>
        <v>5250.11</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1.6900000000000002</v>
      </c>
      <c r="D27" s="393">
        <f>SUMIFS('Surv2-3'!J:J,'Surv2-3'!$H:$H,$I$2,'Surv2-3'!$I:$I,$O27)</f>
        <v>2.5499999999999998</v>
      </c>
      <c r="E27" s="1022">
        <f t="shared" si="0"/>
        <v>4.24</v>
      </c>
      <c r="F27" s="1022"/>
      <c r="G27" s="1023">
        <f>Consolidated!$F29</f>
        <v>1.081</v>
      </c>
      <c r="H27" s="1023">
        <f>Consolidated!$H$9</f>
        <v>1</v>
      </c>
      <c r="I27" s="22">
        <f t="shared" si="3"/>
        <v>4.5834000000000001</v>
      </c>
      <c r="J27" s="116">
        <f t="shared" si="1"/>
        <v>25498.95</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49.89</v>
      </c>
      <c r="D28" s="822">
        <f>SUM(D12:D27)</f>
        <v>52.01</v>
      </c>
      <c r="E28" s="1025">
        <f>SUM(E12:E27)</f>
        <v>101.89999999999999</v>
      </c>
      <c r="F28" s="1025"/>
      <c r="G28" s="1020"/>
      <c r="H28" s="1020"/>
      <c r="I28" s="23">
        <f>SUM(I12:I27)</f>
        <v>99.917899999999989</v>
      </c>
      <c r="J28" s="116">
        <f>SUM(J12:J27)</f>
        <v>555875.97</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99.917899999999989</v>
      </c>
      <c r="H33" s="1020" t="s">
        <v>45</v>
      </c>
      <c r="I33" s="1020"/>
      <c r="J33" s="32">
        <f>SUM(J32,J28)</f>
        <v>555875.97</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617789.14</v>
      </c>
      <c r="H36" s="37" t="s">
        <v>49</v>
      </c>
      <c r="I36" s="38">
        <v>6.6699999999999995E-2</v>
      </c>
      <c r="J36" s="120">
        <f>ROUND(G36*I36,2)</f>
        <v>41206.54</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617789.14</v>
      </c>
      <c r="H37" s="37" t="s">
        <v>49</v>
      </c>
      <c r="I37" s="38">
        <v>5.4000000000000003E-3</v>
      </c>
      <c r="J37" s="120">
        <f>ROUND(G37*I37,2)</f>
        <v>3336.06</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44542.6</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37" t="s">
        <v>59</v>
      </c>
      <c r="H41" s="37">
        <v>251</v>
      </c>
      <c r="I41" s="125">
        <f>Consolidated!$H59</f>
        <v>1047</v>
      </c>
      <c r="J41" s="537">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537">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537">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537">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0</v>
      </c>
      <c r="D45" s="824">
        <f>SUMIFS('Surv2-3'!L:L,'Surv2-3'!$H:$H,$I$2,'Surv2-3'!$I:$I,$H45-140)</f>
        <v>2.5</v>
      </c>
      <c r="E45" s="1013">
        <f t="shared" si="8"/>
        <v>2.5</v>
      </c>
      <c r="F45" s="1013"/>
      <c r="G45" s="47" t="s">
        <v>60</v>
      </c>
      <c r="H45" s="37">
        <v>252</v>
      </c>
      <c r="I45" s="125">
        <f>Consolidated!$H63</f>
        <v>3506</v>
      </c>
      <c r="J45" s="537">
        <f t="shared" si="9"/>
        <v>8765</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537">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537">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537">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12.5</v>
      </c>
      <c r="D49" s="824">
        <f>SUMIFS('Surv2-3'!M:M,'Surv2-3'!$H:$H,$I$2,'Surv2-3'!$I:$I,$H49-140)</f>
        <v>9.3500000000000014</v>
      </c>
      <c r="E49" s="1014">
        <f t="shared" si="8"/>
        <v>21.85</v>
      </c>
      <c r="F49" s="1014"/>
      <c r="G49" s="47" t="s">
        <v>61</v>
      </c>
      <c r="H49" s="37">
        <v>253</v>
      </c>
      <c r="I49" s="125">
        <f>Consolidated!$H67</f>
        <v>6685</v>
      </c>
      <c r="J49" s="537">
        <f t="shared" si="9"/>
        <v>146067.25</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12.5</v>
      </c>
      <c r="D50" s="825">
        <f>SUM(D41:D49)</f>
        <v>11.850000000000001</v>
      </c>
      <c r="E50" s="1015">
        <f>SUM(E41:E49)</f>
        <v>24.35</v>
      </c>
      <c r="F50" s="1015"/>
      <c r="G50" s="970" t="s">
        <v>63</v>
      </c>
      <c r="H50" s="970"/>
      <c r="I50" s="970"/>
      <c r="J50" s="220">
        <f>SUM(J41:J49)</f>
        <v>154832.25</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101.89999999999999</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4.9100000000000001E-4</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99.917899999999989</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4.5199999999999998E-4</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101.89999999999999</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5.6999999999999998E-4</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101.89999999999999</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4.9100000000000001E-4</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101.89999999999999</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5.71E-4</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4.9100000000000001E-4</v>
      </c>
      <c r="J68" s="127">
        <f>ROUND(G68*I68,2)</f>
        <v>22394.75</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4.9100000000000001E-4</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5.71E-4</v>
      </c>
      <c r="J71" s="127">
        <f>ROUND(G71*I71,2)</f>
        <v>10826.11</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5.6999999999999998E-4</v>
      </c>
      <c r="J72" s="127">
        <f>ROUND(G72*I72,2)</f>
        <v>6445.78</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v>6.25</v>
      </c>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6.25</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4.84E-4</v>
      </c>
      <c r="J84" s="62">
        <f>ROUND(G84*I84,2)</f>
        <v>28315.35</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4.5199999999999998E-4</v>
      </c>
      <c r="J85" s="127">
        <f>ROUND(G85*I85,2)</f>
        <v>121504.96000000001</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4.5199999999999998E-4</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4.9100000000000001E-4</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537">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9.02</v>
      </c>
      <c r="C91" s="80"/>
      <c r="D91" s="921">
        <f>I6</f>
        <v>1.0355000000000001</v>
      </c>
      <c r="E91" s="921"/>
      <c r="F91" s="921"/>
      <c r="G91" s="113">
        <f>Consolidated!F$119</f>
        <v>915.09</v>
      </c>
      <c r="H91" s="47" t="s">
        <v>68</v>
      </c>
      <c r="I91" s="537">
        <f>ROUND(B91*D91*G91,2)</f>
        <v>8547.1299999999992</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90.897900000000007</v>
      </c>
      <c r="C92" s="80"/>
      <c r="D92" s="921">
        <f>I6</f>
        <v>1.0355000000000001</v>
      </c>
      <c r="E92" s="921"/>
      <c r="F92" s="921"/>
      <c r="G92" s="113">
        <f>Consolidated!F$120</f>
        <v>917.3</v>
      </c>
      <c r="H92" s="47" t="s">
        <v>68</v>
      </c>
      <c r="I92" s="537">
        <f>ROUND(B92*D92*G92,2)</f>
        <v>86340.66</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99.917900000000003</v>
      </c>
      <c r="C93" s="80"/>
      <c r="D93" s="80"/>
      <c r="E93" s="999" t="s">
        <v>112</v>
      </c>
      <c r="F93" s="999"/>
      <c r="G93" s="999"/>
      <c r="H93" s="999"/>
      <c r="I93" s="999"/>
      <c r="J93" s="116">
        <f>IF(A1=75,0,I92+I91+I90)</f>
        <v>94887.790000000008</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73</v>
      </c>
      <c r="D97" s="223">
        <v>76</v>
      </c>
      <c r="E97" s="1044">
        <f>IF(D97&gt;0,(C97+D97)/2,C97)</f>
        <v>74.5</v>
      </c>
      <c r="F97" s="922"/>
      <c r="G97" s="922"/>
      <c r="H97" s="85" t="s">
        <v>117</v>
      </c>
      <c r="I97" s="119">
        <f>Consolidated!G$127</f>
        <v>578</v>
      </c>
      <c r="J97" s="127">
        <f>ROUND(I97*E97,2)</f>
        <v>43061</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1038143.96</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993601.36</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658"/>
      <c r="I114" s="659">
        <f>IF(I111=1,J111,J109)</f>
        <v>993601.36</v>
      </c>
      <c r="J114" s="660">
        <f>ROUND(IF(E28=0,0,IF(E28&gt;250,-(((250/E28)*I114)*IF(H114="H",0.02,0.05)),IF(H114="H",-0.02*I114,-0.05*I114))),2)</f>
        <v>-49680.07</v>
      </c>
      <c r="M114" s="2"/>
      <c r="N114" s="3"/>
      <c r="R114" s="2"/>
      <c r="T114" s="4"/>
      <c r="W114" s="2"/>
      <c r="X114" s="5"/>
    </row>
    <row r="115" spans="1:26" ht="16.5" customHeight="1" x14ac:dyDescent="0.25">
      <c r="A115" s="231"/>
      <c r="B115" s="231"/>
      <c r="C115" s="231"/>
      <c r="D115" s="231"/>
      <c r="E115" s="231"/>
      <c r="F115" s="231"/>
      <c r="G115" s="231"/>
      <c r="H115" s="661"/>
      <c r="I115" s="662"/>
      <c r="J115" s="663"/>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664"/>
      <c r="I116" s="665"/>
      <c r="J116" s="666">
        <f>J107+J114</f>
        <v>988463.89</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61"/>
      <c r="I117" s="662"/>
      <c r="J117" s="663"/>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661"/>
      <c r="I118" s="662"/>
      <c r="J118" s="667">
        <f>-'Cumulative Payments'!R93</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61"/>
      <c r="I119" s="662"/>
      <c r="J119" s="663"/>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661"/>
      <c r="I120" s="662"/>
      <c r="J120" s="663">
        <f>J116+J118</f>
        <v>988463.89</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61"/>
      <c r="I121" s="662"/>
      <c r="J121" s="663"/>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661"/>
      <c r="I122" s="662"/>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61"/>
      <c r="I123" s="662"/>
      <c r="J123" s="663"/>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661"/>
      <c r="I124" s="662"/>
      <c r="J124" s="669">
        <f>ROUND(J120/J122,2)</f>
        <v>82371.990000000005</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61"/>
      <c r="I125" s="662"/>
      <c r="J125" s="663"/>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661"/>
      <c r="I126" s="662"/>
      <c r="J126" s="670">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62"/>
      <c r="I127" s="671"/>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B6969-2ACC-4EE7-BBC9-F5BA0A5BF404}">
  <dimension ref="A1:Z207"/>
  <sheetViews>
    <sheetView topLeftCell="A36" workbookViewId="0">
      <selection activeCell="C42" sqref="C42"/>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513</v>
      </c>
      <c r="B2" s="101"/>
      <c r="C2" s="101"/>
      <c r="D2" s="101"/>
      <c r="E2" s="6"/>
      <c r="F2" s="6"/>
      <c r="G2" s="6"/>
      <c r="H2" s="6"/>
      <c r="I2" s="706" t="str">
        <f>RIGHT(A2,4)</f>
        <v>3400</v>
      </c>
      <c r="J2" s="6"/>
      <c r="K2" s="6"/>
      <c r="L2" s="6"/>
      <c r="M2" s="6"/>
      <c r="N2" s="6"/>
      <c r="O2" s="6"/>
      <c r="P2" s="6"/>
      <c r="Q2" s="6"/>
      <c r="R2" s="927" t="str">
        <f>Revenue_Estimate_Worksheet_for___________Charter_School</f>
        <v>Revenue Estimate Worksheet: Believers Academy - 3400</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H</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0</v>
      </c>
      <c r="D14" s="392">
        <f>SUMIFS('Surv2-3'!L:L,'Surv2-3'!$H:$H,$I$2,'Surv2-3'!$I:$I,$O14)</f>
        <v>0</v>
      </c>
      <c r="E14" s="1020">
        <f t="shared" si="0"/>
        <v>0</v>
      </c>
      <c r="F14" s="1020"/>
      <c r="G14" s="1026">
        <f>Consolidated!$F16</f>
        <v>1</v>
      </c>
      <c r="H14" s="1026">
        <f>Consolidated!$H$9</f>
        <v>1</v>
      </c>
      <c r="I14" s="539">
        <f t="shared" si="3"/>
        <v>0</v>
      </c>
      <c r="J14" s="540">
        <f>ROUND(ROUND(ROUND(I14*$E$6,4)*($I$6),2)*(MAX($I$7,1)),2)</f>
        <v>0</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1.5</v>
      </c>
      <c r="D15" s="392">
        <f>SUMIFS('Surv2-3'!L:L,'Surv2-3'!$H:$H,$I$2,'Surv2-3'!$I:$I,$O15)</f>
        <v>1</v>
      </c>
      <c r="E15" s="1020">
        <f t="shared" si="0"/>
        <v>2.5</v>
      </c>
      <c r="F15" s="1020"/>
      <c r="G15" s="1026">
        <f>Consolidated!$F17</f>
        <v>1</v>
      </c>
      <c r="H15" s="1026">
        <f>Consolidated!$H$9</f>
        <v>1</v>
      </c>
      <c r="I15" s="539">
        <f t="shared" si="3"/>
        <v>2.5</v>
      </c>
      <c r="J15" s="540">
        <f t="shared" si="1"/>
        <v>13908.32</v>
      </c>
      <c r="M15" s="2"/>
      <c r="O15" s="2" t="str">
        <f t="shared" si="2"/>
        <v>112</v>
      </c>
      <c r="R15" s="946" t="s">
        <v>23</v>
      </c>
      <c r="S15" s="946"/>
      <c r="T15" s="944">
        <f t="shared" si="4"/>
        <v>2.5</v>
      </c>
      <c r="U15" s="944"/>
      <c r="V15" s="950">
        <v>1</v>
      </c>
      <c r="W15" s="950"/>
      <c r="X15" s="145">
        <f t="shared" si="5"/>
        <v>2.5</v>
      </c>
      <c r="Y15" s="212">
        <f t="shared" ref="Y15:Y27" si="7">ROUND(ROUND(ROUND(X15*$E$6,4)*($I$6),2)*(MAX($I$7,1)),2)</f>
        <v>13908.32</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44.44</v>
      </c>
      <c r="D17" s="392">
        <f>SUMIFS('Surv2-3'!M:M,'Surv2-3'!$H:$H,$I$2,'Surv2-3'!$I:$I,$O17)</f>
        <v>44.120000000000005</v>
      </c>
      <c r="E17" s="1020">
        <f t="shared" si="0"/>
        <v>88.56</v>
      </c>
      <c r="F17" s="1020"/>
      <c r="G17" s="1026">
        <f>Consolidated!$F19</f>
        <v>0.97199999999999998</v>
      </c>
      <c r="H17" s="1026">
        <f>Consolidated!$H$9</f>
        <v>1</v>
      </c>
      <c r="I17" s="539">
        <f t="shared" si="3"/>
        <v>86.080299999999994</v>
      </c>
      <c r="J17" s="540">
        <f t="shared" si="1"/>
        <v>478892.88</v>
      </c>
      <c r="M17" s="2"/>
      <c r="O17" s="2" t="str">
        <f t="shared" si="2"/>
        <v>113</v>
      </c>
      <c r="R17" s="946" t="s">
        <v>25</v>
      </c>
      <c r="S17" s="946"/>
      <c r="T17" s="944">
        <f t="shared" si="4"/>
        <v>88.56</v>
      </c>
      <c r="U17" s="944"/>
      <c r="V17" s="950">
        <v>1</v>
      </c>
      <c r="W17" s="950"/>
      <c r="X17" s="145">
        <f t="shared" si="5"/>
        <v>88.56</v>
      </c>
      <c r="Y17" s="212">
        <f t="shared" si="7"/>
        <v>492688.27</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v>
      </c>
      <c r="D25" s="392">
        <f>SUMIFS('Surv2-3'!L:L,'Surv2-3'!$H:$H,$I$2,'Surv2-3'!$I:$I,$O25)</f>
        <v>0</v>
      </c>
      <c r="E25" s="1020">
        <f t="shared" si="0"/>
        <v>0</v>
      </c>
      <c r="F25" s="1020"/>
      <c r="G25" s="1026">
        <f>Consolidated!$F27</f>
        <v>1.165</v>
      </c>
      <c r="H25" s="1026">
        <f>Consolidated!$H$9</f>
        <v>1</v>
      </c>
      <c r="I25" s="539">
        <f t="shared" si="3"/>
        <v>0</v>
      </c>
      <c r="J25" s="540">
        <f t="shared" si="1"/>
        <v>0</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45.94</v>
      </c>
      <c r="D28" s="822">
        <f>SUM(D12:D27)</f>
        <v>45.120000000000005</v>
      </c>
      <c r="E28" s="1025">
        <f>SUM(E12:E27)</f>
        <v>91.06</v>
      </c>
      <c r="F28" s="1025"/>
      <c r="G28" s="1020"/>
      <c r="H28" s="1020"/>
      <c r="I28" s="23">
        <f>SUM(I12:I27)</f>
        <v>88.580299999999994</v>
      </c>
      <c r="J28" s="116">
        <f>SUM(J12:J27)</f>
        <v>492801.2</v>
      </c>
      <c r="M28" s="2"/>
      <c r="R28" s="963" t="s">
        <v>36</v>
      </c>
      <c r="S28" s="963"/>
      <c r="T28" s="964">
        <f>SUM(T12:T27)</f>
        <v>91.06</v>
      </c>
      <c r="U28" s="964"/>
      <c r="V28" s="965"/>
      <c r="W28" s="965"/>
      <c r="X28" s="147">
        <f>SUM(X12:X27)</f>
        <v>91.06</v>
      </c>
      <c r="Y28" s="212">
        <f>SUM(Y12:Y27)</f>
        <v>506596.59</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88.580299999999994</v>
      </c>
      <c r="H33" s="1020" t="s">
        <v>45</v>
      </c>
      <c r="I33" s="1020"/>
      <c r="J33" s="32">
        <f>SUM(J32,J28)</f>
        <v>492801.2</v>
      </c>
      <c r="M33" s="2"/>
      <c r="R33" s="969" t="s">
        <v>44</v>
      </c>
      <c r="S33" s="969"/>
      <c r="T33" s="969"/>
      <c r="U33" s="969"/>
      <c r="V33" s="153">
        <f>V32+X28</f>
        <v>91.06</v>
      </c>
      <c r="W33" s="965" t="s">
        <v>45</v>
      </c>
      <c r="X33" s="965"/>
      <c r="Y33" s="154">
        <f>SUM(Y32,Y28)</f>
        <v>506596.59</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519146.9</v>
      </c>
      <c r="H36" s="37" t="s">
        <v>49</v>
      </c>
      <c r="I36" s="38">
        <v>6.6699999999999995E-2</v>
      </c>
      <c r="J36" s="120">
        <f>ROUND(G36*I36,2)</f>
        <v>34627.1</v>
      </c>
      <c r="K36" s="39"/>
      <c r="L36" s="33"/>
      <c r="M36" s="33"/>
      <c r="N36" s="33"/>
      <c r="O36" s="31"/>
      <c r="P36" s="34"/>
      <c r="Q36" s="34"/>
      <c r="R36" s="946" t="s">
        <v>47</v>
      </c>
      <c r="S36" s="946"/>
      <c r="T36" s="946"/>
      <c r="U36" s="158"/>
      <c r="V36" s="161">
        <v>533300.56000000006</v>
      </c>
      <c r="W36" s="162" t="s">
        <v>49</v>
      </c>
      <c r="X36" s="163">
        <v>6.6699999999999995E-2</v>
      </c>
      <c r="Y36" s="212">
        <f>J36</f>
        <v>34627.1</v>
      </c>
    </row>
    <row r="37" spans="1:25" ht="20.25" customHeight="1" x14ac:dyDescent="0.25">
      <c r="A37" s="916" t="s">
        <v>50</v>
      </c>
      <c r="B37" s="916"/>
      <c r="C37" s="916"/>
      <c r="D37" s="916"/>
      <c r="E37" s="916"/>
      <c r="F37" s="36" t="s">
        <v>48</v>
      </c>
      <c r="G37" s="121">
        <v>519146.9</v>
      </c>
      <c r="H37" s="37" t="s">
        <v>49</v>
      </c>
      <c r="I37" s="38">
        <v>5.4000000000000003E-3</v>
      </c>
      <c r="J37" s="120">
        <f>ROUND(G37*I37,2)</f>
        <v>2803.39</v>
      </c>
      <c r="K37" s="39"/>
      <c r="L37" s="33"/>
      <c r="M37" s="33"/>
      <c r="N37" s="33"/>
      <c r="O37" s="31"/>
      <c r="P37" s="34"/>
      <c r="Q37" s="34"/>
      <c r="R37" s="946" t="s">
        <v>50</v>
      </c>
      <c r="S37" s="946"/>
      <c r="T37" s="946"/>
      <c r="U37" s="158"/>
      <c r="V37" s="161">
        <v>533300.56000000006</v>
      </c>
      <c r="W37" s="162" t="s">
        <v>49</v>
      </c>
      <c r="X37" s="163">
        <v>5.4000000000000003E-3</v>
      </c>
      <c r="Y37" s="212">
        <f>J37</f>
        <v>2803.39</v>
      </c>
    </row>
    <row r="38" spans="1:25" ht="20.25" customHeight="1" x14ac:dyDescent="0.25">
      <c r="A38" s="952" t="s">
        <v>51</v>
      </c>
      <c r="B38" s="952"/>
      <c r="C38" s="952"/>
      <c r="D38" s="952"/>
      <c r="E38" s="952"/>
      <c r="F38" s="36" t="s">
        <v>52</v>
      </c>
      <c r="G38" s="40"/>
      <c r="H38" s="37"/>
      <c r="I38" s="41"/>
      <c r="J38" s="120">
        <f>SUM(J36:J37)</f>
        <v>37430.49</v>
      </c>
      <c r="K38" s="39"/>
      <c r="L38" s="33"/>
      <c r="M38" s="33"/>
      <c r="N38" s="33"/>
      <c r="O38" s="31"/>
      <c r="P38" s="34"/>
      <c r="Q38" s="34"/>
      <c r="R38" s="955" t="s">
        <v>51</v>
      </c>
      <c r="S38" s="955"/>
      <c r="T38" s="955"/>
      <c r="U38" s="158" t="s">
        <v>52</v>
      </c>
      <c r="V38" s="164"/>
      <c r="W38" s="162"/>
      <c r="X38" s="165"/>
      <c r="Y38" s="184">
        <f>Y36+Y37</f>
        <v>37430.49</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37" t="s">
        <v>59</v>
      </c>
      <c r="H41" s="37">
        <v>251</v>
      </c>
      <c r="I41" s="125">
        <f>Consolidated!$H59</f>
        <v>1047</v>
      </c>
      <c r="J41" s="537">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537">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537">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537">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1.5</v>
      </c>
      <c r="D45" s="824">
        <f>SUMIFS('Surv2-3'!L:L,'Surv2-3'!$H:$H,$I$2,'Surv2-3'!$I:$I,$H45-140)</f>
        <v>1</v>
      </c>
      <c r="E45" s="1013">
        <f t="shared" si="8"/>
        <v>2.5</v>
      </c>
      <c r="F45" s="1013"/>
      <c r="G45" s="47" t="s">
        <v>60</v>
      </c>
      <c r="H45" s="37">
        <v>252</v>
      </c>
      <c r="I45" s="125">
        <f>Consolidated!$H63</f>
        <v>3506</v>
      </c>
      <c r="J45" s="537">
        <f t="shared" si="9"/>
        <v>8765</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537">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537">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537">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44.44</v>
      </c>
      <c r="D49" s="824">
        <f>SUMIFS('Surv2-3'!M:M,'Surv2-3'!$H:$H,$I$2,'Surv2-3'!$I:$I,$H49-140)</f>
        <v>44.120000000000005</v>
      </c>
      <c r="E49" s="1014">
        <f t="shared" si="8"/>
        <v>88.56</v>
      </c>
      <c r="F49" s="1014"/>
      <c r="G49" s="47" t="s">
        <v>61</v>
      </c>
      <c r="H49" s="37">
        <v>253</v>
      </c>
      <c r="I49" s="125">
        <f>Consolidated!$H67</f>
        <v>6685</v>
      </c>
      <c r="J49" s="537">
        <f t="shared" si="9"/>
        <v>592023.6</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45.94</v>
      </c>
      <c r="D50" s="825">
        <f>SUM(D41:D49)</f>
        <v>45.120000000000005</v>
      </c>
      <c r="E50" s="1015">
        <f>SUM(E41:E49)</f>
        <v>91.06</v>
      </c>
      <c r="F50" s="1015"/>
      <c r="G50" s="970" t="s">
        <v>63</v>
      </c>
      <c r="H50" s="970"/>
      <c r="I50" s="970"/>
      <c r="J50" s="220">
        <f>SUM(J41:J49)</f>
        <v>600788.6</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91.06</v>
      </c>
      <c r="U52" s="173" t="s">
        <v>66</v>
      </c>
      <c r="V52" s="174"/>
      <c r="W52" s="175" t="s">
        <v>67</v>
      </c>
      <c r="X52" s="977">
        <f>I53</f>
        <v>207716.69</v>
      </c>
      <c r="Y52" s="977"/>
    </row>
    <row r="53" spans="1:25" ht="16.5" customHeight="1" x14ac:dyDescent="0.25">
      <c r="A53" s="953" t="s">
        <v>65</v>
      </c>
      <c r="B53" s="953"/>
      <c r="C53" s="51"/>
      <c r="D53" s="51"/>
      <c r="E53" s="48">
        <f>E28</f>
        <v>91.06</v>
      </c>
      <c r="F53" s="49" t="s">
        <v>66</v>
      </c>
      <c r="G53" s="3"/>
      <c r="H53" s="50" t="s">
        <v>67</v>
      </c>
      <c r="I53" s="1051">
        <f>Consolidated!H$71</f>
        <v>207716.69</v>
      </c>
      <c r="J53" s="1051"/>
      <c r="M53" s="2"/>
      <c r="R53" s="176"/>
      <c r="S53" s="177"/>
      <c r="T53" s="159"/>
      <c r="U53" s="159"/>
      <c r="V53" s="159"/>
      <c r="W53" s="178" t="s">
        <v>68</v>
      </c>
      <c r="X53" s="978">
        <f>ROUND(T52/X52,6)</f>
        <v>4.3800000000000002E-4</v>
      </c>
      <c r="Y53" s="978"/>
    </row>
    <row r="54" spans="1:25" ht="22.5" customHeight="1" x14ac:dyDescent="0.25">
      <c r="A54" s="51"/>
      <c r="B54" s="52"/>
      <c r="C54" s="52"/>
      <c r="D54" s="52"/>
      <c r="H54" s="53" t="s">
        <v>68</v>
      </c>
      <c r="I54" s="1004">
        <f>IFERROR(ROUND(E53/I53,6),0)</f>
        <v>4.3800000000000002E-4</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91.06</v>
      </c>
      <c r="U55" s="173" t="s">
        <v>66</v>
      </c>
      <c r="V55" s="174"/>
      <c r="W55" s="175" t="s">
        <v>71</v>
      </c>
      <c r="X55" s="977">
        <f>I56</f>
        <v>221131.37000000002</v>
      </c>
      <c r="Y55" s="977"/>
    </row>
    <row r="56" spans="1:25" ht="16.5" customHeight="1" x14ac:dyDescent="0.25">
      <c r="A56" s="953" t="s">
        <v>70</v>
      </c>
      <c r="B56" s="953"/>
      <c r="C56" s="51"/>
      <c r="D56" s="51"/>
      <c r="E56" s="48">
        <f>G33</f>
        <v>88.580299999999994</v>
      </c>
      <c r="F56" s="49" t="s">
        <v>66</v>
      </c>
      <c r="G56" s="3"/>
      <c r="H56" s="50" t="s">
        <v>71</v>
      </c>
      <c r="I56" s="1051">
        <f>Consolidated!H$74</f>
        <v>221131.37000000002</v>
      </c>
      <c r="J56" s="1051"/>
      <c r="M56" s="2"/>
      <c r="R56" s="176"/>
      <c r="S56" s="159"/>
      <c r="T56" s="159"/>
      <c r="U56" s="159"/>
      <c r="V56" s="159"/>
      <c r="W56" s="178" t="s">
        <v>68</v>
      </c>
      <c r="X56" s="978">
        <f>ROUND(T55/X55,6)</f>
        <v>4.1199999999999999E-4</v>
      </c>
      <c r="Y56" s="978"/>
    </row>
    <row r="57" spans="1:25" ht="18.75" customHeight="1" x14ac:dyDescent="0.25">
      <c r="A57" s="51"/>
      <c r="H57" s="53" t="s">
        <v>68</v>
      </c>
      <c r="I57" s="1004">
        <f>IFERROR(ROUND(E56/I56,6),0)</f>
        <v>4.0099999999999999E-4</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91.06</v>
      </c>
      <c r="U58" s="173" t="s">
        <v>66</v>
      </c>
      <c r="V58" s="976" t="s">
        <v>74</v>
      </c>
      <c r="W58" s="976"/>
      <c r="X58" s="977">
        <f>I59</f>
        <v>178668.19</v>
      </c>
      <c r="Y58" s="977"/>
    </row>
    <row r="59" spans="1:25" ht="18.75" customHeight="1" x14ac:dyDescent="0.25">
      <c r="A59" s="953" t="s">
        <v>73</v>
      </c>
      <c r="B59" s="953"/>
      <c r="C59" s="51"/>
      <c r="D59" s="51"/>
      <c r="E59" s="48">
        <f>E28</f>
        <v>91.06</v>
      </c>
      <c r="F59" s="49" t="s">
        <v>66</v>
      </c>
      <c r="G59" s="1046" t="s">
        <v>74</v>
      </c>
      <c r="H59" s="1046"/>
      <c r="I59" s="1051">
        <f>Consolidated!H$77</f>
        <v>178668.19</v>
      </c>
      <c r="J59" s="1051"/>
      <c r="M59" s="2"/>
      <c r="R59" s="176"/>
      <c r="S59" s="159"/>
      <c r="T59" s="159"/>
      <c r="U59" s="159"/>
      <c r="V59" s="159"/>
      <c r="W59" s="178" t="s">
        <v>68</v>
      </c>
      <c r="X59" s="978">
        <f>ROUND(T58/X58,6)</f>
        <v>5.1000000000000004E-4</v>
      </c>
      <c r="Y59" s="978"/>
    </row>
    <row r="60" spans="1:25" ht="18" customHeight="1" x14ac:dyDescent="0.25">
      <c r="A60" s="51"/>
      <c r="H60" s="53" t="s">
        <v>68</v>
      </c>
      <c r="I60" s="1004">
        <f>IFERROR(ROUND(E59/I59,6),0)</f>
        <v>5.1000000000000004E-4</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91.06</v>
      </c>
      <c r="U61" s="173" t="s">
        <v>66</v>
      </c>
      <c r="V61" s="976" t="s">
        <v>76</v>
      </c>
      <c r="W61" s="976"/>
      <c r="X61" s="977">
        <f>I62</f>
        <v>207376.94</v>
      </c>
      <c r="Y61" s="977"/>
    </row>
    <row r="62" spans="1:25" ht="30.75" customHeight="1" x14ac:dyDescent="0.25">
      <c r="A62" s="953" t="s">
        <v>73</v>
      </c>
      <c r="B62" s="953"/>
      <c r="C62" s="51"/>
      <c r="D62" s="51"/>
      <c r="E62" s="48">
        <f>E28</f>
        <v>91.06</v>
      </c>
      <c r="F62" s="49" t="s">
        <v>66</v>
      </c>
      <c r="G62" s="1046" t="s">
        <v>76</v>
      </c>
      <c r="H62" s="1046"/>
      <c r="I62" s="1051">
        <f>Consolidated!H$80</f>
        <v>207376.94</v>
      </c>
      <c r="J62" s="1051"/>
      <c r="M62" s="2"/>
      <c r="R62" s="176"/>
      <c r="S62" s="159"/>
      <c r="T62" s="159"/>
      <c r="U62" s="159"/>
      <c r="V62" s="159"/>
      <c r="W62" s="178" t="s">
        <v>68</v>
      </c>
      <c r="X62" s="978">
        <f>ROUND(T61/X61,6)</f>
        <v>4.3899999999999999E-4</v>
      </c>
      <c r="Y62" s="978"/>
    </row>
    <row r="63" spans="1:25" ht="19.5" customHeight="1" x14ac:dyDescent="0.25">
      <c r="A63" s="51"/>
      <c r="H63" s="53" t="s">
        <v>68</v>
      </c>
      <c r="I63" s="1004">
        <f>IFERROR(ROUND(E62/I62,6),0)</f>
        <v>4.3899999999999999E-4</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91.06</v>
      </c>
      <c r="U64" s="173" t="s">
        <v>66</v>
      </c>
      <c r="V64" s="976" t="s">
        <v>161</v>
      </c>
      <c r="W64" s="976"/>
      <c r="X64" s="977">
        <f>I65</f>
        <v>178328.44</v>
      </c>
      <c r="Y64" s="977"/>
    </row>
    <row r="65" spans="1:26" ht="49.5" customHeight="1" x14ac:dyDescent="0.25">
      <c r="A65" s="953" t="s">
        <v>73</v>
      </c>
      <c r="B65" s="953"/>
      <c r="C65" s="51"/>
      <c r="D65" s="51"/>
      <c r="E65" s="48">
        <f>E28</f>
        <v>91.06</v>
      </c>
      <c r="F65" s="49" t="s">
        <v>66</v>
      </c>
      <c r="G65" s="1046" t="s">
        <v>78</v>
      </c>
      <c r="H65" s="1046"/>
      <c r="I65" s="1051">
        <f>Consolidated!H$83</f>
        <v>178328.44</v>
      </c>
      <c r="J65" s="1051"/>
      <c r="M65" s="2"/>
      <c r="R65" s="179"/>
      <c r="S65" s="159"/>
      <c r="T65" s="159"/>
      <c r="U65" s="159"/>
      <c r="V65" s="159"/>
      <c r="W65" s="178" t="s">
        <v>68</v>
      </c>
      <c r="X65" s="978">
        <f>ROUND(T64/X64,6)</f>
        <v>5.1099999999999995E-4</v>
      </c>
      <c r="Y65" s="978"/>
    </row>
    <row r="66" spans="1:26" ht="19.5" customHeight="1" x14ac:dyDescent="0.25">
      <c r="A66" s="51"/>
      <c r="H66" s="53" t="s">
        <v>68</v>
      </c>
      <c r="I66" s="1004">
        <f>IFERROR(ROUND(E65/I65,6),0)</f>
        <v>5.1099999999999995E-4</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4.3899999999999999E-4</v>
      </c>
      <c r="Y67" s="215">
        <f>ROUND(V67*X67,2)</f>
        <v>20023</v>
      </c>
    </row>
    <row r="68" spans="1:26" ht="30.75" customHeight="1" x14ac:dyDescent="0.25">
      <c r="A68" s="1005" t="s">
        <v>79</v>
      </c>
      <c r="B68" s="1005"/>
      <c r="C68" s="1005"/>
      <c r="D68" s="1005"/>
      <c r="E68" s="1005"/>
      <c r="F68" s="36" t="s">
        <v>80</v>
      </c>
      <c r="G68" s="221">
        <f>Consolidated!F$86</f>
        <v>45610484</v>
      </c>
      <c r="H68" s="37" t="s">
        <v>81</v>
      </c>
      <c r="I68" s="41">
        <f>I63</f>
        <v>4.3899999999999999E-4</v>
      </c>
      <c r="J68" s="127">
        <f>ROUND(G68*I68,2)</f>
        <v>20023</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4.3800000000000002E-4</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4.3800000000000002E-4</v>
      </c>
      <c r="J70" s="127">
        <f>ROUND(G70*I70,2)</f>
        <v>0</v>
      </c>
      <c r="M70" s="2"/>
      <c r="R70" s="955" t="s">
        <v>163</v>
      </c>
      <c r="S70" s="955"/>
      <c r="T70" s="955"/>
      <c r="U70" s="158"/>
      <c r="V70" s="182">
        <f>G71</f>
        <v>18959906</v>
      </c>
      <c r="W70" s="162" t="s">
        <v>81</v>
      </c>
      <c r="X70" s="165">
        <f>X65</f>
        <v>5.1099999999999995E-4</v>
      </c>
      <c r="Y70" s="212">
        <f t="shared" si="11"/>
        <v>9688.51</v>
      </c>
    </row>
    <row r="71" spans="1:26" ht="19.5" customHeight="1" x14ac:dyDescent="0.25">
      <c r="A71" s="952" t="s">
        <v>85</v>
      </c>
      <c r="B71" s="952"/>
      <c r="C71" s="952"/>
      <c r="D71" s="952"/>
      <c r="E71" s="952"/>
      <c r="F71" s="36" t="s">
        <v>86</v>
      </c>
      <c r="G71" s="221">
        <f>Consolidated!F$91</f>
        <v>18959906</v>
      </c>
      <c r="H71" s="37" t="s">
        <v>81</v>
      </c>
      <c r="I71" s="41">
        <f>I66</f>
        <v>5.1099999999999995E-4</v>
      </c>
      <c r="J71" s="127">
        <f>ROUND(G71*I71,2)</f>
        <v>9688.51</v>
      </c>
      <c r="M71" s="2"/>
      <c r="R71" s="166" t="s">
        <v>164</v>
      </c>
      <c r="S71" s="166"/>
      <c r="T71" s="166"/>
      <c r="U71" s="158"/>
      <c r="V71" s="160">
        <f>G72</f>
        <v>11308391</v>
      </c>
      <c r="W71" s="162" t="s">
        <v>81</v>
      </c>
      <c r="X71" s="165">
        <f>X59</f>
        <v>5.1000000000000004E-4</v>
      </c>
      <c r="Y71" s="212">
        <f t="shared" si="11"/>
        <v>5767.28</v>
      </c>
    </row>
    <row r="72" spans="1:26" ht="19.5" customHeight="1" x14ac:dyDescent="0.25">
      <c r="A72" s="42" t="s">
        <v>87</v>
      </c>
      <c r="B72" s="42"/>
      <c r="C72" s="42"/>
      <c r="D72" s="42"/>
      <c r="E72" s="42"/>
      <c r="F72" s="36" t="s">
        <v>88</v>
      </c>
      <c r="G72" s="221">
        <f>Consolidated!F$93</f>
        <v>11308391</v>
      </c>
      <c r="H72" s="37" t="s">
        <v>81</v>
      </c>
      <c r="I72" s="41">
        <f>I60</f>
        <v>5.1000000000000004E-4</v>
      </c>
      <c r="J72" s="127">
        <f>ROUND(G72*I72,2)</f>
        <v>5767.28</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4.0099999999999999E-4</v>
      </c>
      <c r="J85" s="127">
        <f>ROUND(G85*I85,2)</f>
        <v>107795.33</v>
      </c>
      <c r="K85" s="70"/>
      <c r="L85" s="70"/>
      <c r="M85" s="71"/>
      <c r="N85" s="70"/>
      <c r="O85" s="70"/>
      <c r="P85" s="70"/>
      <c r="Q85" s="70"/>
      <c r="R85" s="955" t="s">
        <v>168</v>
      </c>
      <c r="S85" s="955"/>
      <c r="T85" s="955"/>
      <c r="U85" s="158"/>
      <c r="V85" s="160">
        <f>G85</f>
        <v>268816278</v>
      </c>
      <c r="W85" s="162" t="s">
        <v>81</v>
      </c>
      <c r="X85" s="165">
        <f>X56</f>
        <v>4.1199999999999999E-4</v>
      </c>
      <c r="Y85" s="212">
        <f t="shared" ref="Y85:Y87" si="12">ROUND(V85*X85,2)</f>
        <v>110752.31</v>
      </c>
    </row>
    <row r="86" spans="1:26" ht="14.25" customHeight="1" x14ac:dyDescent="0.25">
      <c r="A86" s="952" t="s">
        <v>104</v>
      </c>
      <c r="B86" s="952"/>
      <c r="C86" s="952"/>
      <c r="D86" s="952"/>
      <c r="E86" s="952"/>
      <c r="F86" s="36" t="s">
        <v>103</v>
      </c>
      <c r="G86" s="128">
        <v>0</v>
      </c>
      <c r="H86" s="37" t="s">
        <v>81</v>
      </c>
      <c r="I86" s="41">
        <f>I57</f>
        <v>4.0099999999999999E-4</v>
      </c>
      <c r="J86" s="127">
        <f>ROUND(G86*I86,2)</f>
        <v>0</v>
      </c>
      <c r="K86" s="70"/>
      <c r="L86" s="71"/>
      <c r="M86" s="76"/>
      <c r="N86" s="76"/>
      <c r="O86" s="76"/>
      <c r="P86" s="76"/>
      <c r="Q86" s="70"/>
      <c r="R86" s="955" t="s">
        <v>169</v>
      </c>
      <c r="S86" s="955"/>
      <c r="T86" s="955"/>
      <c r="U86" s="158"/>
      <c r="V86" s="192">
        <f>G86</f>
        <v>0</v>
      </c>
      <c r="W86" s="162" t="s">
        <v>81</v>
      </c>
      <c r="X86" s="165">
        <f>X56</f>
        <v>4.1199999999999999E-4</v>
      </c>
      <c r="Y86" s="212">
        <f t="shared" si="12"/>
        <v>0</v>
      </c>
    </row>
    <row r="87" spans="1:26" ht="18" customHeight="1" x14ac:dyDescent="0.25">
      <c r="A87" s="952" t="s">
        <v>105</v>
      </c>
      <c r="B87" s="952"/>
      <c r="C87" s="952"/>
      <c r="D87" s="952"/>
      <c r="E87" s="952"/>
      <c r="F87" s="36" t="s">
        <v>84</v>
      </c>
      <c r="G87" s="128">
        <v>0</v>
      </c>
      <c r="H87" s="37" t="s">
        <v>81</v>
      </c>
      <c r="I87" s="41">
        <f>I54</f>
        <v>4.3800000000000002E-4</v>
      </c>
      <c r="J87" s="62">
        <f>ROUND(G87*I87,2)</f>
        <v>0</v>
      </c>
      <c r="K87" s="77"/>
      <c r="L87" s="70"/>
      <c r="M87" s="71"/>
      <c r="N87" s="70"/>
      <c r="O87" s="70"/>
      <c r="P87" s="70"/>
      <c r="Q87" s="70"/>
      <c r="R87" s="166" t="s">
        <v>170</v>
      </c>
      <c r="S87" s="166"/>
      <c r="T87" s="166"/>
      <c r="U87" s="158"/>
      <c r="V87" s="192">
        <f>G87</f>
        <v>0</v>
      </c>
      <c r="W87" s="162" t="s">
        <v>81</v>
      </c>
      <c r="X87" s="165">
        <f>X53</f>
        <v>4.3800000000000002E-4</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130">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2.5</v>
      </c>
      <c r="C91" s="80"/>
      <c r="D91" s="921">
        <f>I6</f>
        <v>1.0355000000000001</v>
      </c>
      <c r="E91" s="921"/>
      <c r="F91" s="921"/>
      <c r="G91" s="113">
        <f>Consolidated!F$119</f>
        <v>915.09</v>
      </c>
      <c r="H91" s="47" t="s">
        <v>68</v>
      </c>
      <c r="I91" s="129">
        <f>ROUND(B91*D91*G91,2)</f>
        <v>2368.94</v>
      </c>
      <c r="K91" s="70"/>
      <c r="L91" s="70"/>
      <c r="M91" s="71"/>
      <c r="N91" s="70"/>
      <c r="O91" s="70"/>
      <c r="P91" s="70"/>
      <c r="Q91" s="70"/>
      <c r="R91" s="195" t="s">
        <v>60</v>
      </c>
      <c r="S91" s="193">
        <f>X14+X15+X19+X22+X25</f>
        <v>2.5</v>
      </c>
      <c r="T91" s="984">
        <f>X6</f>
        <v>1.0355000000000001</v>
      </c>
      <c r="U91" s="984"/>
      <c r="V91" s="113">
        <f>G91</f>
        <v>915.09</v>
      </c>
      <c r="W91" s="171" t="s">
        <v>68</v>
      </c>
      <c r="X91" s="216">
        <f>ROUND(S91*T91*V91,2)</f>
        <v>2368.94</v>
      </c>
      <c r="Y91" s="159"/>
    </row>
    <row r="92" spans="1:26" ht="19.5" customHeight="1" thickBot="1" x14ac:dyDescent="0.3">
      <c r="A92" s="83" t="s">
        <v>61</v>
      </c>
      <c r="B92" s="80">
        <f>I16+I17+I20+I23+I26+I27</f>
        <v>86.080299999999994</v>
      </c>
      <c r="C92" s="80"/>
      <c r="D92" s="921">
        <f>I6</f>
        <v>1.0355000000000001</v>
      </c>
      <c r="E92" s="921"/>
      <c r="F92" s="921"/>
      <c r="G92" s="113">
        <f>Consolidated!F$120</f>
        <v>917.3</v>
      </c>
      <c r="H92" s="47" t="s">
        <v>68</v>
      </c>
      <c r="I92" s="537">
        <f>ROUND(B92*D92*G92,2)</f>
        <v>81764.59</v>
      </c>
      <c r="K92" s="70"/>
      <c r="L92" s="70"/>
      <c r="M92" s="71"/>
      <c r="N92" s="70"/>
      <c r="O92" s="70"/>
      <c r="P92" s="70"/>
      <c r="Q92" s="70"/>
      <c r="R92" s="196" t="s">
        <v>61</v>
      </c>
      <c r="S92" s="197">
        <f>X16+X17+X20+X23+X26+X27</f>
        <v>88.56</v>
      </c>
      <c r="T92" s="984">
        <f>X6</f>
        <v>1.0355000000000001</v>
      </c>
      <c r="U92" s="984"/>
      <c r="V92" s="113">
        <f>G92</f>
        <v>917.3</v>
      </c>
      <c r="W92" s="171" t="s">
        <v>68</v>
      </c>
      <c r="X92" s="216">
        <f>ROUND(S92*T92*V92,2)</f>
        <v>84119.97</v>
      </c>
      <c r="Y92" s="159"/>
    </row>
    <row r="93" spans="1:26" ht="18.75" customHeight="1" thickBot="1" x14ac:dyDescent="0.3">
      <c r="A93" s="84" t="s">
        <v>111</v>
      </c>
      <c r="B93" s="80">
        <f>SUM(B90:B92)</f>
        <v>88.580299999999994</v>
      </c>
      <c r="C93" s="80"/>
      <c r="D93" s="80"/>
      <c r="E93" s="999" t="s">
        <v>112</v>
      </c>
      <c r="F93" s="999"/>
      <c r="G93" s="999"/>
      <c r="H93" s="999"/>
      <c r="I93" s="999"/>
      <c r="J93" s="116">
        <f>IF(A1=75,0,I92+I91+I90)</f>
        <v>84133.53</v>
      </c>
      <c r="K93" s="70"/>
      <c r="L93" s="70"/>
      <c r="M93" s="71"/>
      <c r="N93" s="70"/>
      <c r="O93" s="70"/>
      <c r="P93" s="70"/>
      <c r="Q93" s="70"/>
      <c r="R93" s="198" t="s">
        <v>111</v>
      </c>
      <c r="S93" s="199">
        <f>SUM(S90:S92)</f>
        <v>91.06</v>
      </c>
      <c r="T93" s="985" t="s">
        <v>112</v>
      </c>
      <c r="U93" s="986"/>
      <c r="V93" s="986"/>
      <c r="W93" s="986"/>
      <c r="X93" s="986"/>
      <c r="Y93" s="212">
        <f>IF(R1=75,0,X92+X91+X90)</f>
        <v>86488.91</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33</v>
      </c>
      <c r="U96" s="990"/>
      <c r="V96" s="990"/>
      <c r="W96" s="200" t="s">
        <v>117</v>
      </c>
      <c r="X96" s="201">
        <f>I97</f>
        <v>578</v>
      </c>
      <c r="Y96" s="212">
        <f>ROUND(X96*T96,2)</f>
        <v>19074</v>
      </c>
    </row>
    <row r="97" spans="1:25" ht="17.25" customHeight="1" x14ac:dyDescent="0.25">
      <c r="A97" s="970" t="s">
        <v>116</v>
      </c>
      <c r="B97" s="970"/>
      <c r="C97" s="223">
        <v>46</v>
      </c>
      <c r="D97" s="223">
        <v>20</v>
      </c>
      <c r="E97" s="1044">
        <f>IF(D97&gt;0,(C97+D97)/2,C97)</f>
        <v>33</v>
      </c>
      <c r="F97" s="922"/>
      <c r="G97" s="922"/>
      <c r="H97" s="85" t="s">
        <v>117</v>
      </c>
      <c r="I97" s="119">
        <f>Consolidated!G$127</f>
        <v>578</v>
      </c>
      <c r="J97" s="127">
        <f>ROUND(I97*E97,2)</f>
        <v>19074</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1340071.4500000002</v>
      </c>
      <c r="L107" s="538"/>
      <c r="R107" s="955" t="s">
        <v>125</v>
      </c>
      <c r="S107" s="955"/>
      <c r="T107" s="955"/>
      <c r="U107" s="955"/>
      <c r="V107" s="955"/>
      <c r="W107" s="955"/>
      <c r="X107" s="955"/>
      <c r="Y107" s="208">
        <f>SUM(Y106,Y105,Y97,Y96,Y93,Y86,Y85,Y84,Y70,Y69,Y67,Y33,Y71,Y50,Y87,Y83)</f>
        <v>758390.60000000009</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1302640.9600000002</v>
      </c>
      <c r="R109" s="159" t="s">
        <v>176</v>
      </c>
      <c r="S109" s="159"/>
      <c r="T109" s="159"/>
      <c r="U109" s="159"/>
      <c r="V109" s="159"/>
      <c r="W109" s="159"/>
      <c r="X109" s="159"/>
      <c r="Y109" s="209">
        <f>Y107-Y38</f>
        <v>720960.1100000001</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v>1</v>
      </c>
      <c r="J111" s="126">
        <f>Y109</f>
        <v>720960.1100000001</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232"/>
      <c r="I114" s="233">
        <f>IF(I111=1,J111,J109)</f>
        <v>720960.1100000001</v>
      </c>
      <c r="J114" s="234">
        <f>ROUND(IF(E28=0,0,IF(E28&gt;250,-(((250/E28)*I114)*IF(H114="H",0.02,0.05)),IF(H114="H",-0.02*I114,-0.05*I114))),2)</f>
        <v>-36048.01</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1304023.4400000002</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Payments'!R94</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1304023.4400000002</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108668.62</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447C1-D3C6-4039-AF75-2A49B7B2C1FB}">
  <dimension ref="A1:Z207"/>
  <sheetViews>
    <sheetView topLeftCell="A19" workbookViewId="0">
      <selection activeCell="A19" sqref="A19:B19"/>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514</v>
      </c>
      <c r="B2" s="101"/>
      <c r="C2" s="101"/>
      <c r="D2" s="101"/>
      <c r="E2" s="6"/>
      <c r="F2" s="6"/>
      <c r="G2" s="6"/>
      <c r="H2" s="6"/>
      <c r="I2" s="706" t="str">
        <f>RIGHT(A2,4)</f>
        <v>3401</v>
      </c>
      <c r="J2" s="6"/>
      <c r="K2" s="6"/>
      <c r="L2" s="6"/>
      <c r="M2" s="6"/>
      <c r="N2" s="6"/>
      <c r="O2" s="6"/>
      <c r="P2" s="6"/>
      <c r="Q2" s="6"/>
      <c r="R2" s="927" t="str">
        <f>Revenue_Estimate_Worksheet_for___________Charter_School</f>
        <v>Revenue Estimate Worksheet: Quantum High School - 3401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H</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3.1</v>
      </c>
      <c r="D14" s="392">
        <f>SUMIFS('Surv2-3'!L:L,'Surv2-3'!$H:$H,$I$2,'Surv2-3'!$I:$I,$O14)</f>
        <v>4.0500000000000007</v>
      </c>
      <c r="E14" s="1020">
        <f t="shared" si="0"/>
        <v>7.15</v>
      </c>
      <c r="F14" s="1020"/>
      <c r="G14" s="1026">
        <f>Consolidated!$F16</f>
        <v>1</v>
      </c>
      <c r="H14" s="1026">
        <f>Consolidated!$H$9</f>
        <v>1</v>
      </c>
      <c r="I14" s="539">
        <f t="shared" si="3"/>
        <v>7.15</v>
      </c>
      <c r="J14" s="540">
        <f>ROUND(ROUND(ROUND(I14*$E$6,4)*($I$6),2)*(MAX($I$7,1)),2)</f>
        <v>39777.79</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4</v>
      </c>
      <c r="D15" s="392">
        <f>SUMIFS('Surv2-3'!L:L,'Surv2-3'!$H:$H,$I$2,'Surv2-3'!$I:$I,$O15)</f>
        <v>2.94</v>
      </c>
      <c r="E15" s="1020">
        <f t="shared" si="0"/>
        <v>6.9399999999999995</v>
      </c>
      <c r="F15" s="1020"/>
      <c r="G15" s="1026">
        <f>Consolidated!$F17</f>
        <v>1</v>
      </c>
      <c r="H15" s="1026">
        <f>Consolidated!$H$9</f>
        <v>1</v>
      </c>
      <c r="I15" s="539">
        <f t="shared" si="3"/>
        <v>6.94</v>
      </c>
      <c r="J15" s="540">
        <f t="shared" si="1"/>
        <v>38609.49</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135.99</v>
      </c>
      <c r="D16" s="392">
        <f>SUMIFS('Surv2-3'!M:M,'Surv2-3'!$H:$H,$I$2,'Surv2-3'!$I:$I,$O16)</f>
        <v>142.19</v>
      </c>
      <c r="E16" s="1020">
        <f t="shared" si="0"/>
        <v>278.18</v>
      </c>
      <c r="F16" s="1020"/>
      <c r="G16" s="1026">
        <f>Consolidated!$F18</f>
        <v>0.97199999999999998</v>
      </c>
      <c r="H16" s="1026">
        <f>Consolidated!$H$9</f>
        <v>1</v>
      </c>
      <c r="I16" s="539">
        <f t="shared" si="3"/>
        <v>270.39100000000002</v>
      </c>
      <c r="J16" s="540">
        <f t="shared" si="1"/>
        <v>1504273.63</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36.130000000000003</v>
      </c>
      <c r="D17" s="392">
        <f>SUMIFS('Surv2-3'!M:M,'Surv2-3'!$H:$H,$I$2,'Surv2-3'!$I:$I,$O17)</f>
        <v>37.349999999999994</v>
      </c>
      <c r="E17" s="1020">
        <f t="shared" si="0"/>
        <v>73.47999999999999</v>
      </c>
      <c r="F17" s="1020"/>
      <c r="G17" s="1026">
        <f>Consolidated!$F19</f>
        <v>0.97199999999999998</v>
      </c>
      <c r="H17" s="1026">
        <f>Consolidated!$H$9</f>
        <v>1</v>
      </c>
      <c r="I17" s="539">
        <f t="shared" si="3"/>
        <v>71.422600000000003</v>
      </c>
      <c r="J17" s="540">
        <f t="shared" si="1"/>
        <v>397347.3</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0.4</v>
      </c>
      <c r="D25" s="392">
        <f>SUMIFS('Surv2-3'!L:L,'Surv2-3'!$H:$H,$I$2,'Surv2-3'!$I:$I,$O25)</f>
        <v>0.4</v>
      </c>
      <c r="E25" s="1020">
        <f t="shared" si="0"/>
        <v>0.8</v>
      </c>
      <c r="F25" s="1020"/>
      <c r="G25" s="1026">
        <f>Consolidated!$F27</f>
        <v>1.165</v>
      </c>
      <c r="H25" s="1026">
        <f>Consolidated!$H$9</f>
        <v>1</v>
      </c>
      <c r="I25" s="539">
        <f t="shared" si="3"/>
        <v>0.93200000000000005</v>
      </c>
      <c r="J25" s="540">
        <f t="shared" si="1"/>
        <v>5185.0200000000004</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11.799999999999999</v>
      </c>
      <c r="D26" s="392">
        <f>SUMIFS('Surv2-3'!M:M,'Surv2-3'!$H:$H,$I$2,'Surv2-3'!$I:$I,$O26)</f>
        <v>11.9</v>
      </c>
      <c r="E26" s="1020">
        <f t="shared" ref="E26" si="8">IF($D$28=0,C26*2,C26+D26)</f>
        <v>23.7</v>
      </c>
      <c r="F26" s="1020"/>
      <c r="G26" s="1026">
        <f>Consolidated!$F28</f>
        <v>1.165</v>
      </c>
      <c r="H26" s="1026">
        <f>Consolidated!$H$9</f>
        <v>1</v>
      </c>
      <c r="I26" s="539">
        <f t="shared" si="3"/>
        <v>27.610499999999998</v>
      </c>
      <c r="J26" s="540">
        <f t="shared" si="1"/>
        <v>153606.25</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2</v>
      </c>
      <c r="D27" s="393">
        <f>SUMIFS('Surv2-3'!J:J,'Surv2-3'!$H:$H,$I$2,'Surv2-3'!$I:$I,$O27)</f>
        <v>2.6799999999999997</v>
      </c>
      <c r="E27" s="1022">
        <f t="shared" si="0"/>
        <v>4.68</v>
      </c>
      <c r="F27" s="1022"/>
      <c r="G27" s="1023">
        <f>Consolidated!$F29</f>
        <v>1.081</v>
      </c>
      <c r="H27" s="1023">
        <f>Consolidated!$H$9</f>
        <v>1</v>
      </c>
      <c r="I27" s="22">
        <f t="shared" si="3"/>
        <v>5.0590999999999999</v>
      </c>
      <c r="J27" s="116">
        <f t="shared" si="1"/>
        <v>28145.43</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193.42000000000002</v>
      </c>
      <c r="D28" s="822">
        <f>SUM(D12:D27)</f>
        <v>201.51000000000002</v>
      </c>
      <c r="E28" s="1025">
        <f>SUM(E12:E27)</f>
        <v>394.93</v>
      </c>
      <c r="F28" s="1025"/>
      <c r="G28" s="1020"/>
      <c r="H28" s="1020"/>
      <c r="I28" s="23">
        <f>SUM(I12:I27)</f>
        <v>389.5052</v>
      </c>
      <c r="J28" s="116">
        <f>SUM(J12:J27)</f>
        <v>2166944.91</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389.5052</v>
      </c>
      <c r="H33" s="1020" t="s">
        <v>45</v>
      </c>
      <c r="I33" s="1020"/>
      <c r="J33" s="32">
        <f>SUM(J32,J28)</f>
        <v>2166944.91</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2328441.0699999998</v>
      </c>
      <c r="H36" s="37" t="s">
        <v>49</v>
      </c>
      <c r="I36" s="38">
        <v>6.6699999999999995E-2</v>
      </c>
      <c r="J36" s="120">
        <f>ROUND(G36*I36,2)</f>
        <v>155307.01999999999</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2328441.0699999998</v>
      </c>
      <c r="H37" s="37" t="s">
        <v>49</v>
      </c>
      <c r="I37" s="38">
        <v>5.4000000000000003E-3</v>
      </c>
      <c r="J37" s="120">
        <f>ROUND(G37*I37,2)</f>
        <v>12573.58</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167880.59999999998</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9">IF($D$50=0,C41*2,C41+D41)</f>
        <v>0</v>
      </c>
      <c r="F41" s="1013"/>
      <c r="G41" s="37" t="s">
        <v>59</v>
      </c>
      <c r="H41" s="37">
        <v>251</v>
      </c>
      <c r="I41" s="125">
        <f>Consolidated!$H59</f>
        <v>1047</v>
      </c>
      <c r="J41" s="537">
        <f t="shared" ref="J41:J49" si="10">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9"/>
        <v>0</v>
      </c>
      <c r="F42" s="1013"/>
      <c r="G42" s="37" t="s">
        <v>59</v>
      </c>
      <c r="H42" s="37">
        <v>252</v>
      </c>
      <c r="I42" s="125">
        <f>Consolidated!$H60</f>
        <v>3380</v>
      </c>
      <c r="J42" s="537">
        <f t="shared" si="10"/>
        <v>0</v>
      </c>
      <c r="M42" s="2"/>
      <c r="R42" s="958"/>
      <c r="S42" s="958"/>
      <c r="T42" s="959"/>
      <c r="U42" s="959"/>
      <c r="V42" s="162" t="s">
        <v>59</v>
      </c>
      <c r="W42" s="162">
        <v>252</v>
      </c>
      <c r="X42" s="123">
        <f>Consolidated!$H60</f>
        <v>3380</v>
      </c>
      <c r="Y42" s="213">
        <f t="shared" ref="Y42:Y49" si="11">ROUND(T42*X42,2)</f>
        <v>0</v>
      </c>
    </row>
    <row r="43" spans="1:25" x14ac:dyDescent="0.25">
      <c r="A43" s="1019"/>
      <c r="B43" s="1019"/>
      <c r="C43" s="824">
        <f>SUMIFS('Surv2-3'!D:D,'Surv2-3'!$A:$A,$I$2,'Surv2-3'!$B:$B,$H43-140)</f>
        <v>0</v>
      </c>
      <c r="D43" s="824">
        <f>SUMIFS('Surv2-3'!K:K,'Surv2-3'!$H:$H,$I$2,'Surv2-3'!$I:$I,$H43-140)</f>
        <v>0</v>
      </c>
      <c r="E43" s="1013">
        <f t="shared" si="9"/>
        <v>0</v>
      </c>
      <c r="F43" s="1013"/>
      <c r="G43" s="37" t="s">
        <v>59</v>
      </c>
      <c r="H43" s="37">
        <v>253</v>
      </c>
      <c r="I43" s="125">
        <f>Consolidated!$H61</f>
        <v>6896</v>
      </c>
      <c r="J43" s="537">
        <f t="shared" si="10"/>
        <v>0</v>
      </c>
      <c r="M43" s="2"/>
      <c r="R43" s="958"/>
      <c r="S43" s="958"/>
      <c r="T43" s="960"/>
      <c r="U43" s="960"/>
      <c r="V43" s="162" t="s">
        <v>59</v>
      </c>
      <c r="W43" s="162">
        <v>253</v>
      </c>
      <c r="X43" s="123">
        <f>Consolidated!$H61</f>
        <v>6896</v>
      </c>
      <c r="Y43" s="213">
        <f t="shared" si="11"/>
        <v>0</v>
      </c>
    </row>
    <row r="44" spans="1:25" x14ac:dyDescent="0.25">
      <c r="A44" s="1019"/>
      <c r="B44" s="1019"/>
      <c r="C44" s="824">
        <f>SUMIFS('Surv2-3'!E:E,'Surv2-3'!$A:$A,$I$2,'Surv2-3'!$B:$B,$H44-140)</f>
        <v>0</v>
      </c>
      <c r="D44" s="824">
        <f>SUMIFS('Surv2-3'!L:L,'Surv2-3'!$H:$H,$I$2,'Surv2-3'!$I:$I,$H44-140)</f>
        <v>0</v>
      </c>
      <c r="E44" s="1013">
        <f t="shared" si="9"/>
        <v>0</v>
      </c>
      <c r="F44" s="1013"/>
      <c r="G44" s="47" t="s">
        <v>60</v>
      </c>
      <c r="H44" s="37">
        <v>251</v>
      </c>
      <c r="I44" s="125">
        <f>Consolidated!$H62</f>
        <v>1173</v>
      </c>
      <c r="J44" s="537">
        <f t="shared" si="10"/>
        <v>0</v>
      </c>
      <c r="L44" s="3"/>
      <c r="M44" s="2"/>
      <c r="Q44" s="4"/>
      <c r="R44" s="958"/>
      <c r="S44" s="958"/>
      <c r="T44" s="960"/>
      <c r="U44" s="960"/>
      <c r="V44" s="171" t="s">
        <v>60</v>
      </c>
      <c r="W44" s="162">
        <v>251</v>
      </c>
      <c r="X44" s="123">
        <f>Consolidated!$H62</f>
        <v>1173</v>
      </c>
      <c r="Y44" s="213">
        <f t="shared" si="11"/>
        <v>0</v>
      </c>
    </row>
    <row r="45" spans="1:25" x14ac:dyDescent="0.25">
      <c r="A45" s="1019"/>
      <c r="B45" s="1019"/>
      <c r="C45" s="824">
        <f>SUMIFS('Surv2-3'!E:E,'Surv2-3'!$A:$A,$I$2,'Surv2-3'!$B:$B,$H45-140)</f>
        <v>4</v>
      </c>
      <c r="D45" s="824">
        <f>SUMIFS('Surv2-3'!L:L,'Surv2-3'!$H:$H,$I$2,'Surv2-3'!$I:$I,$H45-140)</f>
        <v>2.94</v>
      </c>
      <c r="E45" s="1013">
        <f t="shared" si="9"/>
        <v>6.9399999999999995</v>
      </c>
      <c r="F45" s="1013"/>
      <c r="G45" s="47" t="s">
        <v>60</v>
      </c>
      <c r="H45" s="37">
        <v>252</v>
      </c>
      <c r="I45" s="125">
        <f>Consolidated!$H63</f>
        <v>3506</v>
      </c>
      <c r="J45" s="537">
        <f t="shared" si="10"/>
        <v>24331.64</v>
      </c>
      <c r="M45" s="2"/>
      <c r="R45" s="958"/>
      <c r="S45" s="958"/>
      <c r="T45" s="960"/>
      <c r="U45" s="960"/>
      <c r="V45" s="171" t="s">
        <v>60</v>
      </c>
      <c r="W45" s="162">
        <v>252</v>
      </c>
      <c r="X45" s="123">
        <f>Consolidated!$H63</f>
        <v>3506</v>
      </c>
      <c r="Y45" s="213">
        <f t="shared" si="11"/>
        <v>0</v>
      </c>
    </row>
    <row r="46" spans="1:25" x14ac:dyDescent="0.25">
      <c r="A46" s="1019"/>
      <c r="B46" s="1019"/>
      <c r="C46" s="824">
        <f>SUMIFS('Surv2-3'!E:E,'Surv2-3'!$A:$A,$I$2,'Surv2-3'!$B:$B,$H46-140)</f>
        <v>0</v>
      </c>
      <c r="D46" s="824">
        <f>SUMIFS('Surv2-3'!L:L,'Surv2-3'!$H:$H,$I$2,'Surv2-3'!$I:$I,$H46-140)</f>
        <v>0</v>
      </c>
      <c r="E46" s="1013">
        <f t="shared" si="9"/>
        <v>0</v>
      </c>
      <c r="F46" s="1013"/>
      <c r="G46" s="47" t="s">
        <v>60</v>
      </c>
      <c r="H46" s="37">
        <v>253</v>
      </c>
      <c r="I46" s="125">
        <f>Consolidated!$H64</f>
        <v>7023</v>
      </c>
      <c r="J46" s="537">
        <f t="shared" si="10"/>
        <v>0</v>
      </c>
      <c r="M46" s="2"/>
      <c r="R46" s="958"/>
      <c r="S46" s="958"/>
      <c r="T46" s="960"/>
      <c r="U46" s="960"/>
      <c r="V46" s="171" t="s">
        <v>60</v>
      </c>
      <c r="W46" s="162">
        <v>253</v>
      </c>
      <c r="X46" s="123">
        <f>Consolidated!$H64</f>
        <v>7023</v>
      </c>
      <c r="Y46" s="213">
        <f t="shared" si="11"/>
        <v>0</v>
      </c>
    </row>
    <row r="47" spans="1:25" ht="16.5" customHeight="1" x14ac:dyDescent="0.25">
      <c r="A47" s="1019"/>
      <c r="B47" s="1019"/>
      <c r="C47" s="824">
        <f>SUMIFS('Surv2-3'!F:F,'Surv2-3'!$A:$A,$I$2,'Surv2-3'!$B:$B,$H47-140)</f>
        <v>0</v>
      </c>
      <c r="D47" s="824">
        <f>SUMIFS('Surv2-3'!M:M,'Surv2-3'!$H:$H,$I$2,'Surv2-3'!$I:$I,$H47-140)</f>
        <v>0</v>
      </c>
      <c r="E47" s="1013">
        <f t="shared" si="9"/>
        <v>0</v>
      </c>
      <c r="F47" s="1013"/>
      <c r="G47" s="47" t="s">
        <v>61</v>
      </c>
      <c r="H47" s="37">
        <v>251</v>
      </c>
      <c r="I47" s="125">
        <f>Consolidated!$H65</f>
        <v>835</v>
      </c>
      <c r="J47" s="537">
        <f t="shared" si="10"/>
        <v>0</v>
      </c>
      <c r="M47" s="2"/>
      <c r="R47" s="958"/>
      <c r="S47" s="958"/>
      <c r="T47" s="960"/>
      <c r="U47" s="960"/>
      <c r="V47" s="171" t="s">
        <v>61</v>
      </c>
      <c r="W47" s="162">
        <v>251</v>
      </c>
      <c r="X47" s="123">
        <f>Consolidated!$H65</f>
        <v>835</v>
      </c>
      <c r="Y47" s="213">
        <f t="shared" si="11"/>
        <v>0</v>
      </c>
    </row>
    <row r="48" spans="1:25" ht="15.75" customHeight="1" x14ac:dyDescent="0.25">
      <c r="A48" s="1019"/>
      <c r="B48" s="1019"/>
      <c r="C48" s="824">
        <f>SUMIFS('Surv2-3'!F:F,'Surv2-3'!$A:$A,$I$2,'Surv2-3'!$B:$B,$H48-140)</f>
        <v>0</v>
      </c>
      <c r="D48" s="824">
        <f>SUMIFS('Surv2-3'!M:M,'Surv2-3'!$H:$H,$I$2,'Surv2-3'!$I:$I,$H48-140)</f>
        <v>0</v>
      </c>
      <c r="E48" s="1013">
        <f t="shared" si="9"/>
        <v>0</v>
      </c>
      <c r="F48" s="1013"/>
      <c r="G48" s="47" t="s">
        <v>61</v>
      </c>
      <c r="H48" s="37">
        <v>252</v>
      </c>
      <c r="I48" s="125">
        <f>Consolidated!$H66</f>
        <v>3168</v>
      </c>
      <c r="J48" s="537">
        <f t="shared" si="10"/>
        <v>0</v>
      </c>
      <c r="M48" s="2"/>
      <c r="R48" s="958"/>
      <c r="S48" s="958"/>
      <c r="T48" s="960"/>
      <c r="U48" s="960"/>
      <c r="V48" s="171" t="s">
        <v>61</v>
      </c>
      <c r="W48" s="162">
        <v>252</v>
      </c>
      <c r="X48" s="123">
        <f>Consolidated!$H66</f>
        <v>3168</v>
      </c>
      <c r="Y48" s="213">
        <f t="shared" si="11"/>
        <v>0</v>
      </c>
    </row>
    <row r="49" spans="1:25" ht="15.75" customHeight="1" thickBot="1" x14ac:dyDescent="0.3">
      <c r="A49" s="1019"/>
      <c r="B49" s="1019"/>
      <c r="C49" s="824">
        <f>SUMIFS('Surv2-3'!F:F,'Surv2-3'!$A:$A,$I$2,'Surv2-3'!$B:$B,$H49-140)</f>
        <v>36.130000000000003</v>
      </c>
      <c r="D49" s="824">
        <f>SUMIFS('Surv2-3'!M:M,'Surv2-3'!$H:$H,$I$2,'Surv2-3'!$I:$I,$H49-140)</f>
        <v>37.349999999999994</v>
      </c>
      <c r="E49" s="1014">
        <f t="shared" si="9"/>
        <v>73.47999999999999</v>
      </c>
      <c r="F49" s="1014"/>
      <c r="G49" s="47" t="s">
        <v>61</v>
      </c>
      <c r="H49" s="37">
        <v>253</v>
      </c>
      <c r="I49" s="125">
        <f>Consolidated!$H67</f>
        <v>6685</v>
      </c>
      <c r="J49" s="537">
        <f t="shared" si="10"/>
        <v>491213.8</v>
      </c>
      <c r="M49" s="2"/>
      <c r="R49" s="958"/>
      <c r="S49" s="958"/>
      <c r="T49" s="971"/>
      <c r="U49" s="971"/>
      <c r="V49" s="171" t="s">
        <v>61</v>
      </c>
      <c r="W49" s="162">
        <v>253</v>
      </c>
      <c r="X49" s="123">
        <f>Consolidated!$H67</f>
        <v>6685</v>
      </c>
      <c r="Y49" s="213">
        <f t="shared" si="11"/>
        <v>0</v>
      </c>
    </row>
    <row r="50" spans="1:25" ht="15.75" customHeight="1" thickBot="1" x14ac:dyDescent="0.3">
      <c r="A50" s="970" t="s">
        <v>62</v>
      </c>
      <c r="B50" s="970"/>
      <c r="C50" s="825">
        <f>SUM(C41:C49)</f>
        <v>40.130000000000003</v>
      </c>
      <c r="D50" s="825">
        <f>SUM(D41:D49)</f>
        <v>40.289999999999992</v>
      </c>
      <c r="E50" s="1015">
        <f>SUM(E41:E49)</f>
        <v>80.419999999999987</v>
      </c>
      <c r="F50" s="1015"/>
      <c r="G50" s="970" t="s">
        <v>63</v>
      </c>
      <c r="H50" s="970"/>
      <c r="I50" s="970"/>
      <c r="J50" s="220">
        <f>SUM(J41:J49)</f>
        <v>515545.44</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394.93</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1.9009999999999999E-3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389.5052</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1.761E-3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394.93</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2.2100000000000002E-3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394.93</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1.9040000000000001E-3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394.93</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2.215E-3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1.9040000000000001E-3</v>
      </c>
      <c r="J68" s="127">
        <f>ROUND(G68*I68,2)</f>
        <v>86842.36</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2">ROUND(V69*X69,2)</f>
        <v>0</v>
      </c>
    </row>
    <row r="70" spans="1:26" ht="17.25" customHeight="1" x14ac:dyDescent="0.25">
      <c r="A70" s="1007" t="s">
        <v>83</v>
      </c>
      <c r="B70" s="1007"/>
      <c r="C70" s="1007"/>
      <c r="D70" s="1007"/>
      <c r="E70" s="1007"/>
      <c r="F70" s="36" t="s">
        <v>84</v>
      </c>
      <c r="G70" s="221">
        <f>Consolidated!F$89</f>
        <v>0</v>
      </c>
      <c r="H70" s="37" t="s">
        <v>81</v>
      </c>
      <c r="I70" s="41">
        <f>I54</f>
        <v>1.9009999999999999E-3</v>
      </c>
      <c r="J70" s="127">
        <f>ROUND(G70*I70,2)</f>
        <v>0</v>
      </c>
      <c r="M70" s="2"/>
      <c r="R70" s="955" t="s">
        <v>163</v>
      </c>
      <c r="S70" s="955"/>
      <c r="T70" s="955"/>
      <c r="U70" s="158"/>
      <c r="V70" s="182">
        <f>G71</f>
        <v>18959906</v>
      </c>
      <c r="W70" s="162" t="s">
        <v>81</v>
      </c>
      <c r="X70" s="165">
        <f>X65</f>
        <v>0</v>
      </c>
      <c r="Y70" s="212">
        <f t="shared" si="12"/>
        <v>0</v>
      </c>
    </row>
    <row r="71" spans="1:26" ht="19.5" customHeight="1" x14ac:dyDescent="0.25">
      <c r="A71" s="952" t="s">
        <v>85</v>
      </c>
      <c r="B71" s="952"/>
      <c r="C71" s="952"/>
      <c r="D71" s="952"/>
      <c r="E71" s="952"/>
      <c r="F71" s="36" t="s">
        <v>86</v>
      </c>
      <c r="G71" s="221">
        <f>Consolidated!F$91</f>
        <v>18959906</v>
      </c>
      <c r="H71" s="37" t="s">
        <v>81</v>
      </c>
      <c r="I71" s="41">
        <f>I66</f>
        <v>2.215E-3</v>
      </c>
      <c r="J71" s="127">
        <f>ROUND(G71*I71,2)</f>
        <v>41996.19</v>
      </c>
      <c r="M71" s="2"/>
      <c r="R71" s="166" t="s">
        <v>164</v>
      </c>
      <c r="S71" s="166"/>
      <c r="T71" s="166"/>
      <c r="U71" s="158"/>
      <c r="V71" s="160">
        <f>G72</f>
        <v>11308391</v>
      </c>
      <c r="W71" s="162" t="s">
        <v>81</v>
      </c>
      <c r="X71" s="165">
        <f>X59</f>
        <v>0</v>
      </c>
      <c r="Y71" s="212">
        <f t="shared" si="12"/>
        <v>0</v>
      </c>
    </row>
    <row r="72" spans="1:26" ht="19.5" customHeight="1" x14ac:dyDescent="0.25">
      <c r="A72" s="42" t="s">
        <v>87</v>
      </c>
      <c r="B72" s="42"/>
      <c r="C72" s="42"/>
      <c r="D72" s="42"/>
      <c r="E72" s="42"/>
      <c r="F72" s="36" t="s">
        <v>88</v>
      </c>
      <c r="G72" s="221">
        <f>Consolidated!F$93</f>
        <v>11308391</v>
      </c>
      <c r="H72" s="37" t="s">
        <v>81</v>
      </c>
      <c r="I72" s="41">
        <f>I60</f>
        <v>2.2100000000000002E-3</v>
      </c>
      <c r="J72" s="127">
        <f>ROUND(G72*I72,2)</f>
        <v>24991.54</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v>4.25</v>
      </c>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4.25</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20" t="s">
        <v>101</v>
      </c>
      <c r="B84" s="920"/>
      <c r="C84" s="920"/>
      <c r="D84" s="52"/>
      <c r="G84" s="112">
        <f>Consolidated!F$106</f>
        <v>58502790</v>
      </c>
      <c r="H84" s="37" t="s">
        <v>81</v>
      </c>
      <c r="I84" s="41">
        <f>IFERROR(ROUND(J81/J82,6),0)</f>
        <v>3.2899999999999997E-4</v>
      </c>
      <c r="J84" s="674">
        <f>ROUND(G84*I84,2)</f>
        <v>19247.419999999998</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1.761E-3</v>
      </c>
      <c r="J85" s="674">
        <f>ROUND(G85*I85,2)</f>
        <v>473385.47</v>
      </c>
      <c r="K85" s="70"/>
      <c r="L85" s="70"/>
      <c r="M85" s="71"/>
      <c r="N85" s="70"/>
      <c r="O85" s="70"/>
      <c r="P85" s="70"/>
      <c r="Q85" s="70"/>
      <c r="R85" s="955" t="s">
        <v>168</v>
      </c>
      <c r="S85" s="955"/>
      <c r="T85" s="955"/>
      <c r="U85" s="158"/>
      <c r="V85" s="160">
        <f>G85</f>
        <v>268816278</v>
      </c>
      <c r="W85" s="162" t="s">
        <v>81</v>
      </c>
      <c r="X85" s="165">
        <f>X56</f>
        <v>0</v>
      </c>
      <c r="Y85" s="212">
        <f t="shared" ref="Y85:Y87" si="13">ROUND(V85*X85,2)</f>
        <v>0</v>
      </c>
    </row>
    <row r="86" spans="1:26" ht="14.25" customHeight="1" x14ac:dyDescent="0.25">
      <c r="A86" s="952" t="s">
        <v>104</v>
      </c>
      <c r="B86" s="952"/>
      <c r="C86" s="952"/>
      <c r="D86" s="952"/>
      <c r="E86" s="952"/>
      <c r="F86" s="36" t="s">
        <v>103</v>
      </c>
      <c r="G86" s="128">
        <v>0</v>
      </c>
      <c r="H86" s="37" t="s">
        <v>81</v>
      </c>
      <c r="I86" s="41">
        <f>I57</f>
        <v>1.761E-3</v>
      </c>
      <c r="J86" s="674">
        <f>ROUND(G86*I86,2)</f>
        <v>0</v>
      </c>
      <c r="K86" s="70"/>
      <c r="L86" s="71"/>
      <c r="M86" s="76"/>
      <c r="N86" s="76"/>
      <c r="O86" s="76"/>
      <c r="P86" s="76"/>
      <c r="Q86" s="70"/>
      <c r="R86" s="955" t="s">
        <v>169</v>
      </c>
      <c r="S86" s="955"/>
      <c r="T86" s="955"/>
      <c r="U86" s="158"/>
      <c r="V86" s="192">
        <f>G86</f>
        <v>0</v>
      </c>
      <c r="W86" s="162" t="s">
        <v>81</v>
      </c>
      <c r="X86" s="165">
        <f>X56</f>
        <v>0</v>
      </c>
      <c r="Y86" s="212">
        <f t="shared" si="13"/>
        <v>0</v>
      </c>
    </row>
    <row r="87" spans="1:26" ht="18" customHeight="1" x14ac:dyDescent="0.25">
      <c r="A87" s="952" t="s">
        <v>105</v>
      </c>
      <c r="B87" s="952"/>
      <c r="C87" s="952"/>
      <c r="D87" s="952"/>
      <c r="E87" s="952"/>
      <c r="F87" s="36" t="s">
        <v>84</v>
      </c>
      <c r="G87" s="128">
        <v>0</v>
      </c>
      <c r="H87" s="37" t="s">
        <v>81</v>
      </c>
      <c r="I87" s="41">
        <f>I54</f>
        <v>1.9009999999999999E-3</v>
      </c>
      <c r="J87" s="674">
        <f>ROUND(G87*I87,2)</f>
        <v>0</v>
      </c>
      <c r="K87" s="77"/>
      <c r="L87" s="70"/>
      <c r="M87" s="71"/>
      <c r="N87" s="70"/>
      <c r="O87" s="70"/>
      <c r="P87" s="70"/>
      <c r="Q87" s="70"/>
      <c r="R87" s="166" t="s">
        <v>170</v>
      </c>
      <c r="S87" s="166"/>
      <c r="T87" s="166"/>
      <c r="U87" s="158"/>
      <c r="V87" s="192">
        <f>G87</f>
        <v>0</v>
      </c>
      <c r="W87" s="162" t="s">
        <v>81</v>
      </c>
      <c r="X87" s="165">
        <f>X53</f>
        <v>0</v>
      </c>
      <c r="Y87" s="212">
        <f t="shared" si="13"/>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537">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15.022</v>
      </c>
      <c r="C91" s="80"/>
      <c r="D91" s="921">
        <f>I6</f>
        <v>1.0355000000000001</v>
      </c>
      <c r="E91" s="921"/>
      <c r="F91" s="921"/>
      <c r="G91" s="113">
        <f>Consolidated!F$119</f>
        <v>915.09</v>
      </c>
      <c r="H91" s="47" t="s">
        <v>68</v>
      </c>
      <c r="I91" s="537">
        <f>ROUND(B91*D91*G91,2)</f>
        <v>14234.48</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374.48320000000001</v>
      </c>
      <c r="C92" s="80"/>
      <c r="D92" s="921">
        <f>I6</f>
        <v>1.0355000000000001</v>
      </c>
      <c r="E92" s="921"/>
      <c r="F92" s="921"/>
      <c r="G92" s="113">
        <f>Consolidated!F$120</f>
        <v>917.3</v>
      </c>
      <c r="H92" s="47" t="s">
        <v>68</v>
      </c>
      <c r="I92" s="537">
        <f>ROUND(B92*D92*G92,2)</f>
        <v>355708.17</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389.5052</v>
      </c>
      <c r="C93" s="80"/>
      <c r="D93" s="80"/>
      <c r="E93" s="999" t="s">
        <v>112</v>
      </c>
      <c r="F93" s="999"/>
      <c r="G93" s="999"/>
      <c r="H93" s="999"/>
      <c r="I93" s="999"/>
      <c r="J93" s="116">
        <f>IF(A1=75,0,I92+I91+I90)</f>
        <v>369942.64999999997</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240</v>
      </c>
      <c r="D97" s="223">
        <v>143</v>
      </c>
      <c r="E97" s="1044">
        <f>IF(D97&gt;0,(C97+D97)/2,C97)</f>
        <v>191.5</v>
      </c>
      <c r="F97" s="922"/>
      <c r="G97" s="922"/>
      <c r="H97" s="85" t="s">
        <v>117</v>
      </c>
      <c r="I97" s="119">
        <f>Consolidated!G$127</f>
        <v>578</v>
      </c>
      <c r="J97" s="127">
        <f>ROUND(I97*E97,2)</f>
        <v>110687</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3809582.98</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3641702.38</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232"/>
      <c r="I114" s="233">
        <f>IF(I111=1,J111,J109)</f>
        <v>3641702.38</v>
      </c>
      <c r="J114" s="234">
        <f>ROUND(IF(E28=0,0,IF(E28&gt;250,-(((250/E28)*I114)*IF(H114="H",0.02,0.05)),IF(H114="H",-0.02*I114,-0.05*I114))),2)</f>
        <v>-115264.17</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3694318.81</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Payments'!R95</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3694318.81</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307859.90000000002</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ROUND(IF(H114="H",(I114*0.02)+J114,(I114*0.05)+J114),2)</f>
        <v>66820.95</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2C8BF-EA8A-4C5D-89D0-AC1F2BF608C9}">
  <dimension ref="A1:Z207"/>
  <sheetViews>
    <sheetView topLeftCell="A39" workbookViewId="0">
      <selection activeCell="C39" sqref="C39"/>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515</v>
      </c>
      <c r="B2" s="101"/>
      <c r="C2" s="101"/>
      <c r="D2" s="101"/>
      <c r="E2" s="6"/>
      <c r="F2" s="6"/>
      <c r="G2" s="6"/>
      <c r="H2" s="6"/>
      <c r="I2" s="706" t="str">
        <f>RIGHT(A2,4)</f>
        <v>3413</v>
      </c>
      <c r="J2" s="6"/>
      <c r="K2" s="6"/>
      <c r="L2" s="6"/>
      <c r="M2" s="6"/>
      <c r="N2" s="6"/>
      <c r="O2" s="6"/>
      <c r="P2" s="6"/>
      <c r="Q2" s="6"/>
      <c r="R2" s="927" t="str">
        <f>Revenue_Estimate_Worksheet_for___________Charter_School</f>
        <v>Revenue Estimate Worksheet: Somerset Academy Boca East - 3413</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E</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96.41</v>
      </c>
      <c r="D12" s="738">
        <f>SUMIFS('Surv2-3'!K:K,'Surv2-3'!$H:$H,$I$2,'Surv2-3'!$I:$I,$O12)</f>
        <v>91.51</v>
      </c>
      <c r="E12" s="1021">
        <f t="shared" ref="E12:E27" si="0">IF($D$28=0,C12*2,C12+D12)</f>
        <v>187.92000000000002</v>
      </c>
      <c r="F12" s="1021"/>
      <c r="G12" s="1037">
        <f>Consolidated!$F14</f>
        <v>1.1080000000000001</v>
      </c>
      <c r="H12" s="1037">
        <f>Consolidated!$H$9</f>
        <v>1</v>
      </c>
      <c r="I12" s="539">
        <f>ROUND(E12*G12,4)</f>
        <v>208.21539999999999</v>
      </c>
      <c r="J12" s="540">
        <f t="shared" ref="J12:J27" si="1">ROUND(ROUND(ROUND(I12*$E$6,4)*($I$6),2)*(MAX($I$7,1)),2)</f>
        <v>1158370.42</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22.5</v>
      </c>
      <c r="D13" s="392">
        <f>SUMIFS('Surv2-3'!K:K,'Surv2-3'!$H:$H,$I$2,'Surv2-3'!$I:$I,$O13)</f>
        <v>27</v>
      </c>
      <c r="E13" s="1020">
        <f t="shared" si="0"/>
        <v>49.5</v>
      </c>
      <c r="F13" s="1020"/>
      <c r="G13" s="1026">
        <f>Consolidated!$F15</f>
        <v>1.1080000000000001</v>
      </c>
      <c r="H13" s="1026">
        <f>Consolidated!$H$9</f>
        <v>1</v>
      </c>
      <c r="I13" s="539">
        <f t="shared" ref="I13:I27" si="3">ROUND(E13*G13,4)</f>
        <v>54.845999999999997</v>
      </c>
      <c r="J13" s="540">
        <f t="shared" si="1"/>
        <v>305126.25</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44.739999999999995</v>
      </c>
      <c r="D14" s="392">
        <f>SUMIFS('Surv2-3'!L:L,'Surv2-3'!$H:$H,$I$2,'Surv2-3'!$I:$I,$O14)</f>
        <v>44.97</v>
      </c>
      <c r="E14" s="1020">
        <f t="shared" si="0"/>
        <v>89.71</v>
      </c>
      <c r="F14" s="1020"/>
      <c r="G14" s="1026">
        <f>Consolidated!$F16</f>
        <v>1</v>
      </c>
      <c r="H14" s="1026">
        <f>Consolidated!$H$9</f>
        <v>1</v>
      </c>
      <c r="I14" s="539">
        <f t="shared" si="3"/>
        <v>89.71</v>
      </c>
      <c r="J14" s="540">
        <f>ROUND(ROUND(ROUND(I14*$E$6,4)*($I$6),2)*(MAX($I$7,1)),2)</f>
        <v>499086.09</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18</v>
      </c>
      <c r="D15" s="392">
        <f>SUMIFS('Surv2-3'!L:L,'Surv2-3'!$H:$H,$I$2,'Surv2-3'!$I:$I,$O15)</f>
        <v>18</v>
      </c>
      <c r="E15" s="1020">
        <f t="shared" si="0"/>
        <v>36</v>
      </c>
      <c r="F15" s="1020"/>
      <c r="G15" s="1026">
        <f>Consolidated!$F17</f>
        <v>1</v>
      </c>
      <c r="H15" s="1026">
        <f>Consolidated!$H$9</f>
        <v>1</v>
      </c>
      <c r="I15" s="539">
        <f t="shared" si="3"/>
        <v>36</v>
      </c>
      <c r="J15" s="540">
        <f t="shared" si="1"/>
        <v>200279.78</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12.090000000000002</v>
      </c>
      <c r="D24" s="392">
        <f>SUMIFS('Surv2-3'!K:K,'Surv2-3'!$H:$H,$I$2,'Surv2-3'!$I:$I,$O24)</f>
        <v>12.5</v>
      </c>
      <c r="E24" s="1020">
        <f t="shared" si="0"/>
        <v>24.590000000000003</v>
      </c>
      <c r="F24" s="1020"/>
      <c r="G24" s="1026">
        <f>Consolidated!$F26</f>
        <v>1.165</v>
      </c>
      <c r="H24" s="1026">
        <f>Consolidated!$H$9</f>
        <v>1</v>
      </c>
      <c r="I24" s="539">
        <f t="shared" si="3"/>
        <v>28.647400000000001</v>
      </c>
      <c r="J24" s="540">
        <f t="shared" si="1"/>
        <v>159374.85999999999</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2.02</v>
      </c>
      <c r="D25" s="392">
        <f>SUMIFS('Surv2-3'!L:L,'Surv2-3'!$H:$H,$I$2,'Surv2-3'!$I:$I,$O25)</f>
        <v>2.02</v>
      </c>
      <c r="E25" s="1020">
        <f t="shared" si="0"/>
        <v>4.04</v>
      </c>
      <c r="F25" s="1020"/>
      <c r="G25" s="1026">
        <f>Consolidated!$F27</f>
        <v>1.165</v>
      </c>
      <c r="H25" s="1026">
        <f>Consolidated!$H$9</f>
        <v>1</v>
      </c>
      <c r="I25" s="539">
        <f t="shared" si="3"/>
        <v>4.7065999999999999</v>
      </c>
      <c r="J25" s="540">
        <f t="shared" si="1"/>
        <v>26184.36</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195.76</v>
      </c>
      <c r="D28" s="822">
        <f>SUM(D12:D27)</f>
        <v>196.00000000000003</v>
      </c>
      <c r="E28" s="1025">
        <f>SUM(E12:E27)</f>
        <v>391.76000000000005</v>
      </c>
      <c r="F28" s="1025"/>
      <c r="G28" s="1020"/>
      <c r="H28" s="1020"/>
      <c r="I28" s="23">
        <f>SUM(I12:I27)</f>
        <v>422.12539999999996</v>
      </c>
      <c r="J28" s="116">
        <f>SUM(J12:J27)</f>
        <v>2348421.7599999998</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422.12539999999996</v>
      </c>
      <c r="H33" s="1020" t="s">
        <v>45</v>
      </c>
      <c r="I33" s="1020"/>
      <c r="J33" s="32">
        <f>SUM(J32,J28)</f>
        <v>2348421.7599999998</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2338036.14</v>
      </c>
      <c r="H36" s="37" t="s">
        <v>49</v>
      </c>
      <c r="I36" s="38">
        <v>6.6699999999999995E-2</v>
      </c>
      <c r="J36" s="120">
        <f>ROUND(G36*I36,2)</f>
        <v>155947.01</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2338036.14</v>
      </c>
      <c r="H37" s="37" t="s">
        <v>49</v>
      </c>
      <c r="I37" s="38">
        <v>5.4000000000000003E-3</v>
      </c>
      <c r="J37" s="120">
        <f>ROUND(G37*I37,2)</f>
        <v>12625.4</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168572.41</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22.5</v>
      </c>
      <c r="D41" s="737">
        <f>SUMIFS('Surv2-3'!K:K,'Surv2-3'!$H:$H,$I$2,'Surv2-3'!$I:$I,$H41-140)</f>
        <v>27</v>
      </c>
      <c r="E41" s="1013">
        <f t="shared" ref="E41:E49" si="8">IF($D$50=0,C41*2,C41+D41)</f>
        <v>49.5</v>
      </c>
      <c r="F41" s="1013"/>
      <c r="G41" s="37" t="s">
        <v>59</v>
      </c>
      <c r="H41" s="37">
        <v>251</v>
      </c>
      <c r="I41" s="125">
        <f>Consolidated!$H59</f>
        <v>1047</v>
      </c>
      <c r="J41" s="537">
        <f t="shared" ref="J41:J49" si="9">ROUND(E41*I41,2)</f>
        <v>51826.5</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537">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537">
        <f t="shared" si="9"/>
        <v>0</v>
      </c>
      <c r="M43" s="2"/>
      <c r="R43" s="958"/>
      <c r="S43" s="958"/>
      <c r="T43" s="960"/>
      <c r="U43" s="960"/>
      <c r="V43" s="162" t="s">
        <v>59</v>
      </c>
      <c r="W43" s="162">
        <v>253</v>
      </c>
      <c r="X43" s="123">
        <f>Consolidated!$H61</f>
        <v>6896</v>
      </c>
      <c r="Y43" s="213">
        <f t="shared" si="10"/>
        <v>0</v>
      </c>
    </row>
    <row r="44" spans="1:25" ht="20.25" customHeight="1"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537">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18</v>
      </c>
      <c r="D45" s="824">
        <f>SUMIFS('Surv2-3'!L:L,'Surv2-3'!$H:$H,$I$2,'Surv2-3'!$I:$I,$H45-140)</f>
        <v>18</v>
      </c>
      <c r="E45" s="1013">
        <f t="shared" si="8"/>
        <v>36</v>
      </c>
      <c r="F45" s="1013"/>
      <c r="G45" s="47" t="s">
        <v>60</v>
      </c>
      <c r="H45" s="37">
        <v>252</v>
      </c>
      <c r="I45" s="125">
        <f>Consolidated!$H63</f>
        <v>3506</v>
      </c>
      <c r="J45" s="537">
        <f t="shared" si="9"/>
        <v>126216</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537">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537">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537">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537">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40.5</v>
      </c>
      <c r="D50" s="825">
        <f>SUM(D41:D49)</f>
        <v>45</v>
      </c>
      <c r="E50" s="1015">
        <f>SUM(E41:E49)</f>
        <v>85.5</v>
      </c>
      <c r="F50" s="1015"/>
      <c r="G50" s="970" t="s">
        <v>63</v>
      </c>
      <c r="H50" s="970"/>
      <c r="I50" s="970"/>
      <c r="J50" s="220">
        <f>SUM(J41:J49)</f>
        <v>178042.5</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391.76000000000005</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1.8860000000000001E-3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422.12539999999996</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1.9090000000000001E-3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391.76000000000005</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2.1930000000000001E-3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391.76000000000005</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1.8890000000000001E-3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391.76000000000005</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2.1970000000000002E-3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1.8890000000000001E-3</v>
      </c>
      <c r="J68" s="127">
        <f>ROUND(G68*I68,2)</f>
        <v>86158.2</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1.8860000000000001E-3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2.1970000000000002E-3</v>
      </c>
      <c r="J71" s="127">
        <f>ROUND(G71*I71,2)</f>
        <v>41654.910000000003</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2.1930000000000001E-3</v>
      </c>
      <c r="J72" s="127">
        <f>ROUND(G72*I72,2)</f>
        <v>24799.3</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1.9090000000000001E-3</v>
      </c>
      <c r="J85" s="127">
        <f>ROUND(G85*I85,2)</f>
        <v>513170.27</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1.9090000000000001E-3</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1.8860000000000001E-3</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291.7088</v>
      </c>
      <c r="C90" s="80"/>
      <c r="D90" s="921">
        <f>I6</f>
        <v>1.0355000000000001</v>
      </c>
      <c r="E90" s="921"/>
      <c r="F90" s="921"/>
      <c r="G90" s="113">
        <f>Consolidated!F$118</f>
        <v>958.42</v>
      </c>
      <c r="H90" s="47" t="s">
        <v>68</v>
      </c>
      <c r="I90" s="130">
        <f>ROUND(B90*D90*G90,2)</f>
        <v>289504.62</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130.41659999999999</v>
      </c>
      <c r="C91" s="80"/>
      <c r="D91" s="921">
        <f>I6</f>
        <v>1.0355000000000001</v>
      </c>
      <c r="E91" s="921"/>
      <c r="F91" s="921"/>
      <c r="G91" s="113">
        <f>Consolidated!F$119</f>
        <v>915.09</v>
      </c>
      <c r="H91" s="47" t="s">
        <v>68</v>
      </c>
      <c r="I91" s="129">
        <f>ROUND(B91*D91*G91,2)</f>
        <v>123579.6</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422.12540000000001</v>
      </c>
      <c r="C93" s="80"/>
      <c r="D93" s="80"/>
      <c r="E93" s="999" t="s">
        <v>112</v>
      </c>
      <c r="F93" s="999"/>
      <c r="G93" s="999"/>
      <c r="H93" s="999"/>
      <c r="I93" s="999"/>
      <c r="J93" s="116">
        <f>IF(A1=75,0,I92+I91+I90)</f>
        <v>413084.22</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0</v>
      </c>
      <c r="D97" s="223">
        <v>0</v>
      </c>
      <c r="E97" s="1044">
        <f>IF(D97&gt;0,(C97+D97)/2,C97)</f>
        <v>0</v>
      </c>
      <c r="F97" s="922"/>
      <c r="G97" s="922"/>
      <c r="H97" s="85" t="s">
        <v>117</v>
      </c>
      <c r="I97" s="119">
        <f>Consolidated!G$127</f>
        <v>578</v>
      </c>
      <c r="J97" s="127">
        <f>ROUND(I97*E97,2)</f>
        <v>0</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3605331.1599999997</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3436758.7499999995</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232" t="s">
        <v>495</v>
      </c>
      <c r="I114" s="233">
        <f>IF(I111=1,J111,J109)</f>
        <v>3436758.7499999995</v>
      </c>
      <c r="J114" s="234">
        <f>ROUND(IF(E28=0,0,IF(E28&gt;250,-(((250/E28)*I114)*IF(H114="H",0.02,0.05)),IF(H114="H",-0.02*I114,-0.05*I114))),2)</f>
        <v>-43863.06</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3561468.0999999996</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Payments'!R96</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3561468.0999999996</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296789.01</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ROUND(IF(H114="H",(I114*0.02)+J114,(I114*0.05)+J114),2)</f>
        <v>24872.12</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00756-2051-49F0-B360-298BAF76413B}">
  <dimension ref="A1:Z207"/>
  <sheetViews>
    <sheetView topLeftCell="A20" workbookViewId="0">
      <selection activeCell="C42" sqref="C42"/>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516</v>
      </c>
      <c r="B2" s="101"/>
      <c r="C2" s="101"/>
      <c r="D2" s="101"/>
      <c r="E2" s="6"/>
      <c r="F2" s="6"/>
      <c r="G2" s="6"/>
      <c r="H2" s="6"/>
      <c r="I2" s="706" t="str">
        <f>RIGHT(A2,4)</f>
        <v>3421</v>
      </c>
      <c r="J2" s="6"/>
      <c r="K2" s="6"/>
      <c r="L2" s="6"/>
      <c r="M2" s="6"/>
      <c r="N2" s="6"/>
      <c r="O2" s="6"/>
      <c r="P2" s="6"/>
      <c r="Q2" s="6"/>
      <c r="R2" s="927" t="str">
        <f>Revenue_Estimate_Worksheet_for___________Charter_School</f>
        <v>Revenue Estimate Worksheet: Worthington High School - 3421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H</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2.5</v>
      </c>
      <c r="D14" s="392">
        <f>SUMIFS('Surv2-3'!L:L,'Surv2-3'!$H:$H,$I$2,'Surv2-3'!$I:$I,$O14)</f>
        <v>5.28</v>
      </c>
      <c r="E14" s="1020">
        <f t="shared" si="0"/>
        <v>7.78</v>
      </c>
      <c r="F14" s="1020"/>
      <c r="G14" s="1026">
        <f>Consolidated!$F16</f>
        <v>1</v>
      </c>
      <c r="H14" s="1026">
        <f>Consolidated!$H$9</f>
        <v>1</v>
      </c>
      <c r="I14" s="539">
        <f t="shared" si="3"/>
        <v>7.78</v>
      </c>
      <c r="J14" s="540">
        <f>ROUND(ROUND(ROUND(I14*$E$6,4)*($I$6),2)*(MAX($I$7,1)),2)</f>
        <v>43282.69</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1</v>
      </c>
      <c r="D15" s="392">
        <f>SUMIFS('Surv2-3'!L:L,'Surv2-3'!$H:$H,$I$2,'Surv2-3'!$I:$I,$O15)</f>
        <v>1.45</v>
      </c>
      <c r="E15" s="1020">
        <f t="shared" si="0"/>
        <v>2.4500000000000002</v>
      </c>
      <c r="F15" s="1020"/>
      <c r="G15" s="1026">
        <f>Consolidated!$F17</f>
        <v>1</v>
      </c>
      <c r="H15" s="1026">
        <f>Consolidated!$H$9</f>
        <v>1</v>
      </c>
      <c r="I15" s="539">
        <f t="shared" si="3"/>
        <v>2.4500000000000002</v>
      </c>
      <c r="J15" s="540">
        <f t="shared" si="1"/>
        <v>13630.15</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220.27</v>
      </c>
      <c r="D16" s="392">
        <f>SUMIFS('Surv2-3'!M:M,'Surv2-3'!$H:$H,$I$2,'Surv2-3'!$I:$I,$O16)</f>
        <v>231.05</v>
      </c>
      <c r="E16" s="1020">
        <f t="shared" si="0"/>
        <v>451.32000000000005</v>
      </c>
      <c r="F16" s="1020"/>
      <c r="G16" s="1026">
        <f>Consolidated!$F18</f>
        <v>0.97199999999999998</v>
      </c>
      <c r="H16" s="1026">
        <f>Consolidated!$H$9</f>
        <v>1</v>
      </c>
      <c r="I16" s="539">
        <f t="shared" si="3"/>
        <v>438.68299999999999</v>
      </c>
      <c r="J16" s="540">
        <f t="shared" si="1"/>
        <v>2440537.11</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48.76</v>
      </c>
      <c r="D17" s="392">
        <f>SUMIFS('Surv2-3'!M:M,'Surv2-3'!$H:$H,$I$2,'Surv2-3'!$I:$I,$O17)</f>
        <v>58.650000000000006</v>
      </c>
      <c r="E17" s="1020">
        <f t="shared" si="0"/>
        <v>107.41</v>
      </c>
      <c r="F17" s="1020"/>
      <c r="G17" s="1026">
        <f>Consolidated!$F19</f>
        <v>0.97199999999999998</v>
      </c>
      <c r="H17" s="1026">
        <f>Consolidated!$H$9</f>
        <v>1</v>
      </c>
      <c r="I17" s="539">
        <f t="shared" si="3"/>
        <v>104.4025</v>
      </c>
      <c r="J17" s="540">
        <f t="shared" si="1"/>
        <v>580825.28</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v>
      </c>
      <c r="D25" s="392">
        <f>SUMIFS('Surv2-3'!L:L,'Surv2-3'!$H:$H,$I$2,'Surv2-3'!$I:$I,$O25)</f>
        <v>0</v>
      </c>
      <c r="E25" s="1020">
        <f t="shared" si="0"/>
        <v>0</v>
      </c>
      <c r="F25" s="1020"/>
      <c r="G25" s="1026">
        <f>Consolidated!$F27</f>
        <v>1.165</v>
      </c>
      <c r="H25" s="1026">
        <f>Consolidated!$H$9</f>
        <v>1</v>
      </c>
      <c r="I25" s="539">
        <f t="shared" si="3"/>
        <v>0</v>
      </c>
      <c r="J25" s="540">
        <f t="shared" si="1"/>
        <v>0</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5.0999999999999996</v>
      </c>
      <c r="D26" s="392">
        <f>SUMIFS('Surv2-3'!M:M,'Surv2-3'!$H:$H,$I$2,'Surv2-3'!$I:$I,$O26)</f>
        <v>16.650000000000002</v>
      </c>
      <c r="E26" s="1020">
        <f t="shared" si="0"/>
        <v>21.75</v>
      </c>
      <c r="F26" s="1020"/>
      <c r="G26" s="1026">
        <f>Consolidated!$F28</f>
        <v>1.165</v>
      </c>
      <c r="H26" s="1026">
        <f>Consolidated!$H$9</f>
        <v>1</v>
      </c>
      <c r="I26" s="539">
        <f t="shared" si="3"/>
        <v>25.338799999999999</v>
      </c>
      <c r="J26" s="540">
        <f t="shared" si="1"/>
        <v>140968.04</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4.57</v>
      </c>
      <c r="D27" s="393">
        <f>SUMIFS('Surv2-3'!J:J,'Surv2-3'!$H:$H,$I$2,'Surv2-3'!$I:$I,$O27)</f>
        <v>2.58</v>
      </c>
      <c r="E27" s="1022">
        <f t="shared" si="0"/>
        <v>7.15</v>
      </c>
      <c r="F27" s="1022"/>
      <c r="G27" s="1023">
        <f>Consolidated!$F29</f>
        <v>1.081</v>
      </c>
      <c r="H27" s="1023">
        <f>Consolidated!$H$9</f>
        <v>1</v>
      </c>
      <c r="I27" s="22">
        <f t="shared" si="3"/>
        <v>7.7291999999999996</v>
      </c>
      <c r="J27" s="116">
        <f t="shared" si="1"/>
        <v>43000.07</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282.20000000000005</v>
      </c>
      <c r="D28" s="822">
        <f>SUM(D12:D27)</f>
        <v>315.65999999999997</v>
      </c>
      <c r="E28" s="1025">
        <f>SUM(E12:E27)</f>
        <v>597.86</v>
      </c>
      <c r="F28" s="1025"/>
      <c r="G28" s="1020"/>
      <c r="H28" s="1020"/>
      <c r="I28" s="23">
        <f>SUM(I12:I27)</f>
        <v>586.38350000000003</v>
      </c>
      <c r="J28" s="116">
        <f>SUM(J12:J27)</f>
        <v>3262243.3399999994</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586.38350000000003</v>
      </c>
      <c r="H33" s="1020" t="s">
        <v>45</v>
      </c>
      <c r="I33" s="1020"/>
      <c r="J33" s="32">
        <f>SUM(J32,J28)</f>
        <v>3262243.3399999994</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2604265.27</v>
      </c>
      <c r="H36" s="37" t="s">
        <v>49</v>
      </c>
      <c r="I36" s="38">
        <v>6.6699999999999995E-2</v>
      </c>
      <c r="J36" s="120">
        <f>ROUND(G36*I36,2)</f>
        <v>173704.49</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2604265.27</v>
      </c>
      <c r="H37" s="37" t="s">
        <v>49</v>
      </c>
      <c r="I37" s="38">
        <v>5.4000000000000003E-3</v>
      </c>
      <c r="J37" s="120">
        <f>ROUND(G37*I37,2)</f>
        <v>14063.03</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187767.52</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37" t="s">
        <v>59</v>
      </c>
      <c r="H41" s="37">
        <v>251</v>
      </c>
      <c r="I41" s="125">
        <f>Consolidated!$H59</f>
        <v>1047</v>
      </c>
      <c r="J41" s="537">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537">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537">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537">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1</v>
      </c>
      <c r="D45" s="824">
        <f>SUMIFS('Surv2-3'!L:L,'Surv2-3'!$H:$H,$I$2,'Surv2-3'!$I:$I,$H45-140)</f>
        <v>1.45</v>
      </c>
      <c r="E45" s="1013">
        <f t="shared" si="8"/>
        <v>2.4500000000000002</v>
      </c>
      <c r="F45" s="1013"/>
      <c r="G45" s="47" t="s">
        <v>60</v>
      </c>
      <c r="H45" s="37">
        <v>252</v>
      </c>
      <c r="I45" s="125">
        <f>Consolidated!$H63</f>
        <v>3506</v>
      </c>
      <c r="J45" s="537">
        <f t="shared" si="9"/>
        <v>8589.7000000000007</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537">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537">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537">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48.76</v>
      </c>
      <c r="D49" s="824">
        <f>SUMIFS('Surv2-3'!M:M,'Surv2-3'!$H:$H,$I$2,'Surv2-3'!$I:$I,$H49-140)</f>
        <v>58.650000000000006</v>
      </c>
      <c r="E49" s="1014">
        <f t="shared" si="8"/>
        <v>107.41</v>
      </c>
      <c r="F49" s="1014"/>
      <c r="G49" s="47" t="s">
        <v>61</v>
      </c>
      <c r="H49" s="37">
        <v>253</v>
      </c>
      <c r="I49" s="125">
        <f>Consolidated!$H67</f>
        <v>6685</v>
      </c>
      <c r="J49" s="537">
        <f t="shared" si="9"/>
        <v>718035.85</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49.76</v>
      </c>
      <c r="D50" s="825">
        <f>SUM(D41:D49)</f>
        <v>60.100000000000009</v>
      </c>
      <c r="E50" s="1015">
        <f>SUM(E41:E49)</f>
        <v>109.86</v>
      </c>
      <c r="F50" s="1015"/>
      <c r="G50" s="970" t="s">
        <v>63</v>
      </c>
      <c r="H50" s="970"/>
      <c r="I50" s="970"/>
      <c r="J50" s="220">
        <f>SUM(J41:J49)</f>
        <v>726625.54999999993</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597.86</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2.8779999999999999E-3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586.38350000000003</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2.6519999999999998E-3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597.86</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3.346E-3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597.86</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2.8830000000000001E-3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597.86</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3.3530000000000001E-3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2.8830000000000001E-3</v>
      </c>
      <c r="J68" s="127">
        <f>ROUND(G68*I68,2)</f>
        <v>131495.03</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2.8779999999999999E-3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3.3530000000000001E-3</v>
      </c>
      <c r="J71" s="127">
        <f>ROUND(G71*I71,2)</f>
        <v>63572.56</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3.346E-3</v>
      </c>
      <c r="J72" s="127">
        <f>ROUND(G72*I72,2)</f>
        <v>37837.879999999997</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v>7.5</v>
      </c>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7.5</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5.8100000000000003E-4</v>
      </c>
      <c r="J84" s="674">
        <f>ROUND(G84*I84,2)</f>
        <v>33990.120000000003</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2.6519999999999998E-3</v>
      </c>
      <c r="J85" s="674">
        <f>ROUND(G85*I85,2)</f>
        <v>712900.77</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2.6519999999999998E-3</v>
      </c>
      <c r="J86" s="674">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2.8779999999999999E-3</v>
      </c>
      <c r="J87" s="674">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537">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10.23</v>
      </c>
      <c r="C91" s="80"/>
      <c r="D91" s="921">
        <f>I6</f>
        <v>1.0355000000000001</v>
      </c>
      <c r="E91" s="921"/>
      <c r="F91" s="921"/>
      <c r="G91" s="113">
        <f>Consolidated!F$119</f>
        <v>915.09</v>
      </c>
      <c r="H91" s="47" t="s">
        <v>68</v>
      </c>
      <c r="I91" s="537">
        <f>ROUND(B91*D91*G91,2)</f>
        <v>9693.7000000000007</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576.15350000000001</v>
      </c>
      <c r="C92" s="80"/>
      <c r="D92" s="921">
        <f>I6</f>
        <v>1.0355000000000001</v>
      </c>
      <c r="E92" s="921"/>
      <c r="F92" s="921"/>
      <c r="G92" s="113">
        <f>Consolidated!F$120</f>
        <v>917.3</v>
      </c>
      <c r="H92" s="47" t="s">
        <v>68</v>
      </c>
      <c r="I92" s="537">
        <f>ROUND(B92*D92*G92,2)</f>
        <v>547267.55000000005</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586.38350000000003</v>
      </c>
      <c r="C93" s="80"/>
      <c r="D93" s="80"/>
      <c r="E93" s="999" t="s">
        <v>112</v>
      </c>
      <c r="F93" s="999"/>
      <c r="G93" s="999"/>
      <c r="H93" s="999"/>
      <c r="I93" s="999"/>
      <c r="J93" s="116">
        <f>IF(A1=75,0,I92+I91+I90)</f>
        <v>556961.25</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134</v>
      </c>
      <c r="D97" s="223">
        <v>1E-3</v>
      </c>
      <c r="E97" s="1044">
        <f>IF(D97&gt;0,(C97+D97)/2,C97)</f>
        <v>67.000500000000002</v>
      </c>
      <c r="F97" s="922"/>
      <c r="G97" s="922"/>
      <c r="H97" s="85" t="s">
        <v>117</v>
      </c>
      <c r="I97" s="119">
        <f>Consolidated!G$127</f>
        <v>578</v>
      </c>
      <c r="J97" s="127">
        <f>ROUND(I97*E97,2)</f>
        <v>38726.29</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5564352.7899999991</v>
      </c>
      <c r="L107" s="538"/>
      <c r="R107" s="955" t="s">
        <v>125</v>
      </c>
      <c r="S107" s="955"/>
      <c r="T107" s="955"/>
      <c r="U107" s="955"/>
      <c r="V107" s="955"/>
      <c r="W107" s="955"/>
      <c r="X107" s="955"/>
      <c r="Y107" s="208">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5376585.2699999996</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232"/>
      <c r="I114" s="233">
        <f>IF(I111=1,J111,J109)</f>
        <v>5376585.2699999996</v>
      </c>
      <c r="J114" s="234">
        <f>ROUND(IF(E28=0,0,IF(E28&gt;250,-(((250/E28)*I114)*IF(H114="H",0.02,0.05)),IF(H114="H",-0.02*I114,-0.05*I114))),2)</f>
        <v>-112413.13</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5451939.6599999992</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Payments'!R97</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5451939.6599999992</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454328.31</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ROUND(IF(H114="H",(I114*0.02)+J114,(I114*0.05)+J114),2)</f>
        <v>156416.13</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3E536-2A1F-443E-BF1B-F59F5A21973D}">
  <dimension ref="A1:Z207"/>
  <sheetViews>
    <sheetView topLeftCell="A28" workbookViewId="0">
      <selection activeCell="C28" sqref="C2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517</v>
      </c>
      <c r="B2" s="101"/>
      <c r="C2" s="101"/>
      <c r="D2" s="101"/>
      <c r="E2" s="6"/>
      <c r="F2" s="6"/>
      <c r="G2" s="6"/>
      <c r="H2" s="6"/>
      <c r="I2" s="706" t="str">
        <f>RIGHT(A2,4)</f>
        <v>3431</v>
      </c>
      <c r="J2" s="6"/>
      <c r="K2" s="6"/>
      <c r="L2" s="6"/>
      <c r="M2" s="6"/>
      <c r="N2" s="6"/>
      <c r="O2" s="6"/>
      <c r="P2" s="6"/>
      <c r="Q2" s="6"/>
      <c r="R2" s="927" t="str">
        <f>Revenue_Estimate_Worksheet_for___________Charter_School</f>
        <v>Revenue Estimate Worksheet: Renaissance Charter School at West Palm Beach - 3431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M</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185.53</v>
      </c>
      <c r="D12" s="738">
        <f>SUMIFS('Surv2-3'!K:K,'Surv2-3'!$H:$H,$I$2,'Surv2-3'!$I:$I,$O12)</f>
        <v>179.55</v>
      </c>
      <c r="E12" s="1021">
        <f t="shared" ref="E12:E27" si="0">IF($D$28=0,C12*2,C12+D12)</f>
        <v>365.08000000000004</v>
      </c>
      <c r="F12" s="1021"/>
      <c r="G12" s="1037">
        <f>Consolidated!$F14</f>
        <v>1.1080000000000001</v>
      </c>
      <c r="H12" s="1037">
        <f>Consolidated!$H$9</f>
        <v>1</v>
      </c>
      <c r="I12" s="539">
        <f>ROUND(E12*G12,4)</f>
        <v>404.5086</v>
      </c>
      <c r="J12" s="540">
        <f t="shared" ref="J12:J27" si="1">ROUND(ROUND(ROUND(I12*$E$6,4)*($I$6),2)*(MAX($I$7,1)),2)</f>
        <v>2250413.7400000002</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26.5</v>
      </c>
      <c r="D13" s="392">
        <f>SUMIFS('Surv2-3'!K:K,'Surv2-3'!$H:$H,$I$2,'Surv2-3'!$I:$I,$O13)</f>
        <v>32</v>
      </c>
      <c r="E13" s="1020">
        <f t="shared" si="0"/>
        <v>58.5</v>
      </c>
      <c r="F13" s="1020"/>
      <c r="G13" s="1026">
        <f>Consolidated!$F15</f>
        <v>1.1080000000000001</v>
      </c>
      <c r="H13" s="1026">
        <f>Consolidated!$H$9</f>
        <v>1</v>
      </c>
      <c r="I13" s="539">
        <f t="shared" ref="I13:I27" si="3">ROUND(E13*G13,4)</f>
        <v>64.817999999999998</v>
      </c>
      <c r="J13" s="540">
        <f t="shared" si="1"/>
        <v>360603.75</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208.16</v>
      </c>
      <c r="D14" s="392">
        <f>SUMIFS('Surv2-3'!L:L,'Surv2-3'!$H:$H,$I$2,'Surv2-3'!$I:$I,$O14)</f>
        <v>203.46999999999997</v>
      </c>
      <c r="E14" s="1020">
        <f t="shared" si="0"/>
        <v>411.63</v>
      </c>
      <c r="F14" s="1020"/>
      <c r="G14" s="1026">
        <f>Consolidated!$F16</f>
        <v>1</v>
      </c>
      <c r="H14" s="1026">
        <f>Consolidated!$H$9</f>
        <v>1</v>
      </c>
      <c r="I14" s="539">
        <f t="shared" si="3"/>
        <v>411.63</v>
      </c>
      <c r="J14" s="540">
        <f>ROUND(ROUND(ROUND(I14*$E$6,4)*($I$6),2)*(MAX($I$7,1)),2)</f>
        <v>2290032.42</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42.5</v>
      </c>
      <c r="D15" s="392">
        <f>SUMIFS('Surv2-3'!L:L,'Surv2-3'!$H:$H,$I$2,'Surv2-3'!$I:$I,$O15)</f>
        <v>42.480000000000004</v>
      </c>
      <c r="E15" s="1020">
        <f t="shared" si="0"/>
        <v>84.98</v>
      </c>
      <c r="F15" s="1020"/>
      <c r="G15" s="1026">
        <f>Consolidated!$F17</f>
        <v>1</v>
      </c>
      <c r="H15" s="1026">
        <f>Consolidated!$H$9</f>
        <v>1</v>
      </c>
      <c r="I15" s="539">
        <f t="shared" si="3"/>
        <v>84.98</v>
      </c>
      <c r="J15" s="540">
        <f t="shared" si="1"/>
        <v>472771.55</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33.97</v>
      </c>
      <c r="D24" s="392">
        <f>SUMIFS('Surv2-3'!K:K,'Surv2-3'!$H:$H,$I$2,'Surv2-3'!$I:$I,$O24)</f>
        <v>32.720000000000006</v>
      </c>
      <c r="E24" s="1020">
        <f t="shared" si="0"/>
        <v>66.69</v>
      </c>
      <c r="F24" s="1020"/>
      <c r="G24" s="1026">
        <f>Consolidated!$F26</f>
        <v>1.165</v>
      </c>
      <c r="H24" s="1026">
        <f>Consolidated!$H$9</f>
        <v>1</v>
      </c>
      <c r="I24" s="539">
        <f t="shared" si="3"/>
        <v>77.693899999999999</v>
      </c>
      <c r="J24" s="540">
        <f t="shared" si="1"/>
        <v>432236.59</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5.34</v>
      </c>
      <c r="D25" s="392">
        <f>SUMIFS('Surv2-3'!L:L,'Surv2-3'!$H:$H,$I$2,'Surv2-3'!$I:$I,$O25)</f>
        <v>5.39</v>
      </c>
      <c r="E25" s="1020">
        <f t="shared" si="0"/>
        <v>10.73</v>
      </c>
      <c r="F25" s="1020"/>
      <c r="G25" s="1026">
        <f>Consolidated!$F27</f>
        <v>1.165</v>
      </c>
      <c r="H25" s="1026">
        <f>Consolidated!$H$9</f>
        <v>1</v>
      </c>
      <c r="I25" s="539">
        <f t="shared" si="3"/>
        <v>12.500500000000001</v>
      </c>
      <c r="J25" s="540">
        <f t="shared" si="1"/>
        <v>69544.37</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501.99999999999994</v>
      </c>
      <c r="D28" s="822">
        <f>SUM(D12:D27)</f>
        <v>495.61</v>
      </c>
      <c r="E28" s="1025">
        <f>SUM(E12:E27)</f>
        <v>997.61000000000013</v>
      </c>
      <c r="F28" s="1025"/>
      <c r="G28" s="1020"/>
      <c r="H28" s="1020"/>
      <c r="I28" s="23">
        <f>SUM(I12:I27)</f>
        <v>1056.1310000000001</v>
      </c>
      <c r="J28" s="116">
        <f>SUM(J12:J27)</f>
        <v>5875602.4199999999</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1056.1310000000001</v>
      </c>
      <c r="H33" s="1020" t="s">
        <v>45</v>
      </c>
      <c r="I33" s="1020"/>
      <c r="J33" s="32">
        <f>SUM(J32,J28)</f>
        <v>5875602.4199999999</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5974890.0099999998</v>
      </c>
      <c r="H36" s="37" t="s">
        <v>49</v>
      </c>
      <c r="I36" s="38">
        <v>6.6699999999999995E-2</v>
      </c>
      <c r="J36" s="120">
        <f>ROUND(G36*I36,2)</f>
        <v>398525.16</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5974890.0099999998</v>
      </c>
      <c r="H37" s="37" t="s">
        <v>49</v>
      </c>
      <c r="I37" s="38">
        <v>5.4000000000000003E-3</v>
      </c>
      <c r="J37" s="120">
        <f>ROUND(G37*I37,2)</f>
        <v>32264.41</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430789.56999999995</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26.5</v>
      </c>
      <c r="D41" s="737">
        <f>SUMIFS('Surv2-3'!K:K,'Surv2-3'!$H:$H,$I$2,'Surv2-3'!$I:$I,$H41-140)</f>
        <v>32</v>
      </c>
      <c r="E41" s="1013">
        <f t="shared" ref="E41:E49" si="8">IF($D$50=0,C41*2,C41+D41)</f>
        <v>58.5</v>
      </c>
      <c r="F41" s="1013"/>
      <c r="G41" s="37" t="s">
        <v>59</v>
      </c>
      <c r="H41" s="37">
        <v>251</v>
      </c>
      <c r="I41" s="125">
        <f>Consolidated!$H59</f>
        <v>1047</v>
      </c>
      <c r="J41" s="537">
        <f t="shared" ref="J41:J49" si="9">ROUND(E41*I41,2)</f>
        <v>61249.5</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537">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537">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537">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42.5</v>
      </c>
      <c r="D45" s="824">
        <f>SUMIFS('Surv2-3'!L:L,'Surv2-3'!$H:$H,$I$2,'Surv2-3'!$I:$I,$H45-140)</f>
        <v>42.480000000000004</v>
      </c>
      <c r="E45" s="1013">
        <f t="shared" si="8"/>
        <v>84.98</v>
      </c>
      <c r="F45" s="1013"/>
      <c r="G45" s="47" t="s">
        <v>60</v>
      </c>
      <c r="H45" s="37">
        <v>252</v>
      </c>
      <c r="I45" s="125">
        <f>Consolidated!$H63</f>
        <v>3506</v>
      </c>
      <c r="J45" s="537">
        <f t="shared" si="9"/>
        <v>297939.88</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537">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537">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537">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537">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69</v>
      </c>
      <c r="D50" s="825">
        <f>SUM(D41:D49)</f>
        <v>74.48</v>
      </c>
      <c r="E50" s="1015">
        <f>SUM(E41:E49)</f>
        <v>143.48000000000002</v>
      </c>
      <c r="F50" s="1015"/>
      <c r="G50" s="970" t="s">
        <v>63</v>
      </c>
      <c r="H50" s="970"/>
      <c r="I50" s="970"/>
      <c r="J50" s="220">
        <f>SUM(J41:J49)</f>
        <v>359189.38</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997.61000000000013</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4.803E-3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1056.1310000000001</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4.7759999999999999E-3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997.61000000000013</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5.5840000000000004E-3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997.61000000000013</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4.8110000000000002E-3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997.61000000000013</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5.594E-3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4.8110000000000002E-3</v>
      </c>
      <c r="J68" s="127">
        <f>ROUND(G68*I68,2)</f>
        <v>219432.04</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4.803E-3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5.594E-3</v>
      </c>
      <c r="J71" s="127">
        <f>ROUND(G71*I71,2)</f>
        <v>106061.71</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5.5840000000000004E-3</v>
      </c>
      <c r="J72" s="127">
        <f>ROUND(G72*I72,2)</f>
        <v>63146.06</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4.7759999999999999E-3</v>
      </c>
      <c r="J85" s="127">
        <f>ROUND(G85*I85,2)</f>
        <v>1283866.54</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4.7759999999999999E-3</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4.803E-3</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547.02049999999997</v>
      </c>
      <c r="C90" s="80"/>
      <c r="D90" s="921">
        <f>I6</f>
        <v>1.0355000000000001</v>
      </c>
      <c r="E90" s="921"/>
      <c r="F90" s="921"/>
      <c r="G90" s="113">
        <f>Consolidated!F$118</f>
        <v>958.42</v>
      </c>
      <c r="H90" s="47" t="s">
        <v>68</v>
      </c>
      <c r="I90" s="537">
        <f>ROUND(B90*D90*G90,2)</f>
        <v>542887.16</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509.1105</v>
      </c>
      <c r="C91" s="80"/>
      <c r="D91" s="921">
        <f>I6</f>
        <v>1.0355000000000001</v>
      </c>
      <c r="E91" s="921"/>
      <c r="F91" s="921"/>
      <c r="G91" s="113">
        <f>Consolidated!F$119</f>
        <v>915.09</v>
      </c>
      <c r="H91" s="47" t="s">
        <v>68</v>
      </c>
      <c r="I91" s="537">
        <f>ROUND(B91*D91*G91,2)</f>
        <v>482420.74</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1056.1309999999999</v>
      </c>
      <c r="C93" s="80"/>
      <c r="D93" s="80"/>
      <c r="E93" s="999" t="s">
        <v>112</v>
      </c>
      <c r="F93" s="999"/>
      <c r="G93" s="999"/>
      <c r="H93" s="999"/>
      <c r="I93" s="999"/>
      <c r="J93" s="116">
        <f>IF(A1=75,0,I92+I91+I90)</f>
        <v>1025307.9</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34</v>
      </c>
      <c r="D97" s="223">
        <v>37</v>
      </c>
      <c r="E97" s="1044">
        <f>IF(D97&gt;0,(C97+D97)/2,C97)</f>
        <v>35.5</v>
      </c>
      <c r="F97" s="922"/>
      <c r="G97" s="922"/>
      <c r="H97" s="85" t="s">
        <v>117</v>
      </c>
      <c r="I97" s="119">
        <f>Consolidated!G$127</f>
        <v>578</v>
      </c>
      <c r="J97" s="127">
        <f>ROUND(I97*E97,2)</f>
        <v>20519</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8953125.0500000007</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8522335.4800000004</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658" t="s">
        <v>495</v>
      </c>
      <c r="I114" s="659">
        <f>IF(I111=1,J111,J109)</f>
        <v>8522335.4800000004</v>
      </c>
      <c r="J114" s="660">
        <f>ROUND(IF(E28=0,0,IF(E28&gt;250,-(((250/E28)*I114)*IF(H114="H",0.02,0.05)),IF(H114="H",-0.02*I114,-0.05*I114))),2)</f>
        <v>-42713.760000000002</v>
      </c>
      <c r="M114" s="2"/>
      <c r="N114" s="3"/>
      <c r="R114" s="2"/>
      <c r="T114" s="4"/>
      <c r="W114" s="2"/>
      <c r="X114" s="5"/>
    </row>
    <row r="115" spans="1:26" ht="16.5" customHeight="1" x14ac:dyDescent="0.25">
      <c r="A115" s="231"/>
      <c r="B115" s="231"/>
      <c r="C115" s="231"/>
      <c r="D115" s="231"/>
      <c r="E115" s="231"/>
      <c r="F115" s="231"/>
      <c r="G115" s="231"/>
      <c r="H115" s="661"/>
      <c r="I115" s="662"/>
      <c r="J115" s="663"/>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664"/>
      <c r="I116" s="665"/>
      <c r="J116" s="666">
        <f>J107+J114</f>
        <v>8910411.290000001</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61"/>
      <c r="I117" s="662"/>
      <c r="J117" s="663"/>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661"/>
      <c r="I118" s="662"/>
      <c r="J118" s="667">
        <f>-'Cumulative Payments'!R98</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61"/>
      <c r="I119" s="662"/>
      <c r="J119" s="663"/>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661"/>
      <c r="I120" s="662"/>
      <c r="J120" s="663">
        <f>J116+J118</f>
        <v>8910411.290000001</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61"/>
      <c r="I121" s="662"/>
      <c r="J121" s="663"/>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661"/>
      <c r="I122" s="662"/>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61"/>
      <c r="I123" s="662"/>
      <c r="J123" s="663"/>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661"/>
      <c r="I124" s="662"/>
      <c r="J124" s="669">
        <f>ROUND(J120/J122,2)</f>
        <v>742534.27</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61"/>
      <c r="I125" s="662"/>
      <c r="J125" s="663"/>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661"/>
      <c r="I126" s="662"/>
      <c r="J126" s="670">
        <f>ROUND(IF(H114="H",(I114*0.02)+J114,(I114*0.05)+J114),2)</f>
        <v>127732.95</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62"/>
      <c r="I127" s="671"/>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DA5E0-6CFC-462B-B521-0160ED627C13}">
  <dimension ref="A1:Z207"/>
  <sheetViews>
    <sheetView topLeftCell="A19" workbookViewId="0">
      <selection activeCell="A19" sqref="A19:B19"/>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2" t="s">
        <v>518</v>
      </c>
      <c r="B2" s="101"/>
      <c r="C2" s="101"/>
      <c r="D2" s="101"/>
      <c r="E2" s="6"/>
      <c r="F2" s="6"/>
      <c r="G2" s="6"/>
      <c r="H2" s="6"/>
      <c r="I2" s="706" t="str">
        <f>RIGHT(A2,4)</f>
        <v>3441</v>
      </c>
      <c r="J2" s="6"/>
      <c r="K2" s="6"/>
      <c r="L2" s="6"/>
      <c r="M2" s="6"/>
      <c r="N2" s="6"/>
      <c r="O2" s="6"/>
      <c r="P2" s="6"/>
      <c r="Q2" s="6"/>
      <c r="R2" s="927" t="str">
        <f>Revenue_Estimate_Worksheet_for___________Charter_School</f>
        <v>Revenue Estimate Worksheet: SouthTech Preparatory Academy - 3441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M</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217.6</v>
      </c>
      <c r="D14" s="392">
        <f>SUMIFS('Surv2-3'!L:L,'Surv2-3'!$H:$H,$I$2,'Surv2-3'!$I:$I,$O14)</f>
        <v>217.62</v>
      </c>
      <c r="E14" s="1020">
        <f t="shared" si="0"/>
        <v>435.22</v>
      </c>
      <c r="F14" s="1020"/>
      <c r="G14" s="1026">
        <f>Consolidated!$F16</f>
        <v>1</v>
      </c>
      <c r="H14" s="1026">
        <f>Consolidated!$H$9</f>
        <v>1</v>
      </c>
      <c r="I14" s="539">
        <f t="shared" si="3"/>
        <v>435.22</v>
      </c>
      <c r="J14" s="540">
        <f>ROUND(ROUND(ROUND(I14*$E$6,4)*($I$6),2)*(MAX($I$7,1)),2)</f>
        <v>2421271.31</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36</v>
      </c>
      <c r="D15" s="392">
        <f>SUMIFS('Surv2-3'!L:L,'Surv2-3'!$H:$H,$I$2,'Surv2-3'!$I:$I,$O15)</f>
        <v>35</v>
      </c>
      <c r="E15" s="1020">
        <f t="shared" si="0"/>
        <v>71</v>
      </c>
      <c r="F15" s="1020"/>
      <c r="G15" s="1026">
        <f>Consolidated!$F17</f>
        <v>1</v>
      </c>
      <c r="H15" s="1026">
        <f>Consolidated!$H$9</f>
        <v>1</v>
      </c>
      <c r="I15" s="539">
        <f t="shared" si="3"/>
        <v>71</v>
      </c>
      <c r="J15" s="540">
        <f t="shared" si="1"/>
        <v>394996.24</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8.3000000000000007</v>
      </c>
      <c r="D25" s="392">
        <f>SUMIFS('Surv2-3'!L:L,'Surv2-3'!$H:$H,$I$2,'Surv2-3'!$I:$I,$O25)</f>
        <v>8.25</v>
      </c>
      <c r="E25" s="1020">
        <f t="shared" si="0"/>
        <v>16.55</v>
      </c>
      <c r="F25" s="1020"/>
      <c r="G25" s="1026">
        <f>Consolidated!$F27</f>
        <v>1.165</v>
      </c>
      <c r="H25" s="1026">
        <f>Consolidated!$H$9</f>
        <v>1</v>
      </c>
      <c r="I25" s="539">
        <f t="shared" si="3"/>
        <v>19.280799999999999</v>
      </c>
      <c r="J25" s="540">
        <f t="shared" si="1"/>
        <v>107265.4</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261.89999999999998</v>
      </c>
      <c r="D28" s="822">
        <f>SUM(D12:D27)</f>
        <v>260.87</v>
      </c>
      <c r="E28" s="1025">
        <f>SUM(E12:E27)</f>
        <v>522.77</v>
      </c>
      <c r="F28" s="1025"/>
      <c r="G28" s="1020"/>
      <c r="H28" s="1020"/>
      <c r="I28" s="23">
        <f>SUM(I12:I27)</f>
        <v>525.50080000000003</v>
      </c>
      <c r="J28" s="116">
        <f>SUM(J12:J27)</f>
        <v>2923532.9499999997</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525.50080000000003</v>
      </c>
      <c r="H33" s="1020" t="s">
        <v>45</v>
      </c>
      <c r="I33" s="1020"/>
      <c r="J33" s="32">
        <f>SUM(J32,J28)</f>
        <v>2923532.9499999997</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2950265.84</v>
      </c>
      <c r="H36" s="37" t="s">
        <v>49</v>
      </c>
      <c r="I36" s="38">
        <v>6.6699999999999995E-2</v>
      </c>
      <c r="J36" s="120">
        <f>ROUND(G36*I36,2)</f>
        <v>196782.73</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2950265.84</v>
      </c>
      <c r="H37" s="37" t="s">
        <v>49</v>
      </c>
      <c r="I37" s="38">
        <v>5.4000000000000003E-3</v>
      </c>
      <c r="J37" s="120">
        <f>ROUND(G37*I37,2)</f>
        <v>15931.44</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212714.17</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37" t="s">
        <v>59</v>
      </c>
      <c r="H41" s="37">
        <v>251</v>
      </c>
      <c r="I41" s="125">
        <f>Consolidated!$H59</f>
        <v>1047</v>
      </c>
      <c r="J41" s="537">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537">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537">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537">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36</v>
      </c>
      <c r="D45" s="824">
        <f>SUMIFS('Surv2-3'!L:L,'Surv2-3'!$H:$H,$I$2,'Surv2-3'!$I:$I,$H45-140)</f>
        <v>35</v>
      </c>
      <c r="E45" s="1013">
        <f t="shared" si="8"/>
        <v>71</v>
      </c>
      <c r="F45" s="1013"/>
      <c r="G45" s="47" t="s">
        <v>60</v>
      </c>
      <c r="H45" s="37">
        <v>252</v>
      </c>
      <c r="I45" s="125">
        <f>Consolidated!$H63</f>
        <v>3506</v>
      </c>
      <c r="J45" s="537">
        <f t="shared" si="9"/>
        <v>248926</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537">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537">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537">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537">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36</v>
      </c>
      <c r="D50" s="825">
        <f>SUM(D41:D49)</f>
        <v>35</v>
      </c>
      <c r="E50" s="1015">
        <f>SUM(E41:E49)</f>
        <v>71</v>
      </c>
      <c r="F50" s="1015"/>
      <c r="G50" s="970" t="s">
        <v>63</v>
      </c>
      <c r="H50" s="970"/>
      <c r="I50" s="970"/>
      <c r="J50" s="220">
        <f>SUM(J41:J49)</f>
        <v>248926</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522.77</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2.5170000000000001E-3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v>0</v>
      </c>
      <c r="U55" s="173" t="s">
        <v>66</v>
      </c>
      <c r="V55" s="174"/>
      <c r="W55" s="175" t="s">
        <v>71</v>
      </c>
      <c r="X55" s="977">
        <f>I56</f>
        <v>221131.37000000002</v>
      </c>
      <c r="Y55" s="977"/>
    </row>
    <row r="56" spans="1:25" ht="16.5" customHeight="1" x14ac:dyDescent="0.25">
      <c r="A56" s="953" t="s">
        <v>70</v>
      </c>
      <c r="B56" s="953"/>
      <c r="C56" s="51"/>
      <c r="D56" s="51"/>
      <c r="E56" s="48">
        <f>G33</f>
        <v>525.50080000000003</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2.3760000000000001E-3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522.77</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2.9260000000000002E-3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522.77</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2.5209999999999998E-3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522.77</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2.9320000000000001E-3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2.5209999999999998E-3</v>
      </c>
      <c r="J68" s="127">
        <f>ROUND(G68*I68,2)</f>
        <v>114984.03</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2.5170000000000001E-3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2.9320000000000001E-3</v>
      </c>
      <c r="J71" s="127">
        <f>ROUND(G71*I71,2)</f>
        <v>55590.44</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2.9260000000000002E-3</v>
      </c>
      <c r="J72" s="127">
        <f>ROUND(G72*I72,2)</f>
        <v>33088.35</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v>16.100000000000001</v>
      </c>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16.100000000000001</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1.248E-3</v>
      </c>
      <c r="J84" s="62">
        <f>ROUND(G84*I84,2)</f>
        <v>73011.48</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2.3760000000000001E-3</v>
      </c>
      <c r="J85" s="127">
        <f>ROUND(G85*I85,2)</f>
        <v>638707.48</v>
      </c>
      <c r="K85" s="70"/>
      <c r="L85" s="70"/>
      <c r="M85" s="71"/>
      <c r="N85" s="70"/>
      <c r="O85" s="70"/>
      <c r="P85" s="70"/>
      <c r="Q85" s="70"/>
      <c r="R85" s="955" t="s">
        <v>168</v>
      </c>
      <c r="S85" s="955"/>
      <c r="T85" s="955"/>
      <c r="U85" s="158"/>
      <c r="V85" s="160">
        <f>G85</f>
        <v>268816278</v>
      </c>
      <c r="W85" s="162" t="s">
        <v>81</v>
      </c>
      <c r="X85" s="165">
        <f>X56</f>
        <v>0</v>
      </c>
      <c r="Y85" s="212">
        <f>ROUND(V85*X85,2)</f>
        <v>0</v>
      </c>
    </row>
    <row r="86" spans="1:26" ht="14.25" customHeight="1" x14ac:dyDescent="0.25">
      <c r="A86" s="952" t="s">
        <v>104</v>
      </c>
      <c r="B86" s="952"/>
      <c r="C86" s="952"/>
      <c r="D86" s="952"/>
      <c r="E86" s="952"/>
      <c r="F86" s="36" t="s">
        <v>103</v>
      </c>
      <c r="G86" s="128">
        <v>0</v>
      </c>
      <c r="H86" s="37" t="s">
        <v>81</v>
      </c>
      <c r="I86" s="41">
        <f>I57</f>
        <v>2.3760000000000001E-3</v>
      </c>
      <c r="J86" s="127">
        <f>ROUND(G86*I86,2)</f>
        <v>0</v>
      </c>
      <c r="K86" s="70"/>
      <c r="L86" s="71"/>
      <c r="M86" s="76"/>
      <c r="N86" s="76"/>
      <c r="O86" s="76"/>
      <c r="P86" s="76"/>
      <c r="Q86" s="70"/>
      <c r="R86" s="955" t="s">
        <v>169</v>
      </c>
      <c r="S86" s="955"/>
      <c r="T86" s="955"/>
      <c r="U86" s="158"/>
      <c r="V86" s="192">
        <f>G86</f>
        <v>0</v>
      </c>
      <c r="W86" s="162" t="s">
        <v>81</v>
      </c>
      <c r="X86" s="165">
        <f>X56</f>
        <v>0</v>
      </c>
      <c r="Y86" s="212">
        <f t="shared" ref="Y86:Y87" si="12">ROUND(V86*X86,2)</f>
        <v>0</v>
      </c>
    </row>
    <row r="87" spans="1:26" ht="18" customHeight="1" x14ac:dyDescent="0.25">
      <c r="A87" s="952" t="s">
        <v>105</v>
      </c>
      <c r="B87" s="952"/>
      <c r="C87" s="952"/>
      <c r="D87" s="952"/>
      <c r="E87" s="952"/>
      <c r="F87" s="36" t="s">
        <v>84</v>
      </c>
      <c r="G87" s="128">
        <v>0</v>
      </c>
      <c r="H87" s="37" t="s">
        <v>81</v>
      </c>
      <c r="I87" s="41">
        <f>I54</f>
        <v>2.5170000000000001E-3</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537">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525.50080000000003</v>
      </c>
      <c r="C91" s="80"/>
      <c r="D91" s="921">
        <f>I6</f>
        <v>1.0355000000000001</v>
      </c>
      <c r="E91" s="921"/>
      <c r="F91" s="921"/>
      <c r="G91" s="113">
        <f>Consolidated!F$119</f>
        <v>915.09</v>
      </c>
      <c r="H91" s="47" t="s">
        <v>68</v>
      </c>
      <c r="I91" s="537">
        <f>ROUND(B91*D91*G91,2)</f>
        <v>497951.79</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525.50080000000003</v>
      </c>
      <c r="C93" s="80"/>
      <c r="D93" s="80"/>
      <c r="E93" s="999" t="s">
        <v>112</v>
      </c>
      <c r="F93" s="999"/>
      <c r="G93" s="999"/>
      <c r="H93" s="999"/>
      <c r="I93" s="999"/>
      <c r="J93" s="116">
        <f>IF(A1=75,0,I92+I91+I90)</f>
        <v>497951.79</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350</v>
      </c>
      <c r="D97" s="223">
        <v>343</v>
      </c>
      <c r="E97" s="1044">
        <f>IF(D97&gt;0,(C97+D97)/2,C97)</f>
        <v>346.5</v>
      </c>
      <c r="F97" s="922"/>
      <c r="G97" s="922"/>
      <c r="H97" s="85" t="s">
        <v>117</v>
      </c>
      <c r="I97" s="119">
        <f>Consolidated!G$127</f>
        <v>578</v>
      </c>
      <c r="J97" s="127">
        <f>ROUND(I97*E97,2)</f>
        <v>200277</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4786069.5199999996</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4573355.3499999996</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232" t="s">
        <v>495</v>
      </c>
      <c r="I114" s="233">
        <f>IF(I111=1,J111,J109)</f>
        <v>4573355.3499999996</v>
      </c>
      <c r="J114" s="234">
        <f>ROUND(IF(E28=0,0,IF(E28&gt;250,-(((250/E28)*I114)*IF(H114="H",0.02,0.05)),IF(H114="H",-0.02*I114,-0.05*I114))),2)</f>
        <v>-43741.56</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4742327.96</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Payments'!R99</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4742327.96</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395194</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ROUND(IF(H114="H",(I114*0.02)+J114,(I114*0.05)+J114),2)</f>
        <v>47725.55</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1D735-08D2-4D51-8DA8-3092C94DB3C7}">
  <dimension ref="A1:Z207"/>
  <sheetViews>
    <sheetView topLeftCell="A41" workbookViewId="0">
      <selection activeCell="C41" sqref="C41"/>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519</v>
      </c>
      <c r="B2" s="101"/>
      <c r="C2" s="101"/>
      <c r="D2" s="101"/>
      <c r="E2" s="6"/>
      <c r="F2" s="6"/>
      <c r="G2" s="6"/>
      <c r="H2" s="6"/>
      <c r="I2" s="706" t="str">
        <f>RIGHT(A2,4)</f>
        <v>3924</v>
      </c>
      <c r="J2" s="6"/>
      <c r="K2" s="6"/>
      <c r="L2" s="6"/>
      <c r="M2" s="6"/>
      <c r="N2" s="6"/>
      <c r="O2" s="6"/>
      <c r="P2" s="6"/>
      <c r="Q2" s="6"/>
      <c r="R2" s="927" t="str">
        <f>Revenue_Estimate_Worksheet_for___________Charter_School</f>
        <v>Revenue Estimate Worksheet: Palm Beach Maritime Academy Secondary - 3924</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M</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95.429999999999993</v>
      </c>
      <c r="D14" s="392">
        <f>SUMIFS('Surv2-3'!L:L,'Surv2-3'!$H:$H,$I$2,'Surv2-3'!$I:$I,$O14)</f>
        <v>92.91</v>
      </c>
      <c r="E14" s="1020">
        <f t="shared" si="0"/>
        <v>188.33999999999997</v>
      </c>
      <c r="F14" s="1020"/>
      <c r="G14" s="1026">
        <f>Consolidated!$F16</f>
        <v>1</v>
      </c>
      <c r="H14" s="1026">
        <f>Consolidated!$H$9</f>
        <v>1</v>
      </c>
      <c r="I14" s="539">
        <f t="shared" si="3"/>
        <v>188.34</v>
      </c>
      <c r="J14" s="540">
        <f>ROUND(ROUND(ROUND(I14*$E$6,4)*($I$6),2)*(MAX($I$7,1)),2)</f>
        <v>1047797.06</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27.5</v>
      </c>
      <c r="D15" s="392">
        <f>SUMIFS('Surv2-3'!L:L,'Surv2-3'!$H:$H,$I$2,'Surv2-3'!$I:$I,$O15)</f>
        <v>26</v>
      </c>
      <c r="E15" s="1020">
        <f t="shared" si="0"/>
        <v>53.5</v>
      </c>
      <c r="F15" s="1020"/>
      <c r="G15" s="1026">
        <f>Consolidated!$F17</f>
        <v>1</v>
      </c>
      <c r="H15" s="1026">
        <f>Consolidated!$H$9</f>
        <v>1</v>
      </c>
      <c r="I15" s="539">
        <f t="shared" si="3"/>
        <v>53.5</v>
      </c>
      <c r="J15" s="540">
        <f t="shared" si="1"/>
        <v>297638.01</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55.34</v>
      </c>
      <c r="D16" s="392">
        <f>SUMIFS('Surv2-3'!M:M,'Surv2-3'!$H:$H,$I$2,'Surv2-3'!$I:$I,$O16)</f>
        <v>56.72</v>
      </c>
      <c r="E16" s="1020">
        <f t="shared" si="0"/>
        <v>112.06</v>
      </c>
      <c r="F16" s="1020"/>
      <c r="G16" s="1026">
        <f>Consolidated!$F18</f>
        <v>0.97199999999999998</v>
      </c>
      <c r="H16" s="1026">
        <f>Consolidated!$H$9</f>
        <v>1</v>
      </c>
      <c r="I16" s="539">
        <f t="shared" si="3"/>
        <v>108.92230000000001</v>
      </c>
      <c r="J16" s="540">
        <f t="shared" si="1"/>
        <v>605970.41</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11.5</v>
      </c>
      <c r="D17" s="392">
        <f>SUMIFS('Surv2-3'!M:M,'Surv2-3'!$H:$H,$I$2,'Surv2-3'!$I:$I,$O17)</f>
        <v>10.969999999999999</v>
      </c>
      <c r="E17" s="1020">
        <f t="shared" si="0"/>
        <v>22.47</v>
      </c>
      <c r="F17" s="1020"/>
      <c r="G17" s="1026">
        <f>Consolidated!$F19</f>
        <v>0.97199999999999998</v>
      </c>
      <c r="H17" s="1026">
        <f>Consolidated!$H$9</f>
        <v>1</v>
      </c>
      <c r="I17" s="539">
        <f t="shared" si="3"/>
        <v>21.840800000000002</v>
      </c>
      <c r="J17" s="540">
        <f t="shared" si="1"/>
        <v>121507.52</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8.07</v>
      </c>
      <c r="D25" s="392">
        <f>SUMIFS('Surv2-3'!L:L,'Surv2-3'!$H:$H,$I$2,'Surv2-3'!$I:$I,$O25)</f>
        <v>8.5599999999999987</v>
      </c>
      <c r="E25" s="1020">
        <f t="shared" si="0"/>
        <v>16.63</v>
      </c>
      <c r="F25" s="1020"/>
      <c r="G25" s="1026">
        <f>Consolidated!$F27</f>
        <v>1.165</v>
      </c>
      <c r="H25" s="1026">
        <f>Consolidated!$H$9</f>
        <v>1</v>
      </c>
      <c r="I25" s="539">
        <f t="shared" si="3"/>
        <v>19.373999999999999</v>
      </c>
      <c r="J25" s="540">
        <f t="shared" si="1"/>
        <v>107783.9</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6.29</v>
      </c>
      <c r="D26" s="392">
        <f>SUMIFS('Surv2-3'!M:M,'Surv2-3'!$H:$H,$I$2,'Surv2-3'!$I:$I,$O26)</f>
        <v>6.07</v>
      </c>
      <c r="E26" s="1020">
        <f t="shared" si="0"/>
        <v>12.36</v>
      </c>
      <c r="F26" s="1020"/>
      <c r="G26" s="1026">
        <f>Consolidated!$F28</f>
        <v>1.165</v>
      </c>
      <c r="H26" s="1026">
        <f>Consolidated!$H$9</f>
        <v>1</v>
      </c>
      <c r="I26" s="539">
        <f t="shared" si="3"/>
        <v>14.3994</v>
      </c>
      <c r="J26" s="540">
        <f t="shared" si="1"/>
        <v>80108.58</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0.78</v>
      </c>
      <c r="D27" s="393">
        <f>SUMIFS('Surv2-3'!J:J,'Surv2-3'!$H:$H,$I$2,'Surv2-3'!$I:$I,$O27)</f>
        <v>0.79</v>
      </c>
      <c r="E27" s="1022">
        <f t="shared" si="0"/>
        <v>1.57</v>
      </c>
      <c r="F27" s="1022"/>
      <c r="G27" s="1023">
        <f>Consolidated!$F29</f>
        <v>1.081</v>
      </c>
      <c r="H27" s="1023">
        <f>Consolidated!$H$9</f>
        <v>1</v>
      </c>
      <c r="I27" s="22">
        <f t="shared" si="3"/>
        <v>1.6972</v>
      </c>
      <c r="J27" s="116">
        <f t="shared" si="1"/>
        <v>9442.08</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204.90999999999997</v>
      </c>
      <c r="D28" s="822">
        <f>SUM(D12:D27)</f>
        <v>202.01999999999998</v>
      </c>
      <c r="E28" s="1025">
        <f>SUM(E12:E27)</f>
        <v>406.93</v>
      </c>
      <c r="F28" s="1025"/>
      <c r="G28" s="1020"/>
      <c r="H28" s="1020"/>
      <c r="I28" s="23">
        <f>SUM(I12:I27)</f>
        <v>408.07370000000003</v>
      </c>
      <c r="J28" s="116">
        <f>SUM(J12:J27)</f>
        <v>2270247.56</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408.07370000000003</v>
      </c>
      <c r="H33" s="1020" t="s">
        <v>45</v>
      </c>
      <c r="I33" s="1020"/>
      <c r="J33" s="32">
        <f>SUM(J32,J28)</f>
        <v>2270247.56</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2459765.64</v>
      </c>
      <c r="H36" s="37" t="s">
        <v>49</v>
      </c>
      <c r="I36" s="38">
        <v>6.6699999999999995E-2</v>
      </c>
      <c r="J36" s="120">
        <f>ROUND(G36*I36,2)</f>
        <v>164066.37</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2459765.64</v>
      </c>
      <c r="H37" s="37" t="s">
        <v>49</v>
      </c>
      <c r="I37" s="38">
        <v>5.4000000000000003E-3</v>
      </c>
      <c r="J37" s="120">
        <f>ROUND(G37*I37,2)</f>
        <v>13282.73</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177349.1</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37" t="s">
        <v>59</v>
      </c>
      <c r="H41" s="37">
        <v>251</v>
      </c>
      <c r="I41" s="125">
        <f>Consolidated!$H59</f>
        <v>1047</v>
      </c>
      <c r="J41" s="46">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4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46">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27.5</v>
      </c>
      <c r="D45" s="824">
        <f>SUMIFS('Surv2-3'!L:L,'Surv2-3'!$H:$H,$I$2,'Surv2-3'!$I:$I,$H45-140)</f>
        <v>26</v>
      </c>
      <c r="E45" s="1013">
        <f t="shared" si="8"/>
        <v>53.5</v>
      </c>
      <c r="F45" s="1013"/>
      <c r="G45" s="47" t="s">
        <v>60</v>
      </c>
      <c r="H45" s="37">
        <v>252</v>
      </c>
      <c r="I45" s="125">
        <f>Consolidated!$H63</f>
        <v>3506</v>
      </c>
      <c r="J45" s="46">
        <f t="shared" si="9"/>
        <v>187571</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4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4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11.5</v>
      </c>
      <c r="D49" s="824">
        <f>SUMIFS('Surv2-3'!M:M,'Surv2-3'!$H:$H,$I$2,'Surv2-3'!$I:$I,$H49-140)</f>
        <v>10.969999999999999</v>
      </c>
      <c r="E49" s="1014">
        <f t="shared" si="8"/>
        <v>22.47</v>
      </c>
      <c r="F49" s="1014"/>
      <c r="G49" s="47" t="s">
        <v>61</v>
      </c>
      <c r="H49" s="37">
        <v>253</v>
      </c>
      <c r="I49" s="125">
        <f>Consolidated!$H67</f>
        <v>6685</v>
      </c>
      <c r="J49" s="46">
        <f t="shared" si="9"/>
        <v>150211.95000000001</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39</v>
      </c>
      <c r="D50" s="825">
        <f>SUM(D41:D49)</f>
        <v>36.97</v>
      </c>
      <c r="E50" s="1015">
        <f>SUM(E41:E49)</f>
        <v>75.97</v>
      </c>
      <c r="F50" s="1015"/>
      <c r="G50" s="970" t="s">
        <v>63</v>
      </c>
      <c r="H50" s="970"/>
      <c r="I50" s="970"/>
      <c r="J50" s="220">
        <f>SUM(J41:J49)</f>
        <v>337782.95</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406.93</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1.9589999999999998E-3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v>0</v>
      </c>
      <c r="U55" s="173" t="s">
        <v>66</v>
      </c>
      <c r="V55" s="174"/>
      <c r="W55" s="175" t="s">
        <v>71</v>
      </c>
      <c r="X55" s="977">
        <f>I56</f>
        <v>221131.37000000002</v>
      </c>
      <c r="Y55" s="977"/>
    </row>
    <row r="56" spans="1:25" ht="16.5" customHeight="1" x14ac:dyDescent="0.25">
      <c r="A56" s="953" t="s">
        <v>70</v>
      </c>
      <c r="B56" s="953"/>
      <c r="C56" s="51"/>
      <c r="D56" s="51"/>
      <c r="E56" s="48">
        <f>G33</f>
        <v>408.07370000000003</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1.8450000000000001E-3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406.93</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2.2780000000000001E-3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406.93</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1.9620000000000002E-3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406.93</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2.2820000000000002E-3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1.9620000000000002E-3</v>
      </c>
      <c r="J68" s="127">
        <f>ROUND(G68*I68,2)</f>
        <v>89487.77</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1.9589999999999998E-3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2.2820000000000002E-3</v>
      </c>
      <c r="J71" s="127">
        <f>ROUND(G71*I71,2)</f>
        <v>43266.51</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2.2780000000000001E-3</v>
      </c>
      <c r="J72" s="127">
        <f>ROUND(G72*I72,2)</f>
        <v>25760.51</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v>1.44</v>
      </c>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v>0</v>
      </c>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v>0.16</v>
      </c>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1.5999999999999999</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1.2400000000000001E-4</v>
      </c>
      <c r="J84" s="674">
        <f>ROUND(G84*I84,2)</f>
        <v>7254.35</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1.8450000000000001E-3</v>
      </c>
      <c r="J85" s="674">
        <f>ROUND(G85*I85,2)</f>
        <v>495966.03</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1.8450000000000001E-3</v>
      </c>
      <c r="J86" s="674">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1.9589999999999998E-3</v>
      </c>
      <c r="J87" s="674">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537">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261.214</v>
      </c>
      <c r="C91" s="80"/>
      <c r="D91" s="921">
        <f>I6</f>
        <v>1.0355000000000001</v>
      </c>
      <c r="E91" s="921"/>
      <c r="F91" s="921"/>
      <c r="G91" s="113">
        <f>Consolidated!F$119</f>
        <v>915.09</v>
      </c>
      <c r="H91" s="47" t="s">
        <v>68</v>
      </c>
      <c r="I91" s="537">
        <f>ROUND(B91*D91*G91,2)</f>
        <v>247520.04</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146.85970000000003</v>
      </c>
      <c r="C92" s="80"/>
      <c r="D92" s="921">
        <f>I6</f>
        <v>1.0355000000000001</v>
      </c>
      <c r="E92" s="921"/>
      <c r="F92" s="921"/>
      <c r="G92" s="113">
        <f>Consolidated!F$120</f>
        <v>917.3</v>
      </c>
      <c r="H92" s="47" t="s">
        <v>68</v>
      </c>
      <c r="I92" s="537">
        <f>ROUND(B92*D92*G92,2)</f>
        <v>139496.76</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408.07370000000003</v>
      </c>
      <c r="C93" s="80"/>
      <c r="D93" s="80"/>
      <c r="E93" s="999" t="s">
        <v>112</v>
      </c>
      <c r="F93" s="999"/>
      <c r="G93" s="999"/>
      <c r="H93" s="999"/>
      <c r="I93" s="999"/>
      <c r="J93" s="116">
        <f>IF(A1=75,0,I92+I91+I90)</f>
        <v>387016.80000000005</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237</v>
      </c>
      <c r="D97" s="223">
        <v>235</v>
      </c>
      <c r="E97" s="1044">
        <f>IF(D97&gt;0,(C97+D97)/2,C97)</f>
        <v>236</v>
      </c>
      <c r="F97" s="922"/>
      <c r="G97" s="922"/>
      <c r="H97" s="85" t="s">
        <v>117</v>
      </c>
      <c r="I97" s="119">
        <f>Consolidated!G$127</f>
        <v>578</v>
      </c>
      <c r="J97" s="127">
        <f>ROUND(I97*E97,2)</f>
        <v>136408</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3793190.48</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3615841.38</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232"/>
      <c r="I114" s="233">
        <f>IF(I111=1,J111,J109)</f>
        <v>3615841.38</v>
      </c>
      <c r="J114" s="234">
        <f>ROUND(IF(E28=0,0,IF(E28&gt;250,-(((250/E28)*I114)*IF(H114="H",0.02,0.05)),IF(H114="H",-0.02*I114,-0.05*I114))),2)</f>
        <v>-111070.74</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3682119.7399999998</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Payments'!R100</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3682119.7399999998</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306843.31</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ROUND(IF(H114="H",(I114*0.02)+J114,(I114*0.05)+J114),2)</f>
        <v>69721.33</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D8974-23AA-4E42-A270-45138934B444}">
  <dimension ref="A1:Z207"/>
  <sheetViews>
    <sheetView topLeftCell="A28" zoomScale="90" zoomScaleNormal="90" workbookViewId="0">
      <selection activeCell="C28" sqref="C2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520</v>
      </c>
      <c r="B2" s="101"/>
      <c r="C2" s="101"/>
      <c r="D2" s="101"/>
      <c r="E2" s="6"/>
      <c r="F2" s="6"/>
      <c r="G2" s="6"/>
      <c r="H2" s="6"/>
      <c r="I2" s="706" t="str">
        <f>RIGHT(A2,4)</f>
        <v>3941</v>
      </c>
      <c r="J2" s="6"/>
      <c r="K2" s="6"/>
      <c r="L2" s="6"/>
      <c r="M2" s="6"/>
      <c r="N2" s="6"/>
      <c r="O2" s="6"/>
      <c r="P2" s="6"/>
      <c r="Q2" s="6"/>
      <c r="R2" s="927" t="str">
        <f>Revenue_Estimate_Worksheet_for___________Charter_School</f>
        <v>Revenue Estimate Worksheet: Ben Gamla Charter School - 3941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E</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54.97</v>
      </c>
      <c r="D12" s="738">
        <f>SUMIFS('Surv2-3'!K:K,'Surv2-3'!$H:$H,$I$2,'Surv2-3'!$I:$I,$O12)</f>
        <v>52</v>
      </c>
      <c r="E12" s="1021">
        <f t="shared" ref="E12:E27" si="0">IF($D$28=0,C12*2,C12+D12)</f>
        <v>106.97</v>
      </c>
      <c r="F12" s="1021"/>
      <c r="G12" s="1037">
        <f>Consolidated!$F14</f>
        <v>1.1080000000000001</v>
      </c>
      <c r="H12" s="1037">
        <f>Consolidated!$H$9</f>
        <v>1</v>
      </c>
      <c r="I12" s="539">
        <f>ROUND(E12*G12,4)</f>
        <v>118.5228</v>
      </c>
      <c r="J12" s="540">
        <f t="shared" ref="J12:J27" si="1">ROUND(ROUND(ROUND(I12*$E$6,4)*($I$6),2)*(MAX($I$7,1)),2)</f>
        <v>659381.13</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10.5</v>
      </c>
      <c r="D13" s="392">
        <f>SUMIFS('Surv2-3'!K:K,'Surv2-3'!$H:$H,$I$2,'Surv2-3'!$I:$I,$O13)</f>
        <v>11.01</v>
      </c>
      <c r="E13" s="1020">
        <f t="shared" si="0"/>
        <v>21.509999999999998</v>
      </c>
      <c r="F13" s="1020"/>
      <c r="G13" s="1026">
        <f>Consolidated!$F15</f>
        <v>1.1080000000000001</v>
      </c>
      <c r="H13" s="1026">
        <f>Consolidated!$H$9</f>
        <v>1</v>
      </c>
      <c r="I13" s="539">
        <f t="shared" ref="I13:I27" si="3">ROUND(E13*G13,4)</f>
        <v>23.833100000000002</v>
      </c>
      <c r="J13" s="540">
        <f t="shared" si="1"/>
        <v>132591.34</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29.55</v>
      </c>
      <c r="D14" s="392">
        <f>SUMIFS('Surv2-3'!L:L,'Surv2-3'!$H:$H,$I$2,'Surv2-3'!$I:$I,$O14)</f>
        <v>29.56</v>
      </c>
      <c r="E14" s="1020">
        <f t="shared" si="0"/>
        <v>59.11</v>
      </c>
      <c r="F14" s="1020"/>
      <c r="G14" s="1026">
        <f>Consolidated!$F16</f>
        <v>1</v>
      </c>
      <c r="H14" s="1026">
        <f>Consolidated!$H$9</f>
        <v>1</v>
      </c>
      <c r="I14" s="539">
        <f t="shared" si="3"/>
        <v>59.11</v>
      </c>
      <c r="J14" s="540">
        <f>ROUND(ROUND(ROUND(I14*$E$6,4)*($I$6),2)*(MAX($I$7,1)),2)</f>
        <v>328848.28000000003</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6</v>
      </c>
      <c r="D15" s="392">
        <f>SUMIFS('Surv2-3'!L:L,'Surv2-3'!$H:$H,$I$2,'Surv2-3'!$I:$I,$O15)</f>
        <v>5.52</v>
      </c>
      <c r="E15" s="1020">
        <f t="shared" si="0"/>
        <v>11.52</v>
      </c>
      <c r="F15" s="1020"/>
      <c r="G15" s="1026">
        <f>Consolidated!$F17</f>
        <v>1</v>
      </c>
      <c r="H15" s="1026">
        <f>Consolidated!$H$9</f>
        <v>1</v>
      </c>
      <c r="I15" s="539">
        <f t="shared" si="3"/>
        <v>11.52</v>
      </c>
      <c r="J15" s="540">
        <f t="shared" si="1"/>
        <v>64089.53</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8.0299999999999994</v>
      </c>
      <c r="D24" s="392">
        <f>SUMIFS('Surv2-3'!K:K,'Surv2-3'!$H:$H,$I$2,'Surv2-3'!$I:$I,$O24)</f>
        <v>7.26</v>
      </c>
      <c r="E24" s="1020">
        <f t="shared" si="0"/>
        <v>15.29</v>
      </c>
      <c r="F24" s="1020"/>
      <c r="G24" s="1026">
        <f>Consolidated!$F26</f>
        <v>1.165</v>
      </c>
      <c r="H24" s="1026">
        <f>Consolidated!$H$9</f>
        <v>1</v>
      </c>
      <c r="I24" s="539">
        <f t="shared" si="3"/>
        <v>17.812899999999999</v>
      </c>
      <c r="J24" s="540">
        <f t="shared" si="1"/>
        <v>99098.99</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4.9499999999999993</v>
      </c>
      <c r="D25" s="392">
        <f>SUMIFS('Surv2-3'!L:L,'Surv2-3'!$H:$H,$I$2,'Surv2-3'!$I:$I,$O25)</f>
        <v>4.9499999999999993</v>
      </c>
      <c r="E25" s="1020">
        <f t="shared" si="0"/>
        <v>9.8999999999999986</v>
      </c>
      <c r="F25" s="1020"/>
      <c r="G25" s="1026">
        <f>Consolidated!$F27</f>
        <v>1.165</v>
      </c>
      <c r="H25" s="1026">
        <f>Consolidated!$H$9</f>
        <v>1</v>
      </c>
      <c r="I25" s="539">
        <f t="shared" si="3"/>
        <v>11.5335</v>
      </c>
      <c r="J25" s="540">
        <f t="shared" si="1"/>
        <v>64164.639999999999</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114</v>
      </c>
      <c r="D28" s="822">
        <f>SUM(D12:D27)</f>
        <v>110.3</v>
      </c>
      <c r="E28" s="1025">
        <f>SUM(E12:E27)</f>
        <v>224.29999999999998</v>
      </c>
      <c r="F28" s="1025"/>
      <c r="G28" s="1020"/>
      <c r="H28" s="1020"/>
      <c r="I28" s="23">
        <f>SUM(I12:I27)</f>
        <v>242.33230000000003</v>
      </c>
      <c r="J28" s="116">
        <f>SUM(J12:J27)</f>
        <v>1348173.91</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242.33230000000003</v>
      </c>
      <c r="H33" s="1020" t="s">
        <v>45</v>
      </c>
      <c r="I33" s="1020"/>
      <c r="J33" s="32">
        <f>SUM(J32,J28)</f>
        <v>1348173.91</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1381017</v>
      </c>
      <c r="H36" s="37" t="s">
        <v>49</v>
      </c>
      <c r="I36" s="38">
        <v>6.6699999999999995E-2</v>
      </c>
      <c r="J36" s="120">
        <f>ROUND(G36*I36,2)</f>
        <v>92113.83</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1381017</v>
      </c>
      <c r="H37" s="37" t="s">
        <v>49</v>
      </c>
      <c r="I37" s="38">
        <v>5.4000000000000003E-3</v>
      </c>
      <c r="J37" s="120">
        <f>ROUND(G37*I37,2)</f>
        <v>7457.49</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99571.32</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10.5</v>
      </c>
      <c r="D41" s="737">
        <f>SUMIFS('Surv2-3'!K:K,'Surv2-3'!$H:$H,$I$2,'Surv2-3'!$I:$I,$H41-140)</f>
        <v>11.01</v>
      </c>
      <c r="E41" s="1013">
        <f t="shared" ref="E41:E49" si="8">IF($D$50=0,C41*2,C41+D41)</f>
        <v>21.509999999999998</v>
      </c>
      <c r="F41" s="1013"/>
      <c r="G41" s="37" t="s">
        <v>59</v>
      </c>
      <c r="H41" s="37">
        <v>251</v>
      </c>
      <c r="I41" s="125">
        <f>Consolidated!$H59</f>
        <v>1047</v>
      </c>
      <c r="J41" s="537">
        <f t="shared" ref="J41:J49" si="9">ROUND(E41*I41,2)</f>
        <v>22520.97</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537">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537">
        <f t="shared" si="9"/>
        <v>0</v>
      </c>
      <c r="M43" s="2"/>
      <c r="R43" s="958"/>
      <c r="S43" s="958"/>
      <c r="T43" s="960"/>
      <c r="U43" s="960"/>
      <c r="V43" s="162" t="s">
        <v>59</v>
      </c>
      <c r="W43" s="162">
        <v>253</v>
      </c>
      <c r="X43" s="123">
        <f>Consolidated!$H61</f>
        <v>6896</v>
      </c>
      <c r="Y43" s="213">
        <f t="shared" si="10"/>
        <v>0</v>
      </c>
    </row>
    <row r="44" spans="1:25" ht="20.25" customHeight="1"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537">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6</v>
      </c>
      <c r="D45" s="824">
        <f>SUMIFS('Surv2-3'!L:L,'Surv2-3'!$H:$H,$I$2,'Surv2-3'!$I:$I,$H45-140)</f>
        <v>5.52</v>
      </c>
      <c r="E45" s="1013">
        <f t="shared" si="8"/>
        <v>11.52</v>
      </c>
      <c r="F45" s="1013"/>
      <c r="G45" s="47" t="s">
        <v>60</v>
      </c>
      <c r="H45" s="37">
        <v>252</v>
      </c>
      <c r="I45" s="125">
        <f>Consolidated!$H63</f>
        <v>3506</v>
      </c>
      <c r="J45" s="537">
        <f t="shared" si="9"/>
        <v>40389.120000000003</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537">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537">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537">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537">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16.5</v>
      </c>
      <c r="D50" s="825">
        <f>SUM(D41:D49)</f>
        <v>16.53</v>
      </c>
      <c r="E50" s="1015">
        <f>SUM(E41:E49)</f>
        <v>33.03</v>
      </c>
      <c r="F50" s="1015"/>
      <c r="G50" s="970" t="s">
        <v>63</v>
      </c>
      <c r="H50" s="970"/>
      <c r="I50" s="970"/>
      <c r="J50" s="220">
        <f>SUM(J41:J49)</f>
        <v>62910.090000000004</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224.29999999999998</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1.08E-3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242.33230000000003</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1.096E-3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224.29999999999998</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1.255E-3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224.29999999999998</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1.0820000000000001E-3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224.29999999999998</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1.258E-3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1.0820000000000001E-3</v>
      </c>
      <c r="J68" s="127">
        <f>ROUND(G68*I68,2)</f>
        <v>49350.54</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1.08E-3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1.258E-3</v>
      </c>
      <c r="J71" s="127">
        <f>ROUND(G71*I71,2)</f>
        <v>23851.56</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1.255E-3</v>
      </c>
      <c r="J72" s="127">
        <f>ROUND(G72*I72,2)</f>
        <v>14192.03</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1.096E-3</v>
      </c>
      <c r="J85" s="127">
        <f>ROUND(G85*I85,2)</f>
        <v>294622.64</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1.096E-3</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1.08E-3</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160.16880000000003</v>
      </c>
      <c r="C90" s="80"/>
      <c r="D90" s="921">
        <f>I6</f>
        <v>1.0355000000000001</v>
      </c>
      <c r="E90" s="921"/>
      <c r="F90" s="921"/>
      <c r="G90" s="113">
        <f>Consolidated!F$118</f>
        <v>958.42</v>
      </c>
      <c r="H90" s="47" t="s">
        <v>68</v>
      </c>
      <c r="I90" s="537">
        <f>ROUND(B90*D90*G90,2)</f>
        <v>158958.54999999999</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82.163499999999999</v>
      </c>
      <c r="C91" s="80"/>
      <c r="D91" s="921">
        <f>I6</f>
        <v>1.0355000000000001</v>
      </c>
      <c r="E91" s="921"/>
      <c r="F91" s="921"/>
      <c r="G91" s="113">
        <f>Consolidated!F$119</f>
        <v>915.09</v>
      </c>
      <c r="H91" s="47" t="s">
        <v>68</v>
      </c>
      <c r="I91" s="537">
        <f>ROUND(B91*D91*G91,2)</f>
        <v>77856.14</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242.33230000000003</v>
      </c>
      <c r="C93" s="80"/>
      <c r="D93" s="80"/>
      <c r="E93" s="999" t="s">
        <v>112</v>
      </c>
      <c r="F93" s="999"/>
      <c r="G93" s="999"/>
      <c r="H93" s="999"/>
      <c r="I93" s="999"/>
      <c r="J93" s="116">
        <f>IF(A1=75,0,I92+I91+I90)</f>
        <v>236814.69</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0</v>
      </c>
      <c r="D97" s="223">
        <v>0</v>
      </c>
      <c r="E97" s="1044">
        <f>IF(D97&gt;0,(C97+D97)/2,C97)</f>
        <v>0</v>
      </c>
      <c r="F97" s="922"/>
      <c r="G97" s="922"/>
      <c r="H97" s="85" t="s">
        <v>117</v>
      </c>
      <c r="I97" s="119">
        <f>Consolidated!G$127</f>
        <v>578</v>
      </c>
      <c r="J97" s="127">
        <f>ROUND(I97*E97,2)</f>
        <v>0</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2029915.4600000002</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1930344.1400000001</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658" t="s">
        <v>495</v>
      </c>
      <c r="I114" s="659">
        <f>IF(I111=1,J111,J109)</f>
        <v>1930344.1400000001</v>
      </c>
      <c r="J114" s="660">
        <f>ROUND(IF(E28=0,0,IF(E28&gt;250,-(((250/E28)*I114)*IF(H114="H",0.02,0.05)),IF(H114="H",-0.02*I114,-0.05*I114))),2)</f>
        <v>-38606.879999999997</v>
      </c>
      <c r="M114" s="2"/>
      <c r="N114" s="3"/>
      <c r="R114" s="2"/>
      <c r="T114" s="4"/>
      <c r="W114" s="2"/>
      <c r="X114" s="5"/>
    </row>
    <row r="115" spans="1:26" ht="16.5" customHeight="1" x14ac:dyDescent="0.25">
      <c r="A115" s="231"/>
      <c r="B115" s="231"/>
      <c r="C115" s="231"/>
      <c r="D115" s="231"/>
      <c r="E115" s="231"/>
      <c r="F115" s="231"/>
      <c r="G115" s="231"/>
      <c r="H115" s="661"/>
      <c r="I115" s="662"/>
      <c r="J115" s="663"/>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664"/>
      <c r="I116" s="665"/>
      <c r="J116" s="666">
        <f>J107+J114</f>
        <v>1991308.5800000003</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61"/>
      <c r="I117" s="662"/>
      <c r="J117" s="663"/>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661"/>
      <c r="I118" s="662"/>
      <c r="J118" s="667">
        <f>-'Cumulative Payments'!R101</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61"/>
      <c r="I119" s="662"/>
      <c r="J119" s="663"/>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661"/>
      <c r="I120" s="662"/>
      <c r="J120" s="663">
        <f>J116+J118</f>
        <v>1991308.5800000003</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61"/>
      <c r="I121" s="662"/>
      <c r="J121" s="663"/>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661"/>
      <c r="I122" s="662"/>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61"/>
      <c r="I123" s="662"/>
      <c r="J123" s="663"/>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661"/>
      <c r="I124" s="662"/>
      <c r="J124" s="669">
        <f>ROUND(J120/J122,2)</f>
        <v>165942.38</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61"/>
      <c r="I125" s="662"/>
      <c r="J125" s="663"/>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661"/>
      <c r="I126" s="662"/>
      <c r="J126" s="670">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EA032-7DA8-426C-94D0-052776C3AD89}">
  <sheetPr>
    <tabColor theme="0" tint="-0.34998626667073579"/>
  </sheetPr>
  <dimension ref="A1:Z207"/>
  <sheetViews>
    <sheetView topLeftCell="A36" workbookViewId="0">
      <selection activeCell="C42" sqref="C42"/>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521</v>
      </c>
      <c r="B2" s="101"/>
      <c r="C2" s="101"/>
      <c r="D2" s="101"/>
      <c r="E2" s="6"/>
      <c r="F2" s="6"/>
      <c r="G2" s="6"/>
      <c r="H2" s="6"/>
      <c r="I2" s="706" t="str">
        <f>RIGHT(A2,4)</f>
        <v>3961</v>
      </c>
      <c r="J2" s="678" t="s">
        <v>608</v>
      </c>
      <c r="K2" s="678"/>
      <c r="L2" s="6"/>
      <c r="M2" s="6"/>
      <c r="N2" s="6"/>
      <c r="O2" s="6"/>
      <c r="P2" s="6"/>
      <c r="Q2" s="6"/>
      <c r="R2" s="927" t="str">
        <f>Revenue_Estimate_Worksheet_for___________Charter_School</f>
        <v>Revenue Estimate Worksheet: Gardens School of Technology Arts - 3961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E</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0</v>
      </c>
      <c r="D14" s="392">
        <f>SUMIFS('Surv2-3'!L:L,'Surv2-3'!$H:$H,$I$2,'Surv2-3'!$I:$I,$O14)</f>
        <v>0</v>
      </c>
      <c r="E14" s="1020">
        <f t="shared" si="0"/>
        <v>0</v>
      </c>
      <c r="F14" s="1020"/>
      <c r="G14" s="1026">
        <f>Consolidated!$F16</f>
        <v>1</v>
      </c>
      <c r="H14" s="1026">
        <f>Consolidated!$H$9</f>
        <v>1</v>
      </c>
      <c r="I14" s="539">
        <f t="shared" si="3"/>
        <v>0</v>
      </c>
      <c r="J14" s="540">
        <f>ROUND(ROUND(ROUND(I14*$E$6,4)*($I$6),2)*(MAX($I$7,1)),2)</f>
        <v>0</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0</v>
      </c>
      <c r="D15" s="392">
        <f>SUMIFS('Surv2-3'!L:L,'Surv2-3'!$H:$H,$I$2,'Surv2-3'!$I:$I,$O15)</f>
        <v>0</v>
      </c>
      <c r="E15" s="1020">
        <f t="shared" si="0"/>
        <v>0</v>
      </c>
      <c r="F15" s="1020"/>
      <c r="G15" s="1026">
        <f>Consolidated!$F17</f>
        <v>1</v>
      </c>
      <c r="H15" s="1026">
        <f>Consolidated!$H$9</f>
        <v>1</v>
      </c>
      <c r="I15" s="539">
        <f t="shared" si="3"/>
        <v>0</v>
      </c>
      <c r="J15" s="540">
        <f t="shared" si="1"/>
        <v>0</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v>
      </c>
      <c r="D25" s="392">
        <f>SUMIFS('Surv2-3'!L:L,'Surv2-3'!$H:$H,$I$2,'Surv2-3'!$I:$I,$O25)</f>
        <v>0</v>
      </c>
      <c r="E25" s="1020">
        <f t="shared" si="0"/>
        <v>0</v>
      </c>
      <c r="F25" s="1020"/>
      <c r="G25" s="1026">
        <f>Consolidated!$F27</f>
        <v>1.165</v>
      </c>
      <c r="H25" s="1026">
        <f>Consolidated!$H$9</f>
        <v>1</v>
      </c>
      <c r="I25" s="539">
        <f t="shared" si="3"/>
        <v>0</v>
      </c>
      <c r="J25" s="540">
        <f t="shared" si="1"/>
        <v>0</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0</v>
      </c>
      <c r="D28" s="822">
        <f>SUM(D12:D27)</f>
        <v>0</v>
      </c>
      <c r="E28" s="1025">
        <f>SUM(E12:E27)</f>
        <v>0</v>
      </c>
      <c r="F28" s="1025"/>
      <c r="G28" s="1020"/>
      <c r="H28" s="1020"/>
      <c r="I28" s="23">
        <f>SUM(I12:I27)</f>
        <v>0</v>
      </c>
      <c r="J28" s="116">
        <f>SUM(J12:J27)</f>
        <v>0</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0</v>
      </c>
      <c r="H33" s="1020" t="s">
        <v>45</v>
      </c>
      <c r="I33" s="1020"/>
      <c r="J33" s="32">
        <f>SUM(J32,J28)</f>
        <v>0</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0</v>
      </c>
      <c r="H36" s="37" t="s">
        <v>49</v>
      </c>
      <c r="I36" s="38">
        <v>6.6699999999999995E-2</v>
      </c>
      <c r="J36" s="120">
        <f>ROUND(G36*I36,2)</f>
        <v>0</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0</v>
      </c>
      <c r="H37" s="37" t="s">
        <v>49</v>
      </c>
      <c r="I37" s="38">
        <v>5.4000000000000003E-3</v>
      </c>
      <c r="J37" s="120">
        <f>ROUND(G37*I37,2)</f>
        <v>0</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0</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37" t="s">
        <v>59</v>
      </c>
      <c r="H41" s="37">
        <v>251</v>
      </c>
      <c r="I41" s="125">
        <f>Consolidated!$H59</f>
        <v>1047</v>
      </c>
      <c r="J41" s="46">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4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46">
        <f t="shared" si="9"/>
        <v>0</v>
      </c>
      <c r="M43" s="2"/>
      <c r="R43" s="958"/>
      <c r="S43" s="958"/>
      <c r="T43" s="960"/>
      <c r="U43" s="960"/>
      <c r="V43" s="162" t="s">
        <v>59</v>
      </c>
      <c r="W43" s="162">
        <v>253</v>
      </c>
      <c r="X43" s="123">
        <f>Consolidated!$H61</f>
        <v>6896</v>
      </c>
      <c r="Y43" s="213">
        <f t="shared" si="10"/>
        <v>0</v>
      </c>
    </row>
    <row r="44" spans="1:25" ht="20.25" customHeight="1"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0</v>
      </c>
      <c r="D45" s="824">
        <f>SUMIFS('Surv2-3'!L:L,'Surv2-3'!$H:$H,$I$2,'Surv2-3'!$I:$I,$H45-140)</f>
        <v>0</v>
      </c>
      <c r="E45" s="1013">
        <f t="shared" si="8"/>
        <v>0</v>
      </c>
      <c r="F45" s="1013"/>
      <c r="G45" s="47" t="s">
        <v>60</v>
      </c>
      <c r="H45" s="37">
        <v>252</v>
      </c>
      <c r="I45" s="125">
        <f>Consolidated!$H63</f>
        <v>3506</v>
      </c>
      <c r="J45" s="46">
        <f t="shared" si="9"/>
        <v>0</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4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4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46">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0</v>
      </c>
      <c r="D50" s="825">
        <f>SUM(D41:D49)</f>
        <v>0</v>
      </c>
      <c r="E50" s="1015">
        <f>SUM(E41:E49)</f>
        <v>0</v>
      </c>
      <c r="F50" s="1015"/>
      <c r="G50" s="970" t="s">
        <v>63</v>
      </c>
      <c r="H50" s="970"/>
      <c r="I50" s="970"/>
      <c r="J50" s="220">
        <f>SUM(J41:J49)</f>
        <v>0</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0</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0</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E56</f>
        <v>0</v>
      </c>
      <c r="U55" s="173" t="s">
        <v>66</v>
      </c>
      <c r="V55" s="174"/>
      <c r="W55" s="175" t="s">
        <v>71</v>
      </c>
      <c r="X55" s="977">
        <f>I56</f>
        <v>221131.37000000002</v>
      </c>
      <c r="Y55" s="977"/>
    </row>
    <row r="56" spans="1:25" ht="16.5" customHeight="1" x14ac:dyDescent="0.25">
      <c r="A56" s="953" t="s">
        <v>70</v>
      </c>
      <c r="B56" s="953"/>
      <c r="C56" s="51"/>
      <c r="D56" s="51"/>
      <c r="E56" s="48">
        <f>G33</f>
        <v>0</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0</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0</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0</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0</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0</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0</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0</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0</v>
      </c>
      <c r="J68" s="127">
        <f>ROUND(G68*I68,2)</f>
        <v>0</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0</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0</v>
      </c>
      <c r="J71" s="127">
        <f>ROUND(G71*I71,2)</f>
        <v>0</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0</v>
      </c>
      <c r="J72" s="127">
        <f>ROUND(G72*I72,2)</f>
        <v>0</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0</v>
      </c>
      <c r="J85" s="127">
        <f>ROUND(G85*I85,2)</f>
        <v>0</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0</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0</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130">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0</v>
      </c>
      <c r="C91" s="80"/>
      <c r="D91" s="921">
        <f>I6</f>
        <v>1.0355000000000001</v>
      </c>
      <c r="E91" s="921"/>
      <c r="F91" s="921"/>
      <c r="G91" s="113">
        <f>Consolidated!F$119</f>
        <v>915.09</v>
      </c>
      <c r="H91" s="47" t="s">
        <v>68</v>
      </c>
      <c r="I91" s="129">
        <f>ROUND(B91*D91*G91,2)</f>
        <v>0</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0</v>
      </c>
      <c r="C93" s="80"/>
      <c r="D93" s="80"/>
      <c r="E93" s="999" t="s">
        <v>112</v>
      </c>
      <c r="F93" s="999"/>
      <c r="G93" s="999"/>
      <c r="H93" s="999"/>
      <c r="I93" s="999"/>
      <c r="J93" s="116">
        <f>IF(A1=75,0,I92+I91+I90)</f>
        <v>0</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0</v>
      </c>
      <c r="D97" s="223">
        <v>0</v>
      </c>
      <c r="E97" s="1044">
        <f>IF(D97&gt;0,(C97+D97)/2,C97)</f>
        <v>0</v>
      </c>
      <c r="F97" s="922"/>
      <c r="G97" s="922"/>
      <c r="H97" s="85" t="s">
        <v>117</v>
      </c>
      <c r="I97" s="119">
        <f>Consolidated!G$127</f>
        <v>578</v>
      </c>
      <c r="J97" s="127">
        <f>ROUND(I97*E97,2)</f>
        <v>0</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0</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0</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H113" s="232" t="s">
        <v>495</v>
      </c>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I114" s="233">
        <f>IF(I111=1,J111,J109)</f>
        <v>0</v>
      </c>
      <c r="J114" s="234">
        <f>ROUND(IF(E28=0,0,IF(E28&gt;250,-(((250/E28)*I114)*IF(H113="H",0.02,0.05)),IF(H113="H",-0.02*I114,-0.05*I114))),2)</f>
        <v>0</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0</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Payments'!R102</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0</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0</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93E64-4DB6-4474-9207-57D94554FBEA}">
  <dimension ref="A1:Z207"/>
  <sheetViews>
    <sheetView topLeftCell="A24" workbookViewId="0">
      <selection activeCell="A24" sqref="A24:B24"/>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522</v>
      </c>
      <c r="B2" s="101"/>
      <c r="C2" s="101"/>
      <c r="D2" s="101"/>
      <c r="E2" s="6"/>
      <c r="F2" s="6"/>
      <c r="G2" s="6"/>
      <c r="H2" s="6"/>
      <c r="I2" s="706" t="str">
        <f>RIGHT(A2,4)</f>
        <v>3971</v>
      </c>
      <c r="J2" s="6"/>
      <c r="K2" s="6"/>
      <c r="L2" s="6"/>
      <c r="M2" s="6"/>
      <c r="N2" s="6"/>
      <c r="O2" s="6"/>
      <c r="P2" s="6"/>
      <c r="Q2" s="6"/>
      <c r="R2" s="927" t="str">
        <f>Revenue_Estimate_Worksheet_for___________Charter_School</f>
        <v>Revenue Estimate Worksheet: Palm Beach Preparatory Charter Academy - 3971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H</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0</v>
      </c>
      <c r="D14" s="392">
        <f>SUMIFS('Surv2-3'!L:L,'Surv2-3'!$H:$H,$I$2,'Surv2-3'!$I:$I,$O14)</f>
        <v>0</v>
      </c>
      <c r="E14" s="1020">
        <f t="shared" si="0"/>
        <v>0</v>
      </c>
      <c r="F14" s="1020"/>
      <c r="G14" s="1026">
        <f>Consolidated!$F16</f>
        <v>1</v>
      </c>
      <c r="H14" s="1026">
        <f>Consolidated!$H$9</f>
        <v>1</v>
      </c>
      <c r="I14" s="539">
        <f t="shared" si="3"/>
        <v>0</v>
      </c>
      <c r="J14" s="540">
        <f>ROUND(ROUND(ROUND(I14*$E$6,4)*($I$6),2)*(MAX($I$7,1)),2)</f>
        <v>0</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0</v>
      </c>
      <c r="D15" s="392">
        <f>SUMIFS('Surv2-3'!L:L,'Surv2-3'!$H:$H,$I$2,'Surv2-3'!$I:$I,$O15)</f>
        <v>0</v>
      </c>
      <c r="E15" s="1020">
        <f t="shared" si="0"/>
        <v>0</v>
      </c>
      <c r="F15" s="1020"/>
      <c r="G15" s="1026">
        <f>Consolidated!$F17</f>
        <v>1</v>
      </c>
      <c r="H15" s="1026">
        <f>Consolidated!$H$9</f>
        <v>1</v>
      </c>
      <c r="I15" s="539">
        <f t="shared" si="3"/>
        <v>0</v>
      </c>
      <c r="J15" s="540">
        <f t="shared" si="1"/>
        <v>0</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223.27999999999997</v>
      </c>
      <c r="D16" s="392">
        <f>SUMIFS('Surv2-3'!M:M,'Surv2-3'!$H:$H,$I$2,'Surv2-3'!$I:$I,$O16)</f>
        <v>229.33</v>
      </c>
      <c r="E16" s="1020">
        <f t="shared" si="0"/>
        <v>452.61</v>
      </c>
      <c r="F16" s="1020"/>
      <c r="G16" s="1026">
        <f>Consolidated!$F18</f>
        <v>0.97199999999999998</v>
      </c>
      <c r="H16" s="1026">
        <f>Consolidated!$H$9</f>
        <v>1</v>
      </c>
      <c r="I16" s="539">
        <f t="shared" si="3"/>
        <v>439.93689999999998</v>
      </c>
      <c r="J16" s="540">
        <f t="shared" si="1"/>
        <v>2447512.9700000002</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57.72</v>
      </c>
      <c r="D17" s="392">
        <f>SUMIFS('Surv2-3'!M:M,'Surv2-3'!$H:$H,$I$2,'Surv2-3'!$I:$I,$O17)</f>
        <v>68.64</v>
      </c>
      <c r="E17" s="1020">
        <f t="shared" si="0"/>
        <v>126.36</v>
      </c>
      <c r="F17" s="1020"/>
      <c r="G17" s="1026">
        <f>Consolidated!$F19</f>
        <v>0.97199999999999998</v>
      </c>
      <c r="H17" s="1026">
        <f>Consolidated!$H$9</f>
        <v>1</v>
      </c>
      <c r="I17" s="539">
        <f t="shared" si="3"/>
        <v>122.8219</v>
      </c>
      <c r="J17" s="540">
        <f t="shared" si="1"/>
        <v>683298.43</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v>
      </c>
      <c r="D25" s="392">
        <f>SUMIFS('Surv2-3'!L:L,'Surv2-3'!$H:$H,$I$2,'Surv2-3'!$I:$I,$O25)</f>
        <v>0</v>
      </c>
      <c r="E25" s="1020">
        <f t="shared" si="0"/>
        <v>0</v>
      </c>
      <c r="F25" s="1020"/>
      <c r="G25" s="1026">
        <f>Consolidated!$F27</f>
        <v>1.165</v>
      </c>
      <c r="H25" s="1026">
        <f>Consolidated!$H$9</f>
        <v>1</v>
      </c>
      <c r="I25" s="539">
        <f t="shared" si="3"/>
        <v>0</v>
      </c>
      <c r="J25" s="540">
        <f t="shared" si="1"/>
        <v>0</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23.9</v>
      </c>
      <c r="D26" s="392">
        <f>SUMIFS('Surv2-3'!M:M,'Surv2-3'!$H:$H,$I$2,'Surv2-3'!$I:$I,$O26)</f>
        <v>24.659999999999997</v>
      </c>
      <c r="E26" s="1020">
        <f t="shared" si="0"/>
        <v>48.559999999999995</v>
      </c>
      <c r="F26" s="1020"/>
      <c r="G26" s="1026">
        <f>Consolidated!$F28</f>
        <v>1.165</v>
      </c>
      <c r="H26" s="1026">
        <f>Consolidated!$H$9</f>
        <v>1</v>
      </c>
      <c r="I26" s="539">
        <f t="shared" si="3"/>
        <v>56.572400000000002</v>
      </c>
      <c r="J26" s="540">
        <f t="shared" si="1"/>
        <v>314730.78000000003</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304.89999999999998</v>
      </c>
      <c r="D28" s="822">
        <f>SUM(D12:D27)</f>
        <v>322.63</v>
      </c>
      <c r="E28" s="1025">
        <f>SUM(E12:E27)</f>
        <v>627.53</v>
      </c>
      <c r="F28" s="1025"/>
      <c r="G28" s="1020"/>
      <c r="H28" s="1020"/>
      <c r="I28" s="23">
        <f>SUM(I12:I27)</f>
        <v>619.33119999999997</v>
      </c>
      <c r="J28" s="116">
        <f>SUM(J12:J27)</f>
        <v>3445542.1800000006</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619.33119999999997</v>
      </c>
      <c r="H33" s="1020" t="s">
        <v>45</v>
      </c>
      <c r="I33" s="1020"/>
      <c r="J33" s="32">
        <f>SUM(J32,J28)</f>
        <v>3445542.1800000006</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3482820.36</v>
      </c>
      <c r="H36" s="37" t="s">
        <v>49</v>
      </c>
      <c r="I36" s="38">
        <v>6.6699999999999995E-2</v>
      </c>
      <c r="J36" s="120">
        <f>ROUND(G36*I36,2)</f>
        <v>232304.12</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3482820.36</v>
      </c>
      <c r="H37" s="37" t="s">
        <v>49</v>
      </c>
      <c r="I37" s="38">
        <v>5.4000000000000003E-3</v>
      </c>
      <c r="J37" s="120">
        <f>ROUND(G37*I37,2)</f>
        <v>18807.23</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251111.35</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37" t="s">
        <v>59</v>
      </c>
      <c r="H41" s="37">
        <v>251</v>
      </c>
      <c r="I41" s="125">
        <f>Consolidated!$H59</f>
        <v>1047</v>
      </c>
      <c r="J41" s="537">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537">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537">
        <f t="shared" si="9"/>
        <v>0</v>
      </c>
      <c r="M43" s="2"/>
      <c r="R43" s="958"/>
      <c r="S43" s="958"/>
      <c r="T43" s="960"/>
      <c r="U43" s="960"/>
      <c r="V43" s="162" t="s">
        <v>59</v>
      </c>
      <c r="W43" s="162">
        <v>253</v>
      </c>
      <c r="X43" s="123">
        <f>Consolidated!$H61</f>
        <v>6896</v>
      </c>
      <c r="Y43" s="213">
        <f t="shared" si="10"/>
        <v>0</v>
      </c>
    </row>
    <row r="44" spans="1:25" ht="20.25" customHeight="1"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537">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0</v>
      </c>
      <c r="D45" s="824">
        <f>SUMIFS('Surv2-3'!L:L,'Surv2-3'!$H:$H,$I$2,'Surv2-3'!$I:$I,$H45-140)</f>
        <v>0</v>
      </c>
      <c r="E45" s="1013">
        <f t="shared" si="8"/>
        <v>0</v>
      </c>
      <c r="F45" s="1013"/>
      <c r="G45" s="47" t="s">
        <v>60</v>
      </c>
      <c r="H45" s="37">
        <v>252</v>
      </c>
      <c r="I45" s="125">
        <f>Consolidated!$H63</f>
        <v>3506</v>
      </c>
      <c r="J45" s="537">
        <f t="shared" si="9"/>
        <v>0</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537">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537">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537">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57.72</v>
      </c>
      <c r="D49" s="824">
        <f>SUMIFS('Surv2-3'!M:M,'Surv2-3'!$H:$H,$I$2,'Surv2-3'!$I:$I,$H49-140)</f>
        <v>68.64</v>
      </c>
      <c r="E49" s="1014">
        <f t="shared" si="8"/>
        <v>126.36</v>
      </c>
      <c r="F49" s="1014"/>
      <c r="G49" s="47" t="s">
        <v>61</v>
      </c>
      <c r="H49" s="37">
        <v>253</v>
      </c>
      <c r="I49" s="125">
        <f>Consolidated!$H67</f>
        <v>6685</v>
      </c>
      <c r="J49" s="537">
        <f t="shared" si="9"/>
        <v>844716.6</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57.72</v>
      </c>
      <c r="D50" s="825">
        <f>SUM(D41:D49)</f>
        <v>68.64</v>
      </c>
      <c r="E50" s="1015">
        <f>SUM(E41:E49)</f>
        <v>126.36</v>
      </c>
      <c r="F50" s="1015"/>
      <c r="G50" s="970" t="s">
        <v>63</v>
      </c>
      <c r="H50" s="970"/>
      <c r="I50" s="970"/>
      <c r="J50" s="220">
        <f>SUM(J41:J49)</f>
        <v>844716.6</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627.53</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3.0209999999999998E-3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619.33119999999997</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2.8010000000000001E-3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627.53</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3.5119999999999999E-3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627.53</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3.026E-3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627.53</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3.519E-3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3.026E-3</v>
      </c>
      <c r="J68" s="127">
        <f>ROUND(G68*I68,2)</f>
        <v>138017.32</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3.0209999999999998E-3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3.519E-3</v>
      </c>
      <c r="J71" s="127">
        <f>ROUND(G71*I71,2)</f>
        <v>66719.91</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3.5119999999999999E-3</v>
      </c>
      <c r="J72" s="127">
        <f>ROUND(G72*I72,2)</f>
        <v>39715.07</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v>0.3</v>
      </c>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v>7</v>
      </c>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7.3</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5.6599999999999999E-4</v>
      </c>
      <c r="J84" s="62">
        <f>ROUND(G84*I84,2)</f>
        <v>33112.58</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2.8010000000000001E-3</v>
      </c>
      <c r="J85" s="127">
        <f>ROUND(G85*I85,2)</f>
        <v>752954.39</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2.8010000000000001E-3</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3.0209999999999998E-3</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537">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0</v>
      </c>
      <c r="C91" s="80"/>
      <c r="D91" s="921">
        <f>I6</f>
        <v>1.0355000000000001</v>
      </c>
      <c r="E91" s="921"/>
      <c r="F91" s="921"/>
      <c r="G91" s="113">
        <f>Consolidated!F$119</f>
        <v>915.09</v>
      </c>
      <c r="H91" s="47" t="s">
        <v>68</v>
      </c>
      <c r="I91" s="537">
        <f>ROUND(B91*D91*G91,2)</f>
        <v>0</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619.33119999999997</v>
      </c>
      <c r="C92" s="80"/>
      <c r="D92" s="921">
        <f>I6</f>
        <v>1.0355000000000001</v>
      </c>
      <c r="E92" s="921"/>
      <c r="F92" s="921"/>
      <c r="G92" s="113">
        <f>Consolidated!F$120</f>
        <v>917.3</v>
      </c>
      <c r="H92" s="47" t="s">
        <v>68</v>
      </c>
      <c r="I92" s="537">
        <f>ROUND(B92*D92*G92,2)</f>
        <v>588280.5</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619.33119999999997</v>
      </c>
      <c r="C93" s="80"/>
      <c r="D93" s="80"/>
      <c r="E93" s="999" t="s">
        <v>112</v>
      </c>
      <c r="F93" s="999"/>
      <c r="G93" s="999"/>
      <c r="H93" s="999"/>
      <c r="I93" s="999"/>
      <c r="J93" s="116">
        <f>IF(A1=75,0,I92+I91+I90)</f>
        <v>588280.5</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119</v>
      </c>
      <c r="D97" s="223">
        <v>129</v>
      </c>
      <c r="E97" s="1044">
        <f>IF(D97&gt;0,(C97+D97)/2,C97)</f>
        <v>124</v>
      </c>
      <c r="F97" s="922"/>
      <c r="G97" s="922"/>
      <c r="H97" s="85" t="s">
        <v>117</v>
      </c>
      <c r="I97" s="119">
        <f>Consolidated!G$127</f>
        <v>578</v>
      </c>
      <c r="J97" s="127">
        <f>ROUND(I97*E97,2)</f>
        <v>71672</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5980730.5500000007</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5729619.2000000011</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658"/>
      <c r="I114" s="659">
        <f>IF(I111=1,J111,J109)</f>
        <v>5729619.2000000011</v>
      </c>
      <c r="J114" s="660">
        <f>ROUND(IF(E28=0,0,IF(E28&gt;250,-(((250/E28)*I114)*IF(H114="H",0.02,0.05)),IF(H114="H",-0.02*I114,-0.05*I114))),2)</f>
        <v>-114130.38</v>
      </c>
      <c r="M114" s="2"/>
      <c r="N114" s="3"/>
      <c r="R114" s="2"/>
      <c r="T114" s="4"/>
      <c r="W114" s="2"/>
      <c r="X114" s="5"/>
    </row>
    <row r="115" spans="1:26" ht="16.5" customHeight="1" x14ac:dyDescent="0.25">
      <c r="A115" s="231"/>
      <c r="B115" s="231"/>
      <c r="C115" s="231"/>
      <c r="D115" s="231"/>
      <c r="E115" s="231"/>
      <c r="F115" s="231"/>
      <c r="G115" s="231"/>
      <c r="H115" s="661"/>
      <c r="I115" s="662"/>
      <c r="J115" s="663"/>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664"/>
      <c r="I116" s="665"/>
      <c r="J116" s="666">
        <f>J107+J114</f>
        <v>5866600.1700000009</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61"/>
      <c r="I117" s="662"/>
      <c r="J117" s="663"/>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661"/>
      <c r="I118" s="662"/>
      <c r="J118" s="667">
        <f>-'Cumulative Payments'!R103</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61"/>
      <c r="I119" s="662"/>
      <c r="J119" s="663"/>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661"/>
      <c r="I120" s="662"/>
      <c r="J120" s="663">
        <f>J116+J118</f>
        <v>5866600.1700000009</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61"/>
      <c r="I121" s="662"/>
      <c r="J121" s="663"/>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661"/>
      <c r="I122" s="662"/>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61"/>
      <c r="I123" s="662"/>
      <c r="J123" s="663"/>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661"/>
      <c r="I124" s="662"/>
      <c r="J124" s="669">
        <f>ROUND(J120/J122,2)</f>
        <v>488883.35</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61"/>
      <c r="I125" s="662"/>
      <c r="J125" s="663"/>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661"/>
      <c r="I126" s="662"/>
      <c r="J126" s="670">
        <f>ROUND(IF(H114="H",(I114*0.02)+J114,(I114*0.05)+J114),2)</f>
        <v>172350.58</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ECA24-E1C0-4582-B6B1-2F57AA4B9C2F}">
  <dimension ref="A1:Z207"/>
  <sheetViews>
    <sheetView topLeftCell="A36" workbookViewId="0">
      <selection activeCell="A36" sqref="A36:E36"/>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523</v>
      </c>
      <c r="B2" s="101"/>
      <c r="C2" s="101"/>
      <c r="D2" s="101"/>
      <c r="E2" s="6"/>
      <c r="F2" s="6"/>
      <c r="G2" s="6"/>
      <c r="H2" s="6"/>
      <c r="I2" s="706" t="str">
        <f>RIGHT(A2,4)</f>
        <v>4001</v>
      </c>
      <c r="J2" s="6"/>
      <c r="K2" s="6"/>
      <c r="L2" s="6"/>
      <c r="M2" s="6"/>
      <c r="N2" s="6"/>
      <c r="O2" s="6"/>
      <c r="P2" s="6"/>
      <c r="Q2" s="6"/>
      <c r="R2" s="927" t="str">
        <f>Revenue_Estimate_Worksheet_for___________Charter_School</f>
        <v>Revenue Estimate Worksheet: Renaissance Charter School at Wellington - 4001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M</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90.9</v>
      </c>
      <c r="D12" s="738">
        <f>SUMIFS('Surv2-3'!K:K,'Surv2-3'!$H:$H,$I$2,'Surv2-3'!$I:$I,$O12)</f>
        <v>88.039999999999992</v>
      </c>
      <c r="E12" s="1021">
        <f t="shared" ref="E12:E27" si="0">IF($D$28=0,C12*2,C12+D12)</f>
        <v>178.94</v>
      </c>
      <c r="F12" s="1021"/>
      <c r="G12" s="1037">
        <f>Consolidated!$F14</f>
        <v>1.1080000000000001</v>
      </c>
      <c r="H12" s="1037">
        <f>Consolidated!$H$9</f>
        <v>1</v>
      </c>
      <c r="I12" s="539">
        <f>ROUND(E12*G12,4)</f>
        <v>198.2655</v>
      </c>
      <c r="J12" s="540">
        <f t="shared" ref="J12:J27" si="1">ROUND(ROUND(ROUND(I12*$E$6,4)*($I$6),2)*(MAX($I$7,1)),2)</f>
        <v>1103015.8700000001</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13</v>
      </c>
      <c r="D13" s="392">
        <f>SUMIFS('Surv2-3'!K:K,'Surv2-3'!$H:$H,$I$2,'Surv2-3'!$I:$I,$O13)</f>
        <v>15.059999999999999</v>
      </c>
      <c r="E13" s="1020">
        <f t="shared" si="0"/>
        <v>28.06</v>
      </c>
      <c r="F13" s="1020"/>
      <c r="G13" s="1026">
        <f>Consolidated!$F15</f>
        <v>1.1080000000000001</v>
      </c>
      <c r="H13" s="1026">
        <f>Consolidated!$H$9</f>
        <v>1</v>
      </c>
      <c r="I13" s="539">
        <f t="shared" ref="I13:I27" si="3">ROUND(E13*G13,4)</f>
        <v>31.090499999999999</v>
      </c>
      <c r="J13" s="540">
        <f t="shared" si="1"/>
        <v>172966.63</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149.74</v>
      </c>
      <c r="D14" s="392">
        <f>SUMIFS('Surv2-3'!L:L,'Surv2-3'!$H:$H,$I$2,'Surv2-3'!$I:$I,$O14)</f>
        <v>148.94</v>
      </c>
      <c r="E14" s="1020">
        <f t="shared" si="0"/>
        <v>298.68</v>
      </c>
      <c r="F14" s="1020"/>
      <c r="G14" s="1026">
        <f>Consolidated!$F16</f>
        <v>1</v>
      </c>
      <c r="H14" s="1026">
        <f>Consolidated!$H$9</f>
        <v>1</v>
      </c>
      <c r="I14" s="539">
        <f t="shared" si="3"/>
        <v>298.68</v>
      </c>
      <c r="J14" s="540">
        <f>ROUND(ROUND(ROUND(I14*$E$6,4)*($I$6),2)*(MAX($I$7,1)),2)</f>
        <v>1661654.6</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24</v>
      </c>
      <c r="D15" s="392">
        <f>SUMIFS('Surv2-3'!L:L,'Surv2-3'!$H:$H,$I$2,'Surv2-3'!$I:$I,$O15)</f>
        <v>23.5</v>
      </c>
      <c r="E15" s="1020">
        <f t="shared" si="0"/>
        <v>47.5</v>
      </c>
      <c r="F15" s="1020"/>
      <c r="G15" s="1026">
        <f>Consolidated!$F17</f>
        <v>1</v>
      </c>
      <c r="H15" s="1026">
        <f>Consolidated!$H$9</f>
        <v>1</v>
      </c>
      <c r="I15" s="539">
        <f t="shared" si="3"/>
        <v>47.5</v>
      </c>
      <c r="J15" s="540">
        <f t="shared" si="1"/>
        <v>264258.05</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28.6</v>
      </c>
      <c r="D24" s="392">
        <f>SUMIFS('Surv2-3'!K:K,'Surv2-3'!$H:$H,$I$2,'Surv2-3'!$I:$I,$O24)</f>
        <v>28.16</v>
      </c>
      <c r="E24" s="1020">
        <f t="shared" si="0"/>
        <v>56.760000000000005</v>
      </c>
      <c r="F24" s="1020"/>
      <c r="G24" s="1026">
        <f>Consolidated!$F26</f>
        <v>1.165</v>
      </c>
      <c r="H24" s="1026">
        <f>Consolidated!$H$9</f>
        <v>1</v>
      </c>
      <c r="I24" s="539">
        <f t="shared" si="3"/>
        <v>66.125399999999999</v>
      </c>
      <c r="J24" s="540">
        <f t="shared" si="1"/>
        <v>367877.24</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15.260000000000002</v>
      </c>
      <c r="D25" s="392">
        <f>SUMIFS('Surv2-3'!L:L,'Surv2-3'!$H:$H,$I$2,'Surv2-3'!$I:$I,$O25)</f>
        <v>13.580000000000002</v>
      </c>
      <c r="E25" s="1020">
        <f t="shared" si="0"/>
        <v>28.840000000000003</v>
      </c>
      <c r="F25" s="1020"/>
      <c r="G25" s="1026">
        <f>Consolidated!$F27</f>
        <v>1.165</v>
      </c>
      <c r="H25" s="1026">
        <f>Consolidated!$H$9</f>
        <v>1</v>
      </c>
      <c r="I25" s="539">
        <f t="shared" si="3"/>
        <v>33.598599999999998</v>
      </c>
      <c r="J25" s="540">
        <f t="shared" si="1"/>
        <v>186920.01</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321.5</v>
      </c>
      <c r="D28" s="822">
        <f>SUM(D12:D27)</f>
        <v>317.27999999999997</v>
      </c>
      <c r="E28" s="1025">
        <f>SUM(E12:E27)</f>
        <v>638.78000000000009</v>
      </c>
      <c r="F28" s="1025"/>
      <c r="G28" s="1020"/>
      <c r="H28" s="1020"/>
      <c r="I28" s="23">
        <f>SUM(I12:I27)</f>
        <v>675.2600000000001</v>
      </c>
      <c r="J28" s="116">
        <f>SUM(J12:J27)</f>
        <v>3756692.3999999994</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675.2600000000001</v>
      </c>
      <c r="H33" s="1020" t="s">
        <v>45</v>
      </c>
      <c r="I33" s="1020"/>
      <c r="J33" s="32">
        <f>SUM(J32,J28)</f>
        <v>3756692.3999999994</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4028326.8499999996</v>
      </c>
      <c r="H36" s="37" t="s">
        <v>49</v>
      </c>
      <c r="I36" s="38">
        <v>6.6699999999999995E-2</v>
      </c>
      <c r="J36" s="120">
        <f>ROUND(G36*I36,2)</f>
        <v>268689.40000000002</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4028326.8499999996</v>
      </c>
      <c r="H37" s="37" t="s">
        <v>49</v>
      </c>
      <c r="I37" s="38">
        <v>5.4000000000000003E-3</v>
      </c>
      <c r="J37" s="120">
        <f>ROUND(G37*I37,2)</f>
        <v>21752.959999999999</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290442.36000000004</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13</v>
      </c>
      <c r="D41" s="737">
        <f>SUMIFS('Surv2-3'!K:K,'Surv2-3'!$H:$H,$I$2,'Surv2-3'!$I:$I,$H41-140)</f>
        <v>15.059999999999999</v>
      </c>
      <c r="E41" s="1013">
        <f t="shared" ref="E41:E49" si="8">IF($D$50=0,C41*2,C41+D41)</f>
        <v>28.06</v>
      </c>
      <c r="F41" s="1013"/>
      <c r="G41" s="37" t="s">
        <v>59</v>
      </c>
      <c r="H41" s="37">
        <v>251</v>
      </c>
      <c r="I41" s="125">
        <f>Consolidated!$H59</f>
        <v>1047</v>
      </c>
      <c r="J41" s="537">
        <f t="shared" ref="J41:J49" si="9">ROUND(E41*I41,2)</f>
        <v>29378.82</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537">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537">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537">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24</v>
      </c>
      <c r="D45" s="824">
        <f>SUMIFS('Surv2-3'!L:L,'Surv2-3'!$H:$H,$I$2,'Surv2-3'!$I:$I,$H45-140)</f>
        <v>23.5</v>
      </c>
      <c r="E45" s="1013">
        <f t="shared" si="8"/>
        <v>47.5</v>
      </c>
      <c r="F45" s="1013"/>
      <c r="G45" s="47" t="s">
        <v>60</v>
      </c>
      <c r="H45" s="37">
        <v>252</v>
      </c>
      <c r="I45" s="125">
        <f>Consolidated!$H63</f>
        <v>3506</v>
      </c>
      <c r="J45" s="537">
        <f t="shared" si="9"/>
        <v>166535</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537">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537">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537">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537">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37</v>
      </c>
      <c r="D50" s="825">
        <f>SUM(D41:D49)</f>
        <v>38.56</v>
      </c>
      <c r="E50" s="1015">
        <f>SUM(E41:E49)</f>
        <v>75.56</v>
      </c>
      <c r="F50" s="1015"/>
      <c r="G50" s="970" t="s">
        <v>63</v>
      </c>
      <c r="H50" s="970"/>
      <c r="I50" s="970"/>
      <c r="J50" s="220">
        <f>SUM(J41:J49)</f>
        <v>195913.82</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638.78000000000009</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3.075E-3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675.2600000000001</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3.0539999999999999E-3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638.78000000000009</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3.5750000000000001E-3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638.78000000000009</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3.0799999999999998E-3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638.78000000000009</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3.5820000000000001E-3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3.0799999999999998E-3</v>
      </c>
      <c r="J68" s="127">
        <f>ROUND(G68*I68,2)</f>
        <v>140480.29</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3.075E-3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3.5820000000000001E-3</v>
      </c>
      <c r="J71" s="127">
        <f>ROUND(G71*I71,2)</f>
        <v>67914.38</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3.5750000000000001E-3</v>
      </c>
      <c r="J72" s="127">
        <f>ROUND(G72*I72,2)</f>
        <v>40427.5</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3.0539999999999999E-3</v>
      </c>
      <c r="J85" s="127">
        <f>ROUND(G85*I85,2)</f>
        <v>820964.91</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3.0539999999999999E-3</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3.075E-3</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295.48140000000001</v>
      </c>
      <c r="C90" s="80"/>
      <c r="D90" s="921">
        <f>I6</f>
        <v>1.0355000000000001</v>
      </c>
      <c r="E90" s="921"/>
      <c r="F90" s="921"/>
      <c r="G90" s="113">
        <f>Consolidated!F$118</f>
        <v>958.42</v>
      </c>
      <c r="H90" s="47" t="s">
        <v>68</v>
      </c>
      <c r="I90" s="537">
        <f>ROUND(B90*D90*G90,2)</f>
        <v>293248.71999999997</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379.77859999999998</v>
      </c>
      <c r="C91" s="80"/>
      <c r="D91" s="921">
        <f>I6</f>
        <v>1.0355000000000001</v>
      </c>
      <c r="E91" s="921"/>
      <c r="F91" s="921"/>
      <c r="G91" s="113">
        <f>Consolidated!F$119</f>
        <v>915.09</v>
      </c>
      <c r="H91" s="47" t="s">
        <v>68</v>
      </c>
      <c r="I91" s="537">
        <f>ROUND(B91*D91*G91,2)</f>
        <v>359868.97</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675.26</v>
      </c>
      <c r="C93" s="80"/>
      <c r="D93" s="80"/>
      <c r="E93" s="999" t="s">
        <v>112</v>
      </c>
      <c r="F93" s="999"/>
      <c r="G93" s="999"/>
      <c r="H93" s="999"/>
      <c r="I93" s="999"/>
      <c r="J93" s="116">
        <f>IF(A1=75,0,I92+I91+I90)</f>
        <v>653117.68999999994</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89</v>
      </c>
      <c r="D97" s="223">
        <v>93</v>
      </c>
      <c r="E97" s="1044">
        <f>IF(D97&gt;0,(C97+D97)/2,C97)</f>
        <v>91</v>
      </c>
      <c r="F97" s="922"/>
      <c r="G97" s="922"/>
      <c r="H97" s="85" t="s">
        <v>117</v>
      </c>
      <c r="I97" s="119">
        <f>Consolidated!G$127</f>
        <v>578</v>
      </c>
      <c r="J97" s="127">
        <f>ROUND(I97*E97,2)</f>
        <v>52598</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5728108.9900000002</v>
      </c>
      <c r="L107" s="538"/>
      <c r="R107" s="955" t="s">
        <v>125</v>
      </c>
      <c r="S107" s="955"/>
      <c r="T107" s="955"/>
      <c r="U107" s="955"/>
      <c r="V107" s="955"/>
      <c r="W107" s="955"/>
      <c r="X107" s="955"/>
      <c r="Y107" s="208">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5437666.6299999999</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232"/>
      <c r="I114" s="233">
        <f>IF(I111=1,J111,J109)</f>
        <v>5437666.6299999999</v>
      </c>
      <c r="J114" s="234">
        <f>ROUND(IF(E28=0,0,IF(E28&gt;250,-(((250/E28)*I114)*IF(H114="H",0.02,0.05)),IF(H114="H",-0.02*I114,-0.05*I114))),2)</f>
        <v>-106407.27</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5621701.7200000007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Payments'!R104</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5621701.7200000007</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468475.14</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ROUND(IF(H114="H",(I114*0.02)+J114,(I114*0.05)+J114),2)</f>
        <v>165476.06</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9059D-29DC-455A-97BC-3EE0077BD69A}">
  <dimension ref="A1:Z207"/>
  <sheetViews>
    <sheetView topLeftCell="A36" workbookViewId="0">
      <selection activeCell="A36" sqref="A36:E36"/>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524</v>
      </c>
      <c r="B2" s="101"/>
      <c r="C2" s="101"/>
      <c r="D2" s="101"/>
      <c r="E2" s="6"/>
      <c r="F2" s="6"/>
      <c r="G2" s="6"/>
      <c r="H2" s="6"/>
      <c r="I2" s="706" t="str">
        <f>RIGHT(A2,4)</f>
        <v>4002</v>
      </c>
      <c r="J2" s="6"/>
      <c r="K2" s="6"/>
      <c r="L2" s="6"/>
      <c r="M2" s="6"/>
      <c r="N2" s="6"/>
      <c r="O2" s="6"/>
      <c r="P2" s="6"/>
      <c r="Q2" s="6"/>
      <c r="R2" s="927" t="str">
        <f>Revenue_Estimate_Worksheet_for___________Charter_School</f>
        <v>Revenue Estimate Worksheet: Renaissance Charter School at Summit - 4002</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M</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97.49</v>
      </c>
      <c r="D12" s="738">
        <f>SUMIFS('Surv2-3'!K:K,'Surv2-3'!$H:$H,$I$2,'Surv2-3'!$I:$I,$O12)</f>
        <v>93.34</v>
      </c>
      <c r="E12" s="1021">
        <f t="shared" ref="E12:E27" si="0">IF($D$28=0,C12*2,C12+D12)</f>
        <v>190.82999999999998</v>
      </c>
      <c r="F12" s="1021"/>
      <c r="G12" s="1037">
        <f>Consolidated!$F14</f>
        <v>1.1080000000000001</v>
      </c>
      <c r="H12" s="1037">
        <f>Consolidated!$H$9</f>
        <v>1</v>
      </c>
      <c r="I12" s="539">
        <f>ROUND(E12*G12,4)</f>
        <v>211.43960000000001</v>
      </c>
      <c r="J12" s="540">
        <f t="shared" ref="J12:J27" si="1">ROUND(ROUND(ROUND(I12*$E$6,4)*($I$6),2)*(MAX($I$7,1)),2)</f>
        <v>1176307.7</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14</v>
      </c>
      <c r="D13" s="392">
        <f>SUMIFS('Surv2-3'!K:K,'Surv2-3'!$H:$H,$I$2,'Surv2-3'!$I:$I,$O13)</f>
        <v>13</v>
      </c>
      <c r="E13" s="1020">
        <f t="shared" si="0"/>
        <v>27</v>
      </c>
      <c r="F13" s="1020"/>
      <c r="G13" s="1026">
        <f>Consolidated!$F15</f>
        <v>1.1080000000000001</v>
      </c>
      <c r="H13" s="1026">
        <f>Consolidated!$H$9</f>
        <v>1</v>
      </c>
      <c r="I13" s="539">
        <f t="shared" ref="I13:I27" si="3">ROUND(E13*G13,4)</f>
        <v>29.916</v>
      </c>
      <c r="J13" s="540">
        <f t="shared" si="1"/>
        <v>166432.5</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177.15</v>
      </c>
      <c r="D14" s="392">
        <f>SUMIFS('Surv2-3'!L:L,'Surv2-3'!$H:$H,$I$2,'Surv2-3'!$I:$I,$O14)</f>
        <v>173.72</v>
      </c>
      <c r="E14" s="1020">
        <f t="shared" si="0"/>
        <v>350.87</v>
      </c>
      <c r="F14" s="1020"/>
      <c r="G14" s="1026">
        <f>Consolidated!$F16</f>
        <v>1</v>
      </c>
      <c r="H14" s="1026">
        <f>Consolidated!$H$9</f>
        <v>1</v>
      </c>
      <c r="I14" s="539">
        <f t="shared" si="3"/>
        <v>350.87</v>
      </c>
      <c r="J14" s="540">
        <f>ROUND(ROUND(ROUND(I14*$E$6,4)*($I$6),2)*(MAX($I$7,1)),2)</f>
        <v>1952004.65</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25.5</v>
      </c>
      <c r="D15" s="392">
        <f>SUMIFS('Surv2-3'!L:L,'Surv2-3'!$H:$H,$I$2,'Surv2-3'!$I:$I,$O15)</f>
        <v>23.939999999999998</v>
      </c>
      <c r="E15" s="1020">
        <f t="shared" si="0"/>
        <v>49.44</v>
      </c>
      <c r="F15" s="1020"/>
      <c r="G15" s="1026">
        <f>Consolidated!$F17</f>
        <v>1</v>
      </c>
      <c r="H15" s="1026">
        <f>Consolidated!$H$9</f>
        <v>1</v>
      </c>
      <c r="I15" s="539">
        <f t="shared" si="3"/>
        <v>49.44</v>
      </c>
      <c r="J15" s="540">
        <f t="shared" si="1"/>
        <v>275050.90000000002</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92.51</v>
      </c>
      <c r="D24" s="392">
        <f>SUMIFS('Surv2-3'!K:K,'Surv2-3'!$H:$H,$I$2,'Surv2-3'!$I:$I,$O24)</f>
        <v>87.22</v>
      </c>
      <c r="E24" s="1020">
        <f t="shared" si="0"/>
        <v>179.73000000000002</v>
      </c>
      <c r="F24" s="1020"/>
      <c r="G24" s="1026">
        <f>Consolidated!$F26</f>
        <v>1.165</v>
      </c>
      <c r="H24" s="1026">
        <f>Consolidated!$H$9</f>
        <v>1</v>
      </c>
      <c r="I24" s="539">
        <f t="shared" si="3"/>
        <v>209.38550000000001</v>
      </c>
      <c r="J24" s="540">
        <f t="shared" si="1"/>
        <v>1164880.07</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38.35</v>
      </c>
      <c r="D25" s="392">
        <f>SUMIFS('Surv2-3'!L:L,'Surv2-3'!$H:$H,$I$2,'Surv2-3'!$I:$I,$O25)</f>
        <v>38.25</v>
      </c>
      <c r="E25" s="1020">
        <f t="shared" si="0"/>
        <v>76.599999999999994</v>
      </c>
      <c r="F25" s="1020"/>
      <c r="G25" s="1026">
        <f>Consolidated!$F27</f>
        <v>1.165</v>
      </c>
      <c r="H25" s="1026">
        <f>Consolidated!$H$9</f>
        <v>1</v>
      </c>
      <c r="I25" s="539">
        <f t="shared" si="3"/>
        <v>89.239000000000004</v>
      </c>
      <c r="J25" s="540">
        <f t="shared" si="1"/>
        <v>496465.76</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445</v>
      </c>
      <c r="D28" s="822">
        <f>SUM(D12:D27)</f>
        <v>429.47</v>
      </c>
      <c r="E28" s="1025">
        <f>SUM(E12:E27)</f>
        <v>874.47000000000014</v>
      </c>
      <c r="F28" s="1025"/>
      <c r="G28" s="1020"/>
      <c r="H28" s="1020"/>
      <c r="I28" s="23">
        <f>SUM(I12:I27)</f>
        <v>940.29010000000005</v>
      </c>
      <c r="J28" s="116">
        <f>SUM(J12:J27)</f>
        <v>5231141.5799999991</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940.29010000000005</v>
      </c>
      <c r="H33" s="1020" t="s">
        <v>45</v>
      </c>
      <c r="I33" s="1020"/>
      <c r="J33" s="32">
        <f>SUM(J32,J28)</f>
        <v>5231141.5799999991</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5896605.1099999994</v>
      </c>
      <c r="H36" s="37" t="s">
        <v>49</v>
      </c>
      <c r="I36" s="38">
        <v>6.6699999999999995E-2</v>
      </c>
      <c r="J36" s="120">
        <f>ROUND(G36*I36,2)</f>
        <v>393303.56</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5896605.1099999994</v>
      </c>
      <c r="H37" s="37" t="s">
        <v>49</v>
      </c>
      <c r="I37" s="38">
        <v>5.4000000000000003E-3</v>
      </c>
      <c r="J37" s="120">
        <f>ROUND(G37*I37,2)</f>
        <v>31841.67</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425145.23</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14</v>
      </c>
      <c r="D41" s="737">
        <f>SUMIFS('Surv2-3'!K:K,'Surv2-3'!$H:$H,$I$2,'Surv2-3'!$I:$I,$H41-140)</f>
        <v>13</v>
      </c>
      <c r="E41" s="1013">
        <f t="shared" ref="E41:E49" si="8">IF($D$50=0,C41*2,C41+D41)</f>
        <v>27</v>
      </c>
      <c r="F41" s="1013"/>
      <c r="G41" s="37" t="s">
        <v>59</v>
      </c>
      <c r="H41" s="37">
        <v>251</v>
      </c>
      <c r="I41" s="125">
        <f>Consolidated!$H59</f>
        <v>1047</v>
      </c>
      <c r="J41" s="537">
        <f t="shared" ref="J41:J49" si="9">ROUND(E41*I41,2)</f>
        <v>28269</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537">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537">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537">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25.5</v>
      </c>
      <c r="D45" s="824">
        <f>SUMIFS('Surv2-3'!L:L,'Surv2-3'!$H:$H,$I$2,'Surv2-3'!$I:$I,$H45-140)</f>
        <v>23.939999999999998</v>
      </c>
      <c r="E45" s="1013">
        <f t="shared" si="8"/>
        <v>49.44</v>
      </c>
      <c r="F45" s="1013"/>
      <c r="G45" s="47" t="s">
        <v>60</v>
      </c>
      <c r="H45" s="37">
        <v>252</v>
      </c>
      <c r="I45" s="125">
        <f>Consolidated!$H63</f>
        <v>3506</v>
      </c>
      <c r="J45" s="537">
        <f t="shared" si="9"/>
        <v>173336.64</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537">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537">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537">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537">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39.5</v>
      </c>
      <c r="D50" s="825">
        <f>SUM(D41:D49)</f>
        <v>36.94</v>
      </c>
      <c r="E50" s="1015">
        <f>SUM(E41:E49)</f>
        <v>76.44</v>
      </c>
      <c r="F50" s="1015"/>
      <c r="G50" s="970" t="s">
        <v>63</v>
      </c>
      <c r="H50" s="970"/>
      <c r="I50" s="970"/>
      <c r="J50" s="220">
        <f>SUM(J41:J49)</f>
        <v>201605.64</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874.47000000000014</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4.2100000000000002E-3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940.29010000000005</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4.2519999999999997E-3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874.47000000000014</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4.8939999999999999E-3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874.47000000000014</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4.2170000000000003E-3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874.47000000000014</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4.9040000000000004E-3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4.2170000000000003E-3</v>
      </c>
      <c r="J68" s="127">
        <f>ROUND(G68*I68,2)</f>
        <v>192339.41</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4.2100000000000002E-3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4.9040000000000004E-3</v>
      </c>
      <c r="J71" s="127">
        <f>ROUND(G71*I71,2)</f>
        <v>92979.38</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4.8939999999999999E-3</v>
      </c>
      <c r="J72" s="127">
        <f>ROUND(G72*I72,2)</f>
        <v>55343.27</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4.2519999999999997E-3</v>
      </c>
      <c r="J85" s="127">
        <f>ROUND(G85*I85,2)</f>
        <v>1143006.81</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4.2519999999999997E-3</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4.2100000000000002E-3</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450.74110000000002</v>
      </c>
      <c r="C90" s="80"/>
      <c r="D90" s="921">
        <f>I6</f>
        <v>1.0355000000000001</v>
      </c>
      <c r="E90" s="921"/>
      <c r="F90" s="921"/>
      <c r="G90" s="113">
        <f>Consolidated!F$118</f>
        <v>958.42</v>
      </c>
      <c r="H90" s="47" t="s">
        <v>68</v>
      </c>
      <c r="I90" s="130">
        <f>ROUND(B90*D90*G90,2)</f>
        <v>447335.26</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489.54899999999998</v>
      </c>
      <c r="C91" s="80"/>
      <c r="D91" s="921">
        <f>I6</f>
        <v>1.0355000000000001</v>
      </c>
      <c r="E91" s="921"/>
      <c r="F91" s="921"/>
      <c r="G91" s="113">
        <f>Consolidated!F$119</f>
        <v>915.09</v>
      </c>
      <c r="H91" s="47" t="s">
        <v>68</v>
      </c>
      <c r="I91" s="129">
        <f>ROUND(B91*D91*G91,2)</f>
        <v>463884.73</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940.29009999999994</v>
      </c>
      <c r="C93" s="80"/>
      <c r="D93" s="80"/>
      <c r="E93" s="999" t="s">
        <v>112</v>
      </c>
      <c r="F93" s="999"/>
      <c r="G93" s="999"/>
      <c r="H93" s="999"/>
      <c r="I93" s="999"/>
      <c r="J93" s="116">
        <f>IF(A1=75,0,I92+I91+I90)</f>
        <v>911219.99</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0</v>
      </c>
      <c r="D97" s="223">
        <v>1</v>
      </c>
      <c r="E97" s="1044">
        <f>IF(D97&gt;0,(C97+D97)/2,C97)</f>
        <v>0.5</v>
      </c>
      <c r="F97" s="922"/>
      <c r="G97" s="922"/>
      <c r="H97" s="85" t="s">
        <v>117</v>
      </c>
      <c r="I97" s="119">
        <f>Consolidated!G$127</f>
        <v>578</v>
      </c>
      <c r="J97" s="127">
        <f>ROUND(I97*E97,2)</f>
        <v>289</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7827925.0799999991</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7402779.8499999996</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658"/>
      <c r="I114" s="659">
        <f>IF(I111=1,J111,J109)</f>
        <v>7402779.8499999996</v>
      </c>
      <c r="J114" s="660">
        <f>ROUND(IF(E28=0,0,IF(E28&gt;250,-(((250/E28)*I114)*IF(H114="H",0.02,0.05)),IF(H114="H",-0.02*I114,-0.05*I114))),2)</f>
        <v>-105818.09</v>
      </c>
      <c r="M114" s="2"/>
      <c r="N114" s="3"/>
      <c r="R114" s="2"/>
      <c r="T114" s="4"/>
      <c r="W114" s="2"/>
      <c r="X114" s="5"/>
    </row>
    <row r="115" spans="1:26" ht="16.5" customHeight="1" x14ac:dyDescent="0.25">
      <c r="A115" s="231"/>
      <c r="B115" s="231"/>
      <c r="C115" s="231"/>
      <c r="D115" s="231"/>
      <c r="E115" s="231"/>
      <c r="F115" s="231"/>
      <c r="G115" s="231"/>
      <c r="H115" s="661"/>
      <c r="I115" s="662"/>
      <c r="J115" s="663"/>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664"/>
      <c r="I116" s="665"/>
      <c r="J116" s="666">
        <f>J107+J114</f>
        <v>7722106.9899999993</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61"/>
      <c r="I117" s="662"/>
      <c r="J117" s="663"/>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661"/>
      <c r="I118" s="662"/>
      <c r="J118" s="667">
        <f>-'Cumulative Payments'!R105</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61"/>
      <c r="I119" s="662"/>
      <c r="J119" s="663"/>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661"/>
      <c r="I120" s="662"/>
      <c r="J120" s="663">
        <f>J116+J118</f>
        <v>7722106.9899999993</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61"/>
      <c r="I121" s="662"/>
      <c r="J121" s="663"/>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661"/>
      <c r="I122" s="662"/>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61"/>
      <c r="I123" s="662"/>
      <c r="J123" s="663"/>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661"/>
      <c r="I124" s="662"/>
      <c r="J124" s="669">
        <f>ROUND(J120/J122,2)</f>
        <v>643508.92000000004</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61"/>
      <c r="I125" s="662"/>
      <c r="J125" s="663"/>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661"/>
      <c r="I126" s="662"/>
      <c r="J126" s="670">
        <f>ROUND(IF(H114="H",(I114*0.02)+J114,(I114*0.05)+J114),2)</f>
        <v>264320.90000000002</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1382C-0C61-48E7-BEF0-2DA4B2E25161}">
  <sheetPr>
    <tabColor theme="0" tint="-0.34998626667073579"/>
  </sheetPr>
  <dimension ref="A1:Z207"/>
  <sheetViews>
    <sheetView topLeftCell="A128" workbookViewId="0">
      <selection activeCell="A106" sqref="A106:E106"/>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525</v>
      </c>
      <c r="B2" s="101"/>
      <c r="C2" s="101"/>
      <c r="D2" s="101"/>
      <c r="E2" s="6"/>
      <c r="F2" s="6"/>
      <c r="G2" s="6"/>
      <c r="H2" s="6"/>
      <c r="I2" s="706" t="str">
        <f>RIGHT(A2,4)</f>
        <v>4012</v>
      </c>
      <c r="J2" s="6"/>
      <c r="K2" s="6"/>
      <c r="L2" s="6"/>
      <c r="M2" s="6"/>
      <c r="N2" s="6"/>
      <c r="O2" s="6"/>
      <c r="P2" s="6"/>
      <c r="Q2" s="6"/>
      <c r="R2" s="927" t="str">
        <f>Revenue_Estimate_Worksheet_for___________Charter_School</f>
        <v>Revenue Estimate Worksheet: Somerset Academy Canyons Middle School - 4012</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E</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0</v>
      </c>
      <c r="D14" s="392">
        <f>SUMIFS('Surv2-3'!L:L,'Surv2-3'!$H:$H,$I$2,'Surv2-3'!$I:$I,$O14)</f>
        <v>0</v>
      </c>
      <c r="E14" s="1020">
        <f t="shared" si="0"/>
        <v>0</v>
      </c>
      <c r="F14" s="1020"/>
      <c r="G14" s="1026">
        <f>Consolidated!$F16</f>
        <v>1</v>
      </c>
      <c r="H14" s="1026">
        <f>Consolidated!$H$9</f>
        <v>1</v>
      </c>
      <c r="I14" s="539">
        <f t="shared" si="3"/>
        <v>0</v>
      </c>
      <c r="J14" s="540">
        <f>ROUND(ROUND(ROUND(I14*$E$6,4)*($I$6),2)*(MAX($I$7,1)),2)</f>
        <v>0</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0</v>
      </c>
      <c r="D15" s="392">
        <f>SUMIFS('Surv2-3'!L:L,'Surv2-3'!$H:$H,$I$2,'Surv2-3'!$I:$I,$O15)</f>
        <v>0</v>
      </c>
      <c r="E15" s="1020">
        <f t="shared" si="0"/>
        <v>0</v>
      </c>
      <c r="F15" s="1020"/>
      <c r="G15" s="1026">
        <f>Consolidated!$F17</f>
        <v>1</v>
      </c>
      <c r="H15" s="1026">
        <f>Consolidated!$H$9</f>
        <v>1</v>
      </c>
      <c r="I15" s="539">
        <f t="shared" si="3"/>
        <v>0</v>
      </c>
      <c r="J15" s="540">
        <f t="shared" si="1"/>
        <v>0</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v>
      </c>
      <c r="D25" s="392">
        <f>SUMIFS('Surv2-3'!L:L,'Surv2-3'!$H:$H,$I$2,'Surv2-3'!$I:$I,$O25)</f>
        <v>0</v>
      </c>
      <c r="E25" s="1020">
        <f t="shared" si="0"/>
        <v>0</v>
      </c>
      <c r="F25" s="1020"/>
      <c r="G25" s="1026">
        <f>Consolidated!$F27</f>
        <v>1.165</v>
      </c>
      <c r="H25" s="1026">
        <f>Consolidated!$H$9</f>
        <v>1</v>
      </c>
      <c r="I25" s="539">
        <f t="shared" si="3"/>
        <v>0</v>
      </c>
      <c r="J25" s="540">
        <f t="shared" si="1"/>
        <v>0</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0</v>
      </c>
      <c r="D28" s="821">
        <f>SUM(D12:D27)</f>
        <v>0</v>
      </c>
      <c r="E28" s="1025">
        <f>SUM(E12:E27)</f>
        <v>0</v>
      </c>
      <c r="F28" s="1025"/>
      <c r="G28" s="1020"/>
      <c r="H28" s="1020"/>
      <c r="I28" s="23">
        <f>SUM(I12:I27)</f>
        <v>0</v>
      </c>
      <c r="J28" s="116">
        <f>SUM(J12:J27)</f>
        <v>0</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0</v>
      </c>
      <c r="H33" s="1020" t="s">
        <v>45</v>
      </c>
      <c r="I33" s="1020"/>
      <c r="J33" s="32">
        <f>SUM(J32,J28)</f>
        <v>0</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f>3326749*0</f>
        <v>0</v>
      </c>
      <c r="H36" s="37" t="s">
        <v>49</v>
      </c>
      <c r="I36" s="38">
        <v>6.6699999999999995E-2</v>
      </c>
      <c r="J36" s="120">
        <f>ROUND(G36*I36,2)</f>
        <v>0</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f>3326749*0</f>
        <v>0</v>
      </c>
      <c r="H37" s="37" t="s">
        <v>49</v>
      </c>
      <c r="I37" s="38">
        <v>5.4000000000000003E-3</v>
      </c>
      <c r="J37" s="120">
        <f>ROUND(G37*I37,2)</f>
        <v>0</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0</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37" t="s">
        <v>59</v>
      </c>
      <c r="H41" s="37">
        <v>251</v>
      </c>
      <c r="I41" s="125">
        <f>Consolidated!$H59</f>
        <v>1047</v>
      </c>
      <c r="J41" s="537">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537">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537">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537">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0</v>
      </c>
      <c r="D45" s="824">
        <f>SUMIFS('Surv2-3'!L:L,'Surv2-3'!$H:$H,$I$2,'Surv2-3'!$I:$I,$H45-140)</f>
        <v>0</v>
      </c>
      <c r="E45" s="1013">
        <f t="shared" si="8"/>
        <v>0</v>
      </c>
      <c r="F45" s="1013"/>
      <c r="G45" s="47" t="s">
        <v>60</v>
      </c>
      <c r="H45" s="37">
        <v>252</v>
      </c>
      <c r="I45" s="125">
        <f>Consolidated!$H63</f>
        <v>3506</v>
      </c>
      <c r="J45" s="537">
        <f t="shared" si="9"/>
        <v>0</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537">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537">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537">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537">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0</v>
      </c>
      <c r="D50" s="825">
        <f>SUM(D41:D49)</f>
        <v>0</v>
      </c>
      <c r="E50" s="1015">
        <f>SUM(E41:E49)</f>
        <v>0</v>
      </c>
      <c r="F50" s="1015"/>
      <c r="G50" s="970" t="s">
        <v>63</v>
      </c>
      <c r="H50" s="970"/>
      <c r="I50" s="970"/>
      <c r="J50" s="220">
        <f>SUM(J41:J49)</f>
        <v>0</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0</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0</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0</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0</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0</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0</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0</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0</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0</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0</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0</v>
      </c>
      <c r="J68" s="127">
        <f>ROUND(G68*I68,2)</f>
        <v>0</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0</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0</v>
      </c>
      <c r="J71" s="127">
        <f>ROUND(G71*I71,2)</f>
        <v>0</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0</v>
      </c>
      <c r="J72" s="127">
        <f>ROUND(G72*I72,2)</f>
        <v>0</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74">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0</v>
      </c>
      <c r="J85" s="674">
        <f>ROUND(G85*I85,2)</f>
        <v>0</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0</v>
      </c>
      <c r="J86" s="674">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0</v>
      </c>
      <c r="J87" s="674">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537">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0</v>
      </c>
      <c r="C91" s="80"/>
      <c r="D91" s="921">
        <f>I6</f>
        <v>1.0355000000000001</v>
      </c>
      <c r="E91" s="921"/>
      <c r="F91" s="921"/>
      <c r="G91" s="113">
        <f>Consolidated!F$119</f>
        <v>915.09</v>
      </c>
      <c r="H91" s="47" t="s">
        <v>68</v>
      </c>
      <c r="I91" s="537">
        <f>ROUND(B91*D91*G91,2)</f>
        <v>0</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0</v>
      </c>
      <c r="C93" s="80"/>
      <c r="D93" s="80"/>
      <c r="E93" s="999" t="s">
        <v>112</v>
      </c>
      <c r="F93" s="999"/>
      <c r="G93" s="999"/>
      <c r="H93" s="999"/>
      <c r="I93" s="999"/>
      <c r="J93" s="116">
        <f>IF(A1=75,0,I92+I91+I90)</f>
        <v>0</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0</v>
      </c>
      <c r="D97" s="223">
        <v>0</v>
      </c>
      <c r="E97" s="1044">
        <f>IF(D97&gt;0,(C97+D97)/2,C97)</f>
        <v>0</v>
      </c>
      <c r="F97" s="922"/>
      <c r="G97" s="922"/>
      <c r="H97" s="85" t="s">
        <v>117</v>
      </c>
      <c r="I97" s="119">
        <f>Consolidated!G$127</f>
        <v>578</v>
      </c>
      <c r="J97" s="127">
        <f>ROUND(I97*E97,2)</f>
        <v>0</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0</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0</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658" t="s">
        <v>495</v>
      </c>
      <c r="I114" s="659">
        <f>IF(I111=1,J111,J109)</f>
        <v>0</v>
      </c>
      <c r="J114" s="660">
        <f>ROUND(IF(E28=0,0,IF(E28&gt;250,-(((250/E28)*I114)*IF(H114="H",0.02,0.05)),IF(H114="H",-0.02*I114,-0.05*I114))),2)</f>
        <v>0</v>
      </c>
      <c r="M114" s="2"/>
      <c r="N114" s="3"/>
      <c r="R114" s="2"/>
      <c r="T114" s="4"/>
      <c r="W114" s="2"/>
      <c r="X114" s="5"/>
    </row>
    <row r="115" spans="1:26" ht="16.5" customHeight="1" x14ac:dyDescent="0.25">
      <c r="A115" s="231"/>
      <c r="B115" s="231"/>
      <c r="C115" s="231"/>
      <c r="D115" s="231"/>
      <c r="E115" s="231"/>
      <c r="F115" s="231"/>
      <c r="G115" s="231"/>
      <c r="H115" s="661"/>
      <c r="I115" s="662"/>
      <c r="J115" s="663"/>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664"/>
      <c r="I116" s="665"/>
      <c r="J116" s="666">
        <f>J107+J114</f>
        <v>0</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61"/>
      <c r="I117" s="662"/>
      <c r="J117" s="663"/>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661"/>
      <c r="I118" s="662"/>
      <c r="J118" s="667">
        <f>-'Cumulative Payments'!R106</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61"/>
      <c r="I119" s="662"/>
      <c r="J119" s="663"/>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661"/>
      <c r="I120" s="662"/>
      <c r="J120" s="663">
        <f>J116+J118</f>
        <v>0</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61"/>
      <c r="I121" s="662"/>
      <c r="J121" s="663"/>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661"/>
      <c r="I122" s="662"/>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61"/>
      <c r="I123" s="662"/>
      <c r="J123" s="663"/>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661"/>
      <c r="I124" s="662"/>
      <c r="J124" s="669">
        <f>ROUND(J120/J122,2)</f>
        <v>0</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61"/>
      <c r="I125" s="662"/>
      <c r="J125" s="663"/>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661"/>
      <c r="I126" s="662"/>
      <c r="J126" s="670">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788C7-B851-4E83-8B95-DBDDF7BDEA32}">
  <dimension ref="A1:Z207"/>
  <sheetViews>
    <sheetView topLeftCell="A135" workbookViewId="0">
      <selection activeCell="G122" sqref="G122"/>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526</v>
      </c>
      <c r="B2" s="101"/>
      <c r="C2" s="101"/>
      <c r="D2" s="101"/>
      <c r="E2" s="6"/>
      <c r="F2" s="6"/>
      <c r="G2" s="6"/>
      <c r="H2" s="6"/>
      <c r="I2" s="706" t="str">
        <f>RIGHT(A2,4)</f>
        <v>4013</v>
      </c>
      <c r="J2" s="6"/>
      <c r="K2" s="6"/>
      <c r="L2" s="6"/>
      <c r="M2" s="6"/>
      <c r="N2" s="6"/>
      <c r="O2" s="6"/>
      <c r="P2" s="6"/>
      <c r="Q2" s="6"/>
      <c r="R2" s="927" t="str">
        <f>Revenue_Estimate_Worksheet_for___________Charter_School</f>
        <v>Revenue Estimate Worksheet: Somerset Academy Canyons High School - 4013</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H</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222.88</v>
      </c>
      <c r="D14" s="392">
        <f>SUMIFS('Surv2-3'!L:L,'Surv2-3'!$H:$H,$I$2,'Surv2-3'!$I:$I,$O14)</f>
        <v>216.48000000000002</v>
      </c>
      <c r="E14" s="1020">
        <f t="shared" si="0"/>
        <v>439.36</v>
      </c>
      <c r="F14" s="1020"/>
      <c r="G14" s="1026">
        <f>Consolidated!$F16</f>
        <v>1</v>
      </c>
      <c r="H14" s="1026">
        <f>Consolidated!$H$9</f>
        <v>1</v>
      </c>
      <c r="I14" s="539">
        <f t="shared" si="3"/>
        <v>439.36</v>
      </c>
      <c r="J14" s="540">
        <f>ROUND(ROUND(ROUND(I14*$E$6,4)*($I$6),2)*(MAX($I$7,1)),2)</f>
        <v>2444303.48</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41.94</v>
      </c>
      <c r="D15" s="392">
        <f>SUMIFS('Surv2-3'!L:L,'Surv2-3'!$H:$H,$I$2,'Surv2-3'!$I:$I,$O15)</f>
        <v>38.440000000000005</v>
      </c>
      <c r="E15" s="1020">
        <f t="shared" si="0"/>
        <v>80.38</v>
      </c>
      <c r="F15" s="1020"/>
      <c r="G15" s="1026">
        <f>Consolidated!$F17</f>
        <v>1</v>
      </c>
      <c r="H15" s="1026">
        <f>Consolidated!$H$9</f>
        <v>1</v>
      </c>
      <c r="I15" s="539">
        <f t="shared" si="3"/>
        <v>80.38</v>
      </c>
      <c r="J15" s="540">
        <f t="shared" si="1"/>
        <v>447180.25</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429.38</v>
      </c>
      <c r="D16" s="392">
        <f>SUMIFS('Surv2-3'!M:M,'Surv2-3'!$H:$H,$I$2,'Surv2-3'!$I:$I,$O16)</f>
        <v>417.08</v>
      </c>
      <c r="E16" s="1020">
        <f t="shared" si="0"/>
        <v>846.46</v>
      </c>
      <c r="F16" s="1020"/>
      <c r="G16" s="1026">
        <f>Consolidated!$F18</f>
        <v>0.97199999999999998</v>
      </c>
      <c r="H16" s="1026">
        <f>Consolidated!$H$9</f>
        <v>1</v>
      </c>
      <c r="I16" s="539">
        <f t="shared" si="3"/>
        <v>822.75909999999999</v>
      </c>
      <c r="J16" s="540">
        <f t="shared" si="1"/>
        <v>4577278.16</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47</v>
      </c>
      <c r="D17" s="392">
        <f>SUMIFS('Surv2-3'!M:M,'Surv2-3'!$H:$H,$I$2,'Surv2-3'!$I:$I,$O17)</f>
        <v>42.15</v>
      </c>
      <c r="E17" s="1020">
        <f t="shared" si="0"/>
        <v>89.15</v>
      </c>
      <c r="F17" s="1020"/>
      <c r="G17" s="1026">
        <f>Consolidated!$F19</f>
        <v>0.97199999999999998</v>
      </c>
      <c r="H17" s="1026">
        <f>Consolidated!$H$9</f>
        <v>1</v>
      </c>
      <c r="I17" s="539">
        <f t="shared" si="3"/>
        <v>86.653800000000004</v>
      </c>
      <c r="J17" s="540">
        <f t="shared" si="1"/>
        <v>482083.45</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5.87</v>
      </c>
      <c r="D25" s="392">
        <f>SUMIFS('Surv2-3'!L:L,'Surv2-3'!$H:$H,$I$2,'Surv2-3'!$I:$I,$O25)</f>
        <v>4.99</v>
      </c>
      <c r="E25" s="1020">
        <f t="shared" si="0"/>
        <v>10.86</v>
      </c>
      <c r="F25" s="1020"/>
      <c r="G25" s="1026">
        <f>Consolidated!$F27</f>
        <v>1.165</v>
      </c>
      <c r="H25" s="1026">
        <f>Consolidated!$H$9</f>
        <v>1</v>
      </c>
      <c r="I25" s="539">
        <f t="shared" si="3"/>
        <v>12.651899999999999</v>
      </c>
      <c r="J25" s="540">
        <f t="shared" si="1"/>
        <v>70386.66</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6.09</v>
      </c>
      <c r="D26" s="392">
        <f>SUMIFS('Surv2-3'!M:M,'Surv2-3'!$H:$H,$I$2,'Surv2-3'!$I:$I,$O26)</f>
        <v>5.14</v>
      </c>
      <c r="E26" s="1020">
        <f t="shared" si="0"/>
        <v>11.23</v>
      </c>
      <c r="F26" s="1020"/>
      <c r="G26" s="1026">
        <f>Consolidated!$F28</f>
        <v>1.165</v>
      </c>
      <c r="H26" s="1026">
        <f>Consolidated!$H$9</f>
        <v>1</v>
      </c>
      <c r="I26" s="539">
        <f t="shared" si="3"/>
        <v>13.083</v>
      </c>
      <c r="J26" s="540">
        <f t="shared" si="1"/>
        <v>72785.009999999995</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22.41</v>
      </c>
      <c r="D27" s="393">
        <f>SUMIFS('Surv2-3'!J:J,'Surv2-3'!$H:$H,$I$2,'Surv2-3'!$I:$I,$O27)</f>
        <v>22.080000000000002</v>
      </c>
      <c r="E27" s="1022">
        <f t="shared" si="0"/>
        <v>44.49</v>
      </c>
      <c r="F27" s="1022"/>
      <c r="G27" s="1023">
        <f>Consolidated!$F29</f>
        <v>1.081</v>
      </c>
      <c r="H27" s="1023">
        <f>Consolidated!$H$9</f>
        <v>1</v>
      </c>
      <c r="I27" s="22">
        <f t="shared" si="3"/>
        <v>48.093699999999998</v>
      </c>
      <c r="J27" s="116">
        <f t="shared" si="1"/>
        <v>267560.99</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775.57</v>
      </c>
      <c r="D28" s="822">
        <f>SUM(D12:D27)</f>
        <v>746.36</v>
      </c>
      <c r="E28" s="1048">
        <f>SUM(E12:E27)</f>
        <v>1521.93</v>
      </c>
      <c r="F28" s="1048"/>
      <c r="G28" s="1020"/>
      <c r="H28" s="1020"/>
      <c r="I28" s="23">
        <f>SUM(I12:I27)</f>
        <v>1502.9815000000001</v>
      </c>
      <c r="J28" s="116">
        <f>SUM(J12:J27)</f>
        <v>8361578.0000000009</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1502.9815000000001</v>
      </c>
      <c r="H33" s="1020" t="s">
        <v>45</v>
      </c>
      <c r="I33" s="1020"/>
      <c r="J33" s="32">
        <f>SUM(J32,J28)</f>
        <v>8361578.0000000009</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f>5560972.34+3326749</f>
        <v>8887721.3399999999</v>
      </c>
      <c r="H36" s="37" t="s">
        <v>49</v>
      </c>
      <c r="I36" s="38">
        <v>6.6699999999999995E-2</v>
      </c>
      <c r="J36" s="120">
        <f>ROUND(G36*I36,2)</f>
        <v>592811.01</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f>5560972.34+3326749</f>
        <v>8887721.3399999999</v>
      </c>
      <c r="H37" s="37" t="s">
        <v>49</v>
      </c>
      <c r="I37" s="38">
        <v>5.4000000000000003E-3</v>
      </c>
      <c r="J37" s="120">
        <f>ROUND(G37*I37,2)</f>
        <v>47993.7</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640804.71</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37" t="s">
        <v>59</v>
      </c>
      <c r="H41" s="37">
        <v>251</v>
      </c>
      <c r="I41" s="125">
        <f>Consolidated!$H59</f>
        <v>1047</v>
      </c>
      <c r="J41" s="537">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537">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537">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537">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41.94</v>
      </c>
      <c r="D45" s="824">
        <f>SUMIFS('Surv2-3'!L:L,'Surv2-3'!$H:$H,$I$2,'Surv2-3'!$I:$I,$H45-140)</f>
        <v>38.440000000000005</v>
      </c>
      <c r="E45" s="1013">
        <f t="shared" si="8"/>
        <v>80.38</v>
      </c>
      <c r="F45" s="1013"/>
      <c r="G45" s="47" t="s">
        <v>60</v>
      </c>
      <c r="H45" s="37">
        <v>252</v>
      </c>
      <c r="I45" s="125">
        <f>Consolidated!$H63</f>
        <v>3506</v>
      </c>
      <c r="J45" s="537">
        <f t="shared" si="9"/>
        <v>281812.28000000003</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537">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537">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537">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47</v>
      </c>
      <c r="D49" s="824">
        <f>SUMIFS('Surv2-3'!M:M,'Surv2-3'!$H:$H,$I$2,'Surv2-3'!$I:$I,$H49-140)</f>
        <v>42.15</v>
      </c>
      <c r="E49" s="1014">
        <f t="shared" si="8"/>
        <v>89.15</v>
      </c>
      <c r="F49" s="1014"/>
      <c r="G49" s="47" t="s">
        <v>61</v>
      </c>
      <c r="H49" s="37">
        <v>253</v>
      </c>
      <c r="I49" s="125">
        <f>Consolidated!$H67</f>
        <v>6685</v>
      </c>
      <c r="J49" s="537">
        <f t="shared" si="9"/>
        <v>595967.75</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88.94</v>
      </c>
      <c r="D50" s="825">
        <f>SUM(D41:D49)</f>
        <v>80.59</v>
      </c>
      <c r="E50" s="1015">
        <f>SUM(E41:E49)</f>
        <v>169.53</v>
      </c>
      <c r="F50" s="1015"/>
      <c r="G50" s="970" t="s">
        <v>63</v>
      </c>
      <c r="H50" s="970"/>
      <c r="I50" s="970"/>
      <c r="J50" s="220">
        <f>SUM(J41:J49)</f>
        <v>877780.03</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1521.93</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7.3270000000000002E-3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1502.9815000000001</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6.7970000000000001E-3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1521.93</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8.5179999999999995E-3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1521.93</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7.339E-3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1521.93</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8.5339999999999999E-3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7.339E-3</v>
      </c>
      <c r="J68" s="127">
        <f>ROUND(G68*I68,2)</f>
        <v>334735.34000000003</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7.3270000000000002E-3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8.5339999999999999E-3</v>
      </c>
      <c r="J71" s="127">
        <f>ROUND(G71*I71,2)</f>
        <v>161803.84</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8.5179999999999995E-3</v>
      </c>
      <c r="J72" s="127">
        <f>ROUND(G72*I72,2)</f>
        <v>96324.87</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v>35.04</v>
      </c>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v>140.91999999999999</v>
      </c>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f>11.6+29.3</f>
        <v>40.9</v>
      </c>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v>0.25</v>
      </c>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v>17.920000000000002</v>
      </c>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235.02999999999997</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1.8214999999999999E-2</v>
      </c>
      <c r="J84" s="62">
        <f>ROUND(G84*I84,2)</f>
        <v>1065628.32</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6.7970000000000001E-3</v>
      </c>
      <c r="J85" s="127">
        <f>ROUND(G85*I85,2)</f>
        <v>1827144.24</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6.7970000000000001E-3</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7.3270000000000002E-3</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537">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532.39189999999996</v>
      </c>
      <c r="C91" s="80"/>
      <c r="D91" s="921">
        <f>I6</f>
        <v>1.0355000000000001</v>
      </c>
      <c r="E91" s="921"/>
      <c r="F91" s="921"/>
      <c r="G91" s="113">
        <f>Consolidated!F$119</f>
        <v>915.09</v>
      </c>
      <c r="H91" s="47" t="s">
        <v>68</v>
      </c>
      <c r="I91" s="537">
        <f>ROUND(B91*D91*G91,2)</f>
        <v>504481.62</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970.58960000000002</v>
      </c>
      <c r="C92" s="80"/>
      <c r="D92" s="921">
        <f>I6</f>
        <v>1.0355000000000001</v>
      </c>
      <c r="E92" s="921"/>
      <c r="F92" s="921"/>
      <c r="G92" s="113">
        <f>Consolidated!F$120</f>
        <v>917.3</v>
      </c>
      <c r="H92" s="47" t="s">
        <v>68</v>
      </c>
      <c r="I92" s="537">
        <f>ROUND(B92*D92*G92,2)</f>
        <v>921928.27</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1502.9814999999999</v>
      </c>
      <c r="C93" s="80"/>
      <c r="D93" s="80"/>
      <c r="E93" s="999" t="s">
        <v>112</v>
      </c>
      <c r="F93" s="999"/>
      <c r="G93" s="999"/>
      <c r="H93" s="999"/>
      <c r="I93" s="999"/>
      <c r="J93" s="116">
        <f>IF(A1=75,0,I92+I91+I90)</f>
        <v>1426409.8900000001</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f>25+3</f>
        <v>28</v>
      </c>
      <c r="D97" s="223">
        <f>25+4</f>
        <v>29</v>
      </c>
      <c r="E97" s="1044">
        <f>IF(D97&gt;0,(C97+D97)/2,C97)</f>
        <v>28.5</v>
      </c>
      <c r="F97" s="922"/>
      <c r="G97" s="922"/>
      <c r="H97" s="85" t="s">
        <v>117</v>
      </c>
      <c r="I97" s="119">
        <f>Consolidated!G$127</f>
        <v>578</v>
      </c>
      <c r="J97" s="127">
        <f>ROUND(I97*E97,2)</f>
        <v>16473</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14167877.529999999</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13527072.82</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H113" s="232" t="s">
        <v>495</v>
      </c>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I114" s="233">
        <f>IF(I111=1,J111,J109)</f>
        <v>13527072.82</v>
      </c>
      <c r="J114" s="234">
        <f>ROUND(IF(E28=0,0,IF(E28&gt;250,-(((250/E28)*I114)*IF(H113="H",0.02,0.05)),IF(H113="H",-0.02*I114,-0.05*I114))),2)</f>
        <v>-44440.52</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14123437.01</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Payments'!R107</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14123437.01</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1176953.08</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ROUND(IF(H113="H",(I114*0.02)+J114,(I114*0.05)+J114),2)</f>
        <v>226100.94</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ABD22-D2C5-4D34-A819-E0350414E924}">
  <dimension ref="A1:Z207"/>
  <sheetViews>
    <sheetView topLeftCell="A21" workbookViewId="0">
      <selection activeCell="C21" sqref="C21"/>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527</v>
      </c>
      <c r="B2" s="101"/>
      <c r="C2" s="101"/>
      <c r="D2" s="101"/>
      <c r="E2" s="6"/>
      <c r="F2" s="6"/>
      <c r="G2" s="6"/>
      <c r="H2" s="6"/>
      <c r="I2" s="706" t="str">
        <f>RIGHT(A2,4)</f>
        <v>4020</v>
      </c>
      <c r="J2" s="6"/>
      <c r="K2" s="6"/>
      <c r="L2" s="6"/>
      <c r="M2" s="6"/>
      <c r="N2" s="6"/>
      <c r="O2" s="6"/>
      <c r="P2" s="6"/>
      <c r="Q2" s="6"/>
      <c r="R2" s="927" t="str">
        <f>Revenue_Estimate_Worksheet_for___________Charter_School</f>
        <v>Revenue Estimate Worksheet: Franklin Academy - Boynton Beach - 4020</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M</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234.29</v>
      </c>
      <c r="D12" s="738">
        <f>SUMIFS('Surv2-3'!K:K,'Surv2-3'!$H:$H,$I$2,'Surv2-3'!$I:$I,$O12)</f>
        <v>226.73000000000002</v>
      </c>
      <c r="E12" s="1021">
        <f t="shared" ref="E12:E27" si="0">IF($D$28=0,C12*2,C12+D12)</f>
        <v>461.02</v>
      </c>
      <c r="F12" s="1021"/>
      <c r="G12" s="1037">
        <f>Consolidated!$F14</f>
        <v>1.1080000000000001</v>
      </c>
      <c r="H12" s="1037">
        <f>Consolidated!$H$9</f>
        <v>1</v>
      </c>
      <c r="I12" s="539">
        <f>ROUND(E12*G12,4)</f>
        <v>510.81020000000001</v>
      </c>
      <c r="J12" s="540">
        <f t="shared" ref="J12:J27" si="1">ROUND(ROUND(ROUND(I12*$E$6,4)*($I$6),2)*(MAX($I$7,1)),2)</f>
        <v>2841804.33</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30</v>
      </c>
      <c r="D13" s="392">
        <f>SUMIFS('Surv2-3'!K:K,'Surv2-3'!$H:$H,$I$2,'Surv2-3'!$I:$I,$O13)</f>
        <v>33</v>
      </c>
      <c r="E13" s="1020">
        <f t="shared" si="0"/>
        <v>63</v>
      </c>
      <c r="F13" s="1020"/>
      <c r="G13" s="1026">
        <f>Consolidated!$F15</f>
        <v>1.1080000000000001</v>
      </c>
      <c r="H13" s="1026">
        <f>Consolidated!$H$9</f>
        <v>1</v>
      </c>
      <c r="I13" s="539">
        <f t="shared" ref="I13:I27" si="3">ROUND(E13*G13,4)</f>
        <v>69.804000000000002</v>
      </c>
      <c r="J13" s="540">
        <f t="shared" si="1"/>
        <v>388342.5</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272.62</v>
      </c>
      <c r="D14" s="392">
        <f>SUMIFS('Surv2-3'!L:L,'Surv2-3'!$H:$H,$I$2,'Surv2-3'!$I:$I,$O14)</f>
        <v>268.62</v>
      </c>
      <c r="E14" s="1020">
        <f t="shared" si="0"/>
        <v>541.24</v>
      </c>
      <c r="F14" s="1020"/>
      <c r="G14" s="1026">
        <f>Consolidated!$F16</f>
        <v>1</v>
      </c>
      <c r="H14" s="1026">
        <f>Consolidated!$H$9</f>
        <v>1</v>
      </c>
      <c r="I14" s="539">
        <f t="shared" si="3"/>
        <v>541.24</v>
      </c>
      <c r="J14" s="540">
        <f>ROUND(ROUND(ROUND(I14*$E$6,4)*($I$6),2)*(MAX($I$7,1)),2)</f>
        <v>3011095.27</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47.41</v>
      </c>
      <c r="D15" s="392">
        <f>SUMIFS('Surv2-3'!L:L,'Surv2-3'!$H:$H,$I$2,'Surv2-3'!$I:$I,$O15)</f>
        <v>47.72</v>
      </c>
      <c r="E15" s="1020">
        <f t="shared" si="0"/>
        <v>95.13</v>
      </c>
      <c r="F15" s="1020"/>
      <c r="G15" s="1026">
        <f>Consolidated!$F17</f>
        <v>1</v>
      </c>
      <c r="H15" s="1026">
        <f>Consolidated!$H$9</f>
        <v>1</v>
      </c>
      <c r="I15" s="539">
        <f t="shared" si="3"/>
        <v>95.13</v>
      </c>
      <c r="J15" s="540">
        <f t="shared" si="1"/>
        <v>529239.32999999996</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25.21</v>
      </c>
      <c r="D24" s="392">
        <f>SUMIFS('Surv2-3'!K:K,'Surv2-3'!$H:$H,$I$2,'Surv2-3'!$I:$I,$O24)</f>
        <v>23.380000000000003</v>
      </c>
      <c r="E24" s="1020">
        <f t="shared" si="0"/>
        <v>48.59</v>
      </c>
      <c r="F24" s="1020"/>
      <c r="G24" s="1026">
        <f>Consolidated!$F26</f>
        <v>1.165</v>
      </c>
      <c r="H24" s="1026">
        <f>Consolidated!$H$9</f>
        <v>1</v>
      </c>
      <c r="I24" s="539">
        <f t="shared" si="3"/>
        <v>56.607399999999998</v>
      </c>
      <c r="J24" s="540">
        <f t="shared" si="1"/>
        <v>314925.49</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12.69</v>
      </c>
      <c r="D25" s="392">
        <f>SUMIFS('Surv2-3'!L:L,'Surv2-3'!$H:$H,$I$2,'Surv2-3'!$I:$I,$O25)</f>
        <v>13.139999999999999</v>
      </c>
      <c r="E25" s="1020">
        <f t="shared" si="0"/>
        <v>25.83</v>
      </c>
      <c r="F25" s="1020"/>
      <c r="G25" s="1026">
        <f>Consolidated!$F27</f>
        <v>1.165</v>
      </c>
      <c r="H25" s="1026">
        <f>Consolidated!$H$9</f>
        <v>1</v>
      </c>
      <c r="I25" s="539">
        <f t="shared" si="3"/>
        <v>30.091999999999999</v>
      </c>
      <c r="J25" s="540">
        <f t="shared" si="1"/>
        <v>167411.65</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622.22</v>
      </c>
      <c r="D28" s="822">
        <f>SUM(D12:D27)</f>
        <v>612.59</v>
      </c>
      <c r="E28" s="1048">
        <f>SUM(E12:E27)</f>
        <v>1234.8099999999997</v>
      </c>
      <c r="F28" s="1048"/>
      <c r="G28" s="1020"/>
      <c r="H28" s="1020"/>
      <c r="I28" s="23">
        <f>SUM(I12:I27)</f>
        <v>1303.6836000000001</v>
      </c>
      <c r="J28" s="116">
        <f>SUM(J12:J27)</f>
        <v>7252818.5700000003</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1303.6836000000001</v>
      </c>
      <c r="H33" s="1020" t="s">
        <v>45</v>
      </c>
      <c r="I33" s="1020"/>
      <c r="J33" s="32">
        <f>SUM(J32,J28)</f>
        <v>7252818.5700000003</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7309562.2700000014</v>
      </c>
      <c r="H36" s="37" t="s">
        <v>49</v>
      </c>
      <c r="I36" s="38">
        <v>6.6699999999999995E-2</v>
      </c>
      <c r="J36" s="120">
        <f>ROUND(G36*I36,2)</f>
        <v>487547.8</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7309562.2700000014</v>
      </c>
      <c r="H37" s="37" t="s">
        <v>49</v>
      </c>
      <c r="I37" s="38">
        <v>5.4000000000000003E-3</v>
      </c>
      <c r="J37" s="120">
        <f>ROUND(G37*I37,2)</f>
        <v>39471.64</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527019.43999999994</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537"/>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30</v>
      </c>
      <c r="D41" s="737">
        <f>SUMIFS('Surv2-3'!K:K,'Surv2-3'!$H:$H,$I$2,'Surv2-3'!$I:$I,$H41-140)</f>
        <v>33</v>
      </c>
      <c r="E41" s="1013">
        <f t="shared" ref="E41:E49" si="8">IF($D$50=0,C41*2,C41+D41)</f>
        <v>63</v>
      </c>
      <c r="F41" s="1013"/>
      <c r="G41" s="37" t="s">
        <v>59</v>
      </c>
      <c r="H41" s="37">
        <v>251</v>
      </c>
      <c r="I41" s="125">
        <f>Consolidated!$H59</f>
        <v>1047</v>
      </c>
      <c r="J41" s="537">
        <f t="shared" ref="J41:J49" si="9">ROUND(E41*I41,2)</f>
        <v>65961</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537">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537">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537">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47.41</v>
      </c>
      <c r="D45" s="824">
        <f>SUMIFS('Surv2-3'!L:L,'Surv2-3'!$H:$H,$I$2,'Surv2-3'!$I:$I,$H45-140)</f>
        <v>47.72</v>
      </c>
      <c r="E45" s="1013">
        <f t="shared" si="8"/>
        <v>95.13</v>
      </c>
      <c r="F45" s="1013"/>
      <c r="G45" s="47" t="s">
        <v>60</v>
      </c>
      <c r="H45" s="37">
        <v>252</v>
      </c>
      <c r="I45" s="125">
        <f>Consolidated!$H63</f>
        <v>3506</v>
      </c>
      <c r="J45" s="537">
        <f t="shared" si="9"/>
        <v>333525.78000000003</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537">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537">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537">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537">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77.41</v>
      </c>
      <c r="D50" s="825">
        <f>SUM(D41:D49)</f>
        <v>80.72</v>
      </c>
      <c r="E50" s="1015">
        <f>SUM(E41:E49)</f>
        <v>158.13</v>
      </c>
      <c r="F50" s="1015"/>
      <c r="G50" s="970" t="s">
        <v>63</v>
      </c>
      <c r="H50" s="970"/>
      <c r="I50" s="970"/>
      <c r="J50" s="220">
        <f>SUM(J41:J49)</f>
        <v>399486.78</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1234.8099999999997</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5.9449999999999998E-3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1303.6836000000001</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5.8960000000000002E-3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1234.8099999999997</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6.9109999999999996E-3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1234.8099999999997</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5.9540000000000001E-3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1234.8099999999997</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6.9239999999999996E-3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5.9540000000000001E-3</v>
      </c>
      <c r="J68" s="127">
        <f>ROUND(G68*I68,2)</f>
        <v>271564.82</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5.9449999999999998E-3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6.9239999999999996E-3</v>
      </c>
      <c r="J71" s="127">
        <f>ROUND(G71*I71,2)</f>
        <v>131278.39000000001</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6.9109999999999996E-3</v>
      </c>
      <c r="J72" s="127">
        <f>ROUND(G72*I72,2)</f>
        <v>78152.289999999994</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5.8960000000000002E-3</v>
      </c>
      <c r="J85" s="127">
        <f>ROUND(G85*I85,2)</f>
        <v>1584940.78</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5.8960000000000002E-3</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5.9449999999999998E-3</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637.22159999999997</v>
      </c>
      <c r="C90" s="80"/>
      <c r="D90" s="921">
        <f>I6</f>
        <v>1.0355000000000001</v>
      </c>
      <c r="E90" s="921"/>
      <c r="F90" s="921"/>
      <c r="G90" s="113">
        <f>Consolidated!F$118</f>
        <v>958.42</v>
      </c>
      <c r="H90" s="47" t="s">
        <v>68</v>
      </c>
      <c r="I90" s="537">
        <f>ROUND(B90*D90*G90,2)</f>
        <v>632406.69999999995</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666.46199999999999</v>
      </c>
      <c r="C91" s="80"/>
      <c r="D91" s="921">
        <f>I6</f>
        <v>1.0355000000000001</v>
      </c>
      <c r="E91" s="921"/>
      <c r="F91" s="921"/>
      <c r="G91" s="113">
        <f>Consolidated!F$119</f>
        <v>915.09</v>
      </c>
      <c r="H91" s="47" t="s">
        <v>68</v>
      </c>
      <c r="I91" s="537">
        <f>ROUND(B91*D91*G91,2)</f>
        <v>631523.18999999994</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1303.6835999999998</v>
      </c>
      <c r="C93" s="80"/>
      <c r="D93" s="80"/>
      <c r="E93" s="999" t="s">
        <v>112</v>
      </c>
      <c r="F93" s="999"/>
      <c r="G93" s="999"/>
      <c r="H93" s="999"/>
      <c r="I93" s="999"/>
      <c r="J93" s="116">
        <f>IF(A1=75,0,I92+I91+I90)</f>
        <v>1263929.8899999999</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241</v>
      </c>
      <c r="D97" s="223">
        <v>261</v>
      </c>
      <c r="E97" s="1044">
        <f>IF(D97&gt;0,(C97+D97)/2,C97)</f>
        <v>251</v>
      </c>
      <c r="F97" s="922"/>
      <c r="G97" s="922"/>
      <c r="H97" s="85" t="s">
        <v>117</v>
      </c>
      <c r="I97" s="119">
        <f>Consolidated!G$127</f>
        <v>578</v>
      </c>
      <c r="J97" s="127">
        <f>ROUND(I97*E97,2)</f>
        <v>145078</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11127249.519999998</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10600230.079999998</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658"/>
      <c r="I114" s="659">
        <f>IF(I111=1,J111,J109)</f>
        <v>10600230.079999998</v>
      </c>
      <c r="J114" s="660">
        <f>ROUND(IF(E28=0,0,IF(E28&gt;250,-(((250/E28)*I114)*IF(H114="H",0.02,0.05)),IF(H114="H",-0.02*I114,-0.05*I114))),2)</f>
        <v>-107306.29</v>
      </c>
      <c r="M114" s="2"/>
      <c r="N114" s="3"/>
      <c r="R114" s="2"/>
      <c r="T114" s="4"/>
      <c r="W114" s="2"/>
      <c r="X114" s="5"/>
    </row>
    <row r="115" spans="1:26" ht="16.5" customHeight="1" x14ac:dyDescent="0.25">
      <c r="A115" s="231"/>
      <c r="B115" s="231"/>
      <c r="C115" s="231"/>
      <c r="D115" s="231"/>
      <c r="E115" s="231"/>
      <c r="F115" s="231"/>
      <c r="G115" s="231"/>
      <c r="H115" s="661"/>
      <c r="I115" s="662"/>
      <c r="J115" s="663"/>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664"/>
      <c r="I116" s="665"/>
      <c r="J116" s="666">
        <f>J107+J114</f>
        <v>11019943.229999999</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61"/>
      <c r="I117" s="662"/>
      <c r="J117" s="663"/>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661"/>
      <c r="I118" s="662"/>
      <c r="J118" s="667">
        <f>-'Cumulative Payments'!R108</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61"/>
      <c r="I119" s="662"/>
      <c r="J119" s="663"/>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661"/>
      <c r="I120" s="662"/>
      <c r="J120" s="663">
        <f>J116+J118</f>
        <v>11019943.229999999</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61"/>
      <c r="I121" s="662"/>
      <c r="J121" s="663"/>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661"/>
      <c r="I122" s="662"/>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61"/>
      <c r="I123" s="662"/>
      <c r="J123" s="663"/>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661"/>
      <c r="I124" s="662"/>
      <c r="J124" s="669">
        <f>ROUND(J120/J122,2)</f>
        <v>918328.6</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61"/>
      <c r="I125" s="662"/>
      <c r="J125" s="663"/>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661"/>
      <c r="I126" s="662"/>
      <c r="J126" s="670">
        <f>ROUND(IF(H114="H",(I114*0.02)+J114,(I114*0.05)+J114),2)</f>
        <v>422705.21</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BAF59-BA16-49DC-B5B9-C114B4A765BC}">
  <sheetPr>
    <tabColor theme="0" tint="-0.34998626667073579"/>
  </sheetPr>
  <dimension ref="A1:Z207"/>
  <sheetViews>
    <sheetView topLeftCell="A36" workbookViewId="0">
      <selection activeCell="C41" sqref="C41"/>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528</v>
      </c>
      <c r="B2" s="101"/>
      <c r="C2" s="101"/>
      <c r="D2" s="101"/>
      <c r="E2" s="6"/>
      <c r="F2" s="6"/>
      <c r="G2" s="6"/>
      <c r="H2" s="6"/>
      <c r="I2" s="706" t="str">
        <f>RIGHT(A2,4)</f>
        <v>4030</v>
      </c>
      <c r="J2" s="6"/>
      <c r="K2" s="6"/>
      <c r="L2" s="6"/>
      <c r="M2" s="6"/>
      <c r="N2" s="6"/>
      <c r="O2" s="6"/>
      <c r="P2" s="6"/>
      <c r="Q2" s="6"/>
      <c r="R2" s="927" t="str">
        <f>Revenue_Estimate_Worksheet_for___________Charter_School</f>
        <v>Revenue Estimate Worksheet: Olympus International Academy - 4030</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E</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0</v>
      </c>
      <c r="D14" s="392">
        <f>SUMIFS('Surv2-3'!L:L,'Surv2-3'!$H:$H,$I$2,'Surv2-3'!$I:$I,$O14)</f>
        <v>0</v>
      </c>
      <c r="E14" s="1020">
        <f t="shared" si="0"/>
        <v>0</v>
      </c>
      <c r="F14" s="1020"/>
      <c r="G14" s="1026">
        <f>Consolidated!$F16</f>
        <v>1</v>
      </c>
      <c r="H14" s="1026">
        <f>Consolidated!$H$9</f>
        <v>1</v>
      </c>
      <c r="I14" s="539">
        <f t="shared" si="3"/>
        <v>0</v>
      </c>
      <c r="J14" s="540">
        <f>ROUND(ROUND(ROUND(I14*$E$6,4)*($I$6),2)*(MAX($I$7,1)),2)</f>
        <v>0</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0</v>
      </c>
      <c r="D15" s="392">
        <f>SUMIFS('Surv2-3'!L:L,'Surv2-3'!$H:$H,$I$2,'Surv2-3'!$I:$I,$O15)</f>
        <v>0</v>
      </c>
      <c r="E15" s="1020">
        <f t="shared" si="0"/>
        <v>0</v>
      </c>
      <c r="F15" s="1020"/>
      <c r="G15" s="1026">
        <f>Consolidated!$F17</f>
        <v>1</v>
      </c>
      <c r="H15" s="1026">
        <f>Consolidated!$H$9</f>
        <v>1</v>
      </c>
      <c r="I15" s="539">
        <f t="shared" si="3"/>
        <v>0</v>
      </c>
      <c r="J15" s="540">
        <f t="shared" si="1"/>
        <v>0</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v>
      </c>
      <c r="D25" s="392">
        <f>SUMIFS('Surv2-3'!L:L,'Surv2-3'!$H:$H,$I$2,'Surv2-3'!$I:$I,$O25)</f>
        <v>0</v>
      </c>
      <c r="E25" s="1020">
        <f t="shared" si="0"/>
        <v>0</v>
      </c>
      <c r="F25" s="1020"/>
      <c r="G25" s="1026">
        <f>Consolidated!$F27</f>
        <v>1.165</v>
      </c>
      <c r="H25" s="1026">
        <f>Consolidated!$H$9</f>
        <v>1</v>
      </c>
      <c r="I25" s="539">
        <f t="shared" si="3"/>
        <v>0</v>
      </c>
      <c r="J25" s="540">
        <f t="shared" si="1"/>
        <v>0</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0</v>
      </c>
      <c r="D28" s="822">
        <f>SUM(D12:D27)</f>
        <v>0</v>
      </c>
      <c r="E28" s="1025">
        <f>SUM(E12:E27)</f>
        <v>0</v>
      </c>
      <c r="F28" s="1025"/>
      <c r="G28" s="1020"/>
      <c r="H28" s="1020"/>
      <c r="I28" s="23">
        <f>SUM(I12:I27)</f>
        <v>0</v>
      </c>
      <c r="J28" s="116">
        <f>SUM(J12:J27)</f>
        <v>0</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0</v>
      </c>
      <c r="H33" s="1020" t="s">
        <v>45</v>
      </c>
      <c r="I33" s="1020"/>
      <c r="J33" s="32">
        <f>SUM(J32,J28)</f>
        <v>0</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752">
        <f>1874258.81*0</f>
        <v>0</v>
      </c>
      <c r="H36" s="37" t="s">
        <v>49</v>
      </c>
      <c r="I36" s="38">
        <v>6.6699999999999995E-2</v>
      </c>
      <c r="J36" s="120">
        <f>ROUND(G36*I36,2)</f>
        <v>0</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752">
        <f>G36</f>
        <v>0</v>
      </c>
      <c r="H37" s="37" t="s">
        <v>49</v>
      </c>
      <c r="I37" s="38">
        <v>5.4000000000000003E-3</v>
      </c>
      <c r="J37" s="120">
        <f>ROUND(G37*I37,2)</f>
        <v>0</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0</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537"/>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37" t="s">
        <v>59</v>
      </c>
      <c r="H41" s="37">
        <v>251</v>
      </c>
      <c r="I41" s="125">
        <f>Consolidated!$H59</f>
        <v>1047</v>
      </c>
      <c r="J41" s="537">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537">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537">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537">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0</v>
      </c>
      <c r="D45" s="824">
        <f>SUMIFS('Surv2-3'!L:L,'Surv2-3'!$H:$H,$I$2,'Surv2-3'!$I:$I,$H45-140)</f>
        <v>0</v>
      </c>
      <c r="E45" s="1013">
        <f t="shared" si="8"/>
        <v>0</v>
      </c>
      <c r="F45" s="1013"/>
      <c r="G45" s="47" t="s">
        <v>60</v>
      </c>
      <c r="H45" s="37">
        <v>252</v>
      </c>
      <c r="I45" s="125">
        <f>Consolidated!$H63</f>
        <v>3506</v>
      </c>
      <c r="J45" s="537">
        <f t="shared" si="9"/>
        <v>0</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537">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537">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537">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537">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0</v>
      </c>
      <c r="D50" s="825">
        <f>SUM(D41:D49)</f>
        <v>0</v>
      </c>
      <c r="E50" s="1015">
        <f>SUM(E41:E49)</f>
        <v>0</v>
      </c>
      <c r="F50" s="1015"/>
      <c r="G50" s="970" t="s">
        <v>63</v>
      </c>
      <c r="H50" s="970"/>
      <c r="I50" s="970"/>
      <c r="J50" s="220">
        <f>SUM(J41:J49)</f>
        <v>0</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0</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0</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E56</f>
        <v>0</v>
      </c>
      <c r="U55" s="173" t="s">
        <v>66</v>
      </c>
      <c r="V55" s="174"/>
      <c r="W55" s="175" t="s">
        <v>71</v>
      </c>
      <c r="X55" s="977">
        <f>I56</f>
        <v>221131.37000000002</v>
      </c>
      <c r="Y55" s="977"/>
    </row>
    <row r="56" spans="1:25" ht="16.5" customHeight="1" x14ac:dyDescent="0.25">
      <c r="A56" s="953" t="s">
        <v>70</v>
      </c>
      <c r="B56" s="953"/>
      <c r="C56" s="51"/>
      <c r="D56" s="51"/>
      <c r="E56" s="48">
        <f>G33</f>
        <v>0</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0</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0</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0</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0</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0</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0</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0</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0</v>
      </c>
      <c r="J68" s="127">
        <f>ROUND(G68*I68,2)</f>
        <v>0</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0</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0</v>
      </c>
      <c r="J71" s="127">
        <f>ROUND(G71*I71,2)</f>
        <v>0</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0</v>
      </c>
      <c r="J72" s="127">
        <f>ROUND(G72*I72,2)</f>
        <v>0</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0</v>
      </c>
      <c r="J85" s="127">
        <f>ROUND(G85*I85,2)</f>
        <v>0</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0</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0</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537">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0</v>
      </c>
      <c r="C91" s="80"/>
      <c r="D91" s="921">
        <f>I6</f>
        <v>1.0355000000000001</v>
      </c>
      <c r="E91" s="921"/>
      <c r="F91" s="921"/>
      <c r="G91" s="113">
        <f>Consolidated!F$119</f>
        <v>915.09</v>
      </c>
      <c r="H91" s="47" t="s">
        <v>68</v>
      </c>
      <c r="I91" s="537">
        <f>ROUND(B91*D91*G91,2)</f>
        <v>0</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0</v>
      </c>
      <c r="C93" s="80"/>
      <c r="D93" s="80"/>
      <c r="E93" s="999" t="s">
        <v>112</v>
      </c>
      <c r="F93" s="999"/>
      <c r="G93" s="999"/>
      <c r="H93" s="999"/>
      <c r="I93" s="999"/>
      <c r="J93" s="116">
        <f>IF(A1=75,0,I92+I91+I90)</f>
        <v>0</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0</v>
      </c>
      <c r="D97" s="223">
        <v>0</v>
      </c>
      <c r="E97" s="1044">
        <f>IF(D97&gt;0,(C97+D97)/2,C97)</f>
        <v>0</v>
      </c>
      <c r="F97" s="922"/>
      <c r="G97" s="922"/>
      <c r="H97" s="85" t="s">
        <v>117</v>
      </c>
      <c r="I97" s="119">
        <f>Consolidated!G$127</f>
        <v>578</v>
      </c>
      <c r="J97" s="127">
        <f>ROUND(I97*E97,2)</f>
        <v>0</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0</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0</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232"/>
      <c r="I114" s="233">
        <f>IF(I111=1,J111,J109)</f>
        <v>0</v>
      </c>
      <c r="J114" s="234">
        <f>ROUND(IF(E28=0,0,IF(E28&gt;250,-(((250/E28)*I114)*IF(H114="H",0.02,0.05)),IF(H114="H",-0.02*I114,-0.05*I114))),2)</f>
        <v>0</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0</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Payments'!R109</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0</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0</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76A2-B6D3-4694-A23F-19B06DAE026B}">
  <dimension ref="A1:Z207"/>
  <sheetViews>
    <sheetView topLeftCell="A27" workbookViewId="0">
      <selection activeCell="A27" sqref="A27:B2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529</v>
      </c>
      <c r="B2" s="101"/>
      <c r="C2" s="101"/>
      <c r="D2" s="101"/>
      <c r="E2" s="6"/>
      <c r="F2" s="6"/>
      <c r="G2" s="6"/>
      <c r="H2" s="6"/>
      <c r="I2" s="706" t="str">
        <f>RIGHT(A2,4)</f>
        <v>4031</v>
      </c>
      <c r="J2" s="6"/>
      <c r="K2" s="6"/>
      <c r="L2" s="6"/>
      <c r="M2" s="6"/>
      <c r="N2" s="6"/>
      <c r="O2" s="6"/>
      <c r="P2" s="6"/>
      <c r="Q2" s="6"/>
      <c r="R2" s="927" t="str">
        <f>Revenue_Estimate_Worksheet_for___________Charter_School</f>
        <v>Revenue Estimate Worksheet: Somerset Academy Wellington - 4031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M</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51.690000000000005</v>
      </c>
      <c r="D12" s="738">
        <f>SUMIFS('Surv2-3'!K:K,'Surv2-3'!$H:$H,$I$2,'Surv2-3'!$I:$I,$O12)</f>
        <v>49.23</v>
      </c>
      <c r="E12" s="1021">
        <f t="shared" ref="E12:E27" si="0">IF($D$28=0,C12*2,C12+D12)</f>
        <v>100.92</v>
      </c>
      <c r="F12" s="1021"/>
      <c r="G12" s="1037">
        <f>Consolidated!$F14</f>
        <v>1.1080000000000001</v>
      </c>
      <c r="H12" s="1037">
        <f>Consolidated!$H$9</f>
        <v>1</v>
      </c>
      <c r="I12" s="539">
        <f>ROUND(E12*G12,4)</f>
        <v>111.8194</v>
      </c>
      <c r="J12" s="540">
        <f t="shared" ref="J12:J27" si="1">ROUND(ROUND(ROUND(I12*$E$6,4)*($I$6),2)*(MAX($I$7,1)),2)</f>
        <v>622087.92000000004</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6</v>
      </c>
      <c r="D13" s="392">
        <f>SUMIFS('Surv2-3'!K:K,'Surv2-3'!$H:$H,$I$2,'Surv2-3'!$I:$I,$O13)</f>
        <v>8.0399999999999991</v>
      </c>
      <c r="E13" s="1020">
        <f t="shared" si="0"/>
        <v>14.04</v>
      </c>
      <c r="F13" s="1020"/>
      <c r="G13" s="1026">
        <f>Consolidated!$F15</f>
        <v>1.1080000000000001</v>
      </c>
      <c r="H13" s="1026">
        <f>Consolidated!$H$9</f>
        <v>1</v>
      </c>
      <c r="I13" s="539">
        <f t="shared" ref="I13:I27" si="3">ROUND(E13*G13,4)</f>
        <v>15.5563</v>
      </c>
      <c r="J13" s="540">
        <f t="shared" si="1"/>
        <v>86544.79</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89.88</v>
      </c>
      <c r="D14" s="392">
        <f>SUMIFS('Surv2-3'!L:L,'Surv2-3'!$H:$H,$I$2,'Surv2-3'!$I:$I,$O14)</f>
        <v>90.48</v>
      </c>
      <c r="E14" s="1020">
        <f t="shared" si="0"/>
        <v>180.36</v>
      </c>
      <c r="F14" s="1020"/>
      <c r="G14" s="1026">
        <f>Consolidated!$F16</f>
        <v>1</v>
      </c>
      <c r="H14" s="1026">
        <f>Consolidated!$H$9</f>
        <v>1</v>
      </c>
      <c r="I14" s="539">
        <f t="shared" si="3"/>
        <v>180.36</v>
      </c>
      <c r="J14" s="540">
        <f>ROUND(ROUND(ROUND(I14*$E$6,4)*($I$6),2)*(MAX($I$7,1)),2)</f>
        <v>1003401.71</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18.5</v>
      </c>
      <c r="D15" s="392">
        <f>SUMIFS('Surv2-3'!L:L,'Surv2-3'!$H:$H,$I$2,'Surv2-3'!$I:$I,$O15)</f>
        <v>18.07</v>
      </c>
      <c r="E15" s="1020">
        <f t="shared" si="0"/>
        <v>36.57</v>
      </c>
      <c r="F15" s="1020"/>
      <c r="G15" s="1026">
        <f>Consolidated!$F17</f>
        <v>1</v>
      </c>
      <c r="H15" s="1026">
        <f>Consolidated!$H$9</f>
        <v>1</v>
      </c>
      <c r="I15" s="539">
        <f t="shared" si="3"/>
        <v>36.57</v>
      </c>
      <c r="J15" s="540">
        <f t="shared" si="1"/>
        <v>203450.88</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20.270000000000003</v>
      </c>
      <c r="D24" s="392">
        <f>SUMIFS('Surv2-3'!K:K,'Surv2-3'!$H:$H,$I$2,'Surv2-3'!$I:$I,$O24)</f>
        <v>19.130000000000003</v>
      </c>
      <c r="E24" s="1020">
        <f t="shared" si="0"/>
        <v>39.400000000000006</v>
      </c>
      <c r="F24" s="1020"/>
      <c r="G24" s="1026">
        <f>Consolidated!$F26</f>
        <v>1.165</v>
      </c>
      <c r="H24" s="1026">
        <f>Consolidated!$H$9</f>
        <v>1</v>
      </c>
      <c r="I24" s="539">
        <f t="shared" si="3"/>
        <v>45.901000000000003</v>
      </c>
      <c r="J24" s="540">
        <f t="shared" si="1"/>
        <v>255362.29</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13.86</v>
      </c>
      <c r="D25" s="392">
        <f>SUMIFS('Surv2-3'!L:L,'Surv2-3'!$H:$H,$I$2,'Surv2-3'!$I:$I,$O25)</f>
        <v>12.8</v>
      </c>
      <c r="E25" s="1020">
        <f t="shared" si="0"/>
        <v>26.66</v>
      </c>
      <c r="F25" s="1020"/>
      <c r="G25" s="1026">
        <f>Consolidated!$F27</f>
        <v>1.165</v>
      </c>
      <c r="H25" s="1026">
        <f>Consolidated!$H$9</f>
        <v>1</v>
      </c>
      <c r="I25" s="539">
        <f t="shared" si="3"/>
        <v>31.058900000000001</v>
      </c>
      <c r="J25" s="540">
        <f t="shared" si="1"/>
        <v>172790.83</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200.2</v>
      </c>
      <c r="D28" s="822">
        <f>SUM(D12:D27)</f>
        <v>197.75</v>
      </c>
      <c r="E28" s="1025">
        <f>SUM(E12:E27)</f>
        <v>397.9500000000001</v>
      </c>
      <c r="F28" s="1025"/>
      <c r="G28" s="1020"/>
      <c r="H28" s="1020"/>
      <c r="I28" s="23">
        <f>SUM(I12:I27)</f>
        <v>421.26560000000001</v>
      </c>
      <c r="J28" s="116">
        <f>SUM(J12:J27)</f>
        <v>2343638.42</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421.26560000000001</v>
      </c>
      <c r="H33" s="1020" t="s">
        <v>45</v>
      </c>
      <c r="I33" s="1020"/>
      <c r="J33" s="32">
        <f>SUM(J32,J28)</f>
        <v>2343638.42</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2716972.73</v>
      </c>
      <c r="H36" s="37" t="s">
        <v>49</v>
      </c>
      <c r="I36" s="38">
        <v>6.6699999999999995E-2</v>
      </c>
      <c r="J36" s="120">
        <f>ROUND(G36*I36,2)</f>
        <v>181222.08</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2716972.73</v>
      </c>
      <c r="H37" s="37" t="s">
        <v>49</v>
      </c>
      <c r="I37" s="38">
        <v>5.4000000000000003E-3</v>
      </c>
      <c r="J37" s="120">
        <f>ROUND(G37*I37,2)</f>
        <v>14671.65</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195893.72999999998</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6</v>
      </c>
      <c r="D41" s="737">
        <f>SUMIFS('Surv2-3'!K:K,'Surv2-3'!$H:$H,$I$2,'Surv2-3'!$I:$I,$H41-140)</f>
        <v>8.0399999999999991</v>
      </c>
      <c r="E41" s="1013">
        <f t="shared" ref="E41:E49" si="8">IF($D$50=0,C41*2,C41+D41)</f>
        <v>14.04</v>
      </c>
      <c r="F41" s="1013"/>
      <c r="G41" s="37" t="s">
        <v>59</v>
      </c>
      <c r="H41" s="37">
        <v>251</v>
      </c>
      <c r="I41" s="125">
        <f>Consolidated!$H59</f>
        <v>1047</v>
      </c>
      <c r="J41" s="46">
        <f t="shared" ref="J41:J49" si="9">ROUND(E41*I41,2)</f>
        <v>14699.88</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4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46">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18.5</v>
      </c>
      <c r="D45" s="824">
        <f>SUMIFS('Surv2-3'!L:L,'Surv2-3'!$H:$H,$I$2,'Surv2-3'!$I:$I,$H45-140)</f>
        <v>18.07</v>
      </c>
      <c r="E45" s="1013">
        <f t="shared" si="8"/>
        <v>36.57</v>
      </c>
      <c r="F45" s="1013"/>
      <c r="G45" s="47" t="s">
        <v>60</v>
      </c>
      <c r="H45" s="37">
        <v>252</v>
      </c>
      <c r="I45" s="125">
        <f>Consolidated!$H63</f>
        <v>3506</v>
      </c>
      <c r="J45" s="46">
        <f t="shared" si="9"/>
        <v>128214.42</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4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4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46">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24.5</v>
      </c>
      <c r="D50" s="825">
        <f>SUM(D41:D49)</f>
        <v>26.11</v>
      </c>
      <c r="E50" s="1015">
        <f>SUM(E41:E49)</f>
        <v>50.61</v>
      </c>
      <c r="F50" s="1015"/>
      <c r="G50" s="970" t="s">
        <v>63</v>
      </c>
      <c r="H50" s="970"/>
      <c r="I50" s="970"/>
      <c r="J50" s="220">
        <f>SUM(J41:J49)</f>
        <v>142914.29999999999</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397.9500000000001</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1.916E-3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421.26560000000001</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1.905E-3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397.9500000000001</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2.2269999999999998E-3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397.9500000000001</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1.9189999999999999E-3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397.9500000000001</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2.232E-3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1.9189999999999999E-3</v>
      </c>
      <c r="J68" s="127">
        <f>ROUND(G68*I68,2)</f>
        <v>87526.52</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1.916E-3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2.232E-3</v>
      </c>
      <c r="J71" s="127">
        <f>ROUND(G71*I71,2)</f>
        <v>42318.51</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2.2269999999999998E-3</v>
      </c>
      <c r="J72" s="127">
        <f>ROUND(G72*I72,2)</f>
        <v>25183.79</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1.905E-3</v>
      </c>
      <c r="J85" s="127">
        <f>ROUND(G85*I85,2)</f>
        <v>512095.01</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1.905E-3</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1.916E-3</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173.27670000000001</v>
      </c>
      <c r="C90" s="80"/>
      <c r="D90" s="921">
        <f>I6</f>
        <v>1.0355000000000001</v>
      </c>
      <c r="E90" s="921"/>
      <c r="F90" s="921"/>
      <c r="G90" s="113">
        <f>Consolidated!F$118</f>
        <v>958.42</v>
      </c>
      <c r="H90" s="47" t="s">
        <v>68</v>
      </c>
      <c r="I90" s="537">
        <f>ROUND(B90*D90*G90,2)</f>
        <v>171967.41</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247.9889</v>
      </c>
      <c r="C91" s="80"/>
      <c r="D91" s="921">
        <f>I6</f>
        <v>1.0355000000000001</v>
      </c>
      <c r="E91" s="921"/>
      <c r="F91" s="921"/>
      <c r="G91" s="113">
        <f>Consolidated!F$119</f>
        <v>915.09</v>
      </c>
      <c r="H91" s="47" t="s">
        <v>68</v>
      </c>
      <c r="I91" s="537">
        <f>ROUND(B91*D91*G91,2)</f>
        <v>234988.25</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421.26560000000001</v>
      </c>
      <c r="C93" s="80"/>
      <c r="D93" s="80"/>
      <c r="E93" s="999" t="s">
        <v>112</v>
      </c>
      <c r="F93" s="999"/>
      <c r="G93" s="999"/>
      <c r="H93" s="999"/>
      <c r="I93" s="999"/>
      <c r="J93" s="116">
        <f>IF(A1=75,0,I92+I91+I90)</f>
        <v>406955.66000000003</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0</v>
      </c>
      <c r="D97" s="223">
        <v>0</v>
      </c>
      <c r="E97" s="1044">
        <f>IF(D97&gt;0,(C97+D97)/2,C97)</f>
        <v>0</v>
      </c>
      <c r="F97" s="922"/>
      <c r="G97" s="922"/>
      <c r="H97" s="85" t="s">
        <v>117</v>
      </c>
      <c r="I97" s="119">
        <f>Consolidated!G$127</f>
        <v>578</v>
      </c>
      <c r="J97" s="127">
        <f>ROUND(I97*E97,2)</f>
        <v>0</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3560632.21</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3364738.48</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232"/>
      <c r="I114" s="233">
        <f>IF(I111=1,J111,J109)</f>
        <v>3364738.48</v>
      </c>
      <c r="J114" s="234">
        <f>ROUND(IF(E28=0,0,IF(E28&gt;250,-(((250/E28)*I114)*IF(H114="H",0.02,0.05)),IF(H114="H",-0.02*I114,-0.05*I114))),2)</f>
        <v>-105689.74</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3454942.4699999997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Payments'!R110</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3454942.4699999997</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287911.87</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ROUND(IF(H114="H",(I114*0.02)+J114,(I114*0.05)+J114),2)</f>
        <v>62547.18</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8A7AB-50C5-47DF-9481-84B2A08425BA}">
  <dimension ref="A1:Z207"/>
  <sheetViews>
    <sheetView topLeftCell="A28" workbookViewId="0">
      <selection activeCell="C28" sqref="C2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530</v>
      </c>
      <c r="B2" s="101"/>
      <c r="C2" s="101"/>
      <c r="D2" s="101"/>
      <c r="E2" s="6"/>
      <c r="F2" s="6"/>
      <c r="G2" s="6"/>
      <c r="H2" s="6"/>
      <c r="I2" s="706" t="str">
        <f>RIGHT(A2,4)</f>
        <v>4041</v>
      </c>
      <c r="J2" s="6"/>
      <c r="K2" s="6"/>
      <c r="L2" s="6"/>
      <c r="M2" s="6"/>
      <c r="N2" s="6"/>
      <c r="O2" s="6"/>
      <c r="P2" s="6"/>
      <c r="Q2" s="6"/>
      <c r="R2" s="927" t="str">
        <f>Revenue_Estimate_Worksheet_for___________Charter_School</f>
        <v>Revenue Estimate Worksheet: Somerset Academy Boca Middle School - 4041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M</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35.450000000000003</v>
      </c>
      <c r="D14" s="392">
        <f>SUMIFS('Surv2-3'!L:L,'Surv2-3'!$H:$H,$I$2,'Surv2-3'!$I:$I,$O14)</f>
        <v>35.36</v>
      </c>
      <c r="E14" s="1020">
        <f t="shared" si="0"/>
        <v>70.81</v>
      </c>
      <c r="F14" s="1020"/>
      <c r="G14" s="1026">
        <f>Consolidated!$F16</f>
        <v>1</v>
      </c>
      <c r="H14" s="1026">
        <f>Consolidated!$H$9</f>
        <v>1</v>
      </c>
      <c r="I14" s="539">
        <f t="shared" si="3"/>
        <v>70.81</v>
      </c>
      <c r="J14" s="540">
        <f>ROUND(ROUND(ROUND(I14*$E$6,4)*($I$6),2)*(MAX($I$7,1)),2)</f>
        <v>393939.21</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9.34</v>
      </c>
      <c r="D15" s="392">
        <f>SUMIFS('Surv2-3'!L:L,'Surv2-3'!$H:$H,$I$2,'Surv2-3'!$I:$I,$O15)</f>
        <v>9.57</v>
      </c>
      <c r="E15" s="1020">
        <f t="shared" si="0"/>
        <v>18.91</v>
      </c>
      <c r="F15" s="1020"/>
      <c r="G15" s="1026">
        <f>Consolidated!$F17</f>
        <v>1</v>
      </c>
      <c r="H15" s="1026">
        <f>Consolidated!$H$9</f>
        <v>1</v>
      </c>
      <c r="I15" s="539">
        <f t="shared" si="3"/>
        <v>18.91</v>
      </c>
      <c r="J15" s="540">
        <f t="shared" si="1"/>
        <v>105202.52</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2.79</v>
      </c>
      <c r="D25" s="392">
        <f>SUMIFS('Surv2-3'!L:L,'Surv2-3'!$H:$H,$I$2,'Surv2-3'!$I:$I,$O25)</f>
        <v>2.29</v>
      </c>
      <c r="E25" s="1020">
        <f t="shared" si="0"/>
        <v>5.08</v>
      </c>
      <c r="F25" s="1020"/>
      <c r="G25" s="1026">
        <f>Consolidated!$F27</f>
        <v>1.165</v>
      </c>
      <c r="H25" s="1026">
        <f>Consolidated!$H$9</f>
        <v>1</v>
      </c>
      <c r="I25" s="539">
        <f t="shared" si="3"/>
        <v>5.9181999999999997</v>
      </c>
      <c r="J25" s="540">
        <f t="shared" si="1"/>
        <v>32924.879999999997</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47.580000000000005</v>
      </c>
      <c r="D28" s="822">
        <f>SUM(D12:D27)</f>
        <v>47.22</v>
      </c>
      <c r="E28" s="1025">
        <f>SUM(E12:E27)</f>
        <v>94.8</v>
      </c>
      <c r="F28" s="1025"/>
      <c r="G28" s="1020"/>
      <c r="H28" s="1020"/>
      <c r="I28" s="23">
        <f>SUM(I12:I27)</f>
        <v>95.638199999999998</v>
      </c>
      <c r="J28" s="116">
        <f>SUM(J12:J27)</f>
        <v>532066.61</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95.638199999999998</v>
      </c>
      <c r="H33" s="1020" t="s">
        <v>45</v>
      </c>
      <c r="I33" s="1020"/>
      <c r="J33" s="32">
        <f>SUM(J32,J28)</f>
        <v>532066.61</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528682.99</v>
      </c>
      <c r="H36" s="37" t="s">
        <v>49</v>
      </c>
      <c r="I36" s="38">
        <v>6.6699999999999995E-2</v>
      </c>
      <c r="J36" s="120">
        <f>ROUND(G36*I36,2)</f>
        <v>35263.160000000003</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528682.99</v>
      </c>
      <c r="H37" s="37" t="s">
        <v>49</v>
      </c>
      <c r="I37" s="38">
        <v>5.4000000000000003E-3</v>
      </c>
      <c r="J37" s="120">
        <f>ROUND(G37*I37,2)</f>
        <v>2854.89</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38118.050000000003</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537"/>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37" t="s">
        <v>59</v>
      </c>
      <c r="H41" s="37">
        <v>251</v>
      </c>
      <c r="I41" s="125">
        <f>Consolidated!$H59</f>
        <v>1047</v>
      </c>
      <c r="J41" s="537">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537">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537">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537">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9.34</v>
      </c>
      <c r="D45" s="824">
        <f>SUMIFS('Surv2-3'!L:L,'Surv2-3'!$H:$H,$I$2,'Surv2-3'!$I:$I,$H45-140)</f>
        <v>9.57</v>
      </c>
      <c r="E45" s="1013">
        <f t="shared" si="8"/>
        <v>18.91</v>
      </c>
      <c r="F45" s="1013"/>
      <c r="G45" s="47" t="s">
        <v>60</v>
      </c>
      <c r="H45" s="37">
        <v>252</v>
      </c>
      <c r="I45" s="125">
        <f>Consolidated!$H63</f>
        <v>3506</v>
      </c>
      <c r="J45" s="537">
        <f t="shared" si="9"/>
        <v>66298.460000000006</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537">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537">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537">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537">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9.34</v>
      </c>
      <c r="D50" s="825">
        <f>SUM(D41:D49)</f>
        <v>9.57</v>
      </c>
      <c r="E50" s="1015">
        <f>SUM(E41:E49)</f>
        <v>18.91</v>
      </c>
      <c r="F50" s="1015"/>
      <c r="G50" s="970" t="s">
        <v>63</v>
      </c>
      <c r="H50" s="970"/>
      <c r="I50" s="970"/>
      <c r="J50" s="220">
        <f>SUM(J41:J49)</f>
        <v>66298.460000000006</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94.8</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4.5600000000000003E-4</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95.638199999999998</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4.3199999999999998E-4</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94.8</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5.31E-4</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94.8</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4.57E-4</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94.8</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5.3200000000000003E-4</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4.57E-4</v>
      </c>
      <c r="J68" s="127">
        <f>ROUND(G68*I68,2)</f>
        <v>20843.990000000002</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4.5600000000000003E-4</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5.3200000000000003E-4</v>
      </c>
      <c r="J71" s="127">
        <f>ROUND(G71*I71,2)</f>
        <v>10086.67</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5.31E-4</v>
      </c>
      <c r="J72" s="127">
        <f>ROUND(G72*I72,2)</f>
        <v>6004.76</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4.3199999999999998E-4</v>
      </c>
      <c r="J85" s="127">
        <f>ROUND(G85*I85,2)</f>
        <v>116128.63</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4.3199999999999998E-4</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4.5600000000000003E-4</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130">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95.638199999999998</v>
      </c>
      <c r="C91" s="80"/>
      <c r="D91" s="921">
        <f>I6</f>
        <v>1.0355000000000001</v>
      </c>
      <c r="E91" s="921"/>
      <c r="F91" s="921"/>
      <c r="G91" s="113">
        <f>Consolidated!F$119</f>
        <v>915.09</v>
      </c>
      <c r="H91" s="47" t="s">
        <v>68</v>
      </c>
      <c r="I91" s="129">
        <f>ROUND(B91*D91*G91,2)</f>
        <v>90624.43</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95.638199999999998</v>
      </c>
      <c r="C93" s="80"/>
      <c r="D93" s="80"/>
      <c r="E93" s="999" t="s">
        <v>112</v>
      </c>
      <c r="F93" s="999"/>
      <c r="G93" s="999"/>
      <c r="H93" s="999"/>
      <c r="I93" s="999"/>
      <c r="J93" s="116">
        <f>IF(A1=75,0,I92+I91+I90)</f>
        <v>90624.43</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0</v>
      </c>
      <c r="D97" s="223">
        <v>0</v>
      </c>
      <c r="E97" s="1044">
        <f>IF(D97&gt;0,(C97+D97)/2,C97)</f>
        <v>0</v>
      </c>
      <c r="F97" s="922"/>
      <c r="G97" s="922"/>
      <c r="H97" s="85" t="s">
        <v>117</v>
      </c>
      <c r="I97" s="119">
        <f>Consolidated!G$127</f>
        <v>578</v>
      </c>
      <c r="J97" s="127">
        <f>ROUND(I97*E97,2)</f>
        <v>0</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842053.54999999993</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803935.49999999988</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232" t="s">
        <v>495</v>
      </c>
      <c r="I114" s="233">
        <f>IF(I111=1,J111,J109)</f>
        <v>803935.49999999988</v>
      </c>
      <c r="J114" s="234">
        <f>ROUND(IF(E28=0,0,IF(E28&gt;250,-(((250/E28)*I114)*IF(H114="H",0.02,0.05)),IF(H114="H",-0.02*I114,-0.05*I114))),2)</f>
        <v>-16078.71</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825974.84</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Payments'!R111</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825974.84</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68831.240000000005</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19516-EA59-4DC6-8F8F-683329FA5200}">
  <dimension ref="A1:Z207"/>
  <sheetViews>
    <sheetView topLeftCell="A27" workbookViewId="0">
      <selection activeCell="A27" sqref="A27:B2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531</v>
      </c>
      <c r="B2" s="101"/>
      <c r="C2" s="101"/>
      <c r="D2" s="101"/>
      <c r="E2" s="6"/>
      <c r="F2" s="6"/>
      <c r="G2" s="6"/>
      <c r="H2" s="6"/>
      <c r="I2" s="706" t="str">
        <f>RIGHT(A2,4)</f>
        <v>4050</v>
      </c>
      <c r="J2" s="6"/>
      <c r="K2" s="6"/>
      <c r="L2" s="6"/>
      <c r="M2" s="6"/>
      <c r="N2" s="6"/>
      <c r="O2" s="6"/>
      <c r="P2" s="6"/>
      <c r="Q2" s="6"/>
      <c r="R2" s="927" t="str">
        <f>Revenue_Estimate_Worksheet_for___________Charter_School</f>
        <v>Revenue Estimate Worksheet: Renaissance Charter School at Cypress - 4050</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M</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115</v>
      </c>
      <c r="D12" s="738">
        <f>SUMIFS('Surv2-3'!K:K,'Surv2-3'!$H:$H,$I$2,'Surv2-3'!$I:$I,$O12)</f>
        <v>111.91</v>
      </c>
      <c r="E12" s="1021">
        <f t="shared" ref="E12:E27" si="0">IF($D$28=0,C12*2,C12+D12)</f>
        <v>226.91</v>
      </c>
      <c r="F12" s="1021"/>
      <c r="G12" s="1037">
        <f>Consolidated!$F14</f>
        <v>1.1080000000000001</v>
      </c>
      <c r="H12" s="1037">
        <f>Consolidated!$H$9</f>
        <v>1</v>
      </c>
      <c r="I12" s="539">
        <f>ROUND(E12*G12,4)</f>
        <v>251.41630000000001</v>
      </c>
      <c r="J12" s="540">
        <f t="shared" ref="J12:J27" si="1">ROUND(ROUND(ROUND(I12*$E$6,4)*($I$6),2)*(MAX($I$7,1)),2)</f>
        <v>1398711.17</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11.5</v>
      </c>
      <c r="D13" s="392">
        <f>SUMIFS('Surv2-3'!K:K,'Surv2-3'!$H:$H,$I$2,'Surv2-3'!$I:$I,$O13)</f>
        <v>11.5</v>
      </c>
      <c r="E13" s="1020">
        <f t="shared" si="0"/>
        <v>23</v>
      </c>
      <c r="F13" s="1020"/>
      <c r="G13" s="1026">
        <f>Consolidated!$F15</f>
        <v>1.1080000000000001</v>
      </c>
      <c r="H13" s="1026">
        <f>Consolidated!$H$9</f>
        <v>1</v>
      </c>
      <c r="I13" s="539">
        <f t="shared" ref="I13:I27" si="3">ROUND(E13*G13,4)</f>
        <v>25.484000000000002</v>
      </c>
      <c r="J13" s="540">
        <f t="shared" si="1"/>
        <v>141775.82999999999</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133.49</v>
      </c>
      <c r="D14" s="392">
        <f>SUMIFS('Surv2-3'!L:L,'Surv2-3'!$H:$H,$I$2,'Surv2-3'!$I:$I,$O14)</f>
        <v>133.57</v>
      </c>
      <c r="E14" s="1020">
        <f t="shared" si="0"/>
        <v>267.06</v>
      </c>
      <c r="F14" s="1020"/>
      <c r="G14" s="1026">
        <f>Consolidated!$F16</f>
        <v>1</v>
      </c>
      <c r="H14" s="1026">
        <f>Consolidated!$H$9</f>
        <v>1</v>
      </c>
      <c r="I14" s="539">
        <f t="shared" si="3"/>
        <v>267.06</v>
      </c>
      <c r="J14" s="540">
        <f>ROUND(ROUND(ROUND(I14*$E$6,4)*($I$6),2)*(MAX($I$7,1)),2)</f>
        <v>1485742.19</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21.5</v>
      </c>
      <c r="D15" s="392">
        <f>SUMIFS('Surv2-3'!L:L,'Surv2-3'!$H:$H,$I$2,'Surv2-3'!$I:$I,$O15)</f>
        <v>21</v>
      </c>
      <c r="E15" s="1020">
        <f t="shared" si="0"/>
        <v>42.5</v>
      </c>
      <c r="F15" s="1020"/>
      <c r="G15" s="1026">
        <f>Consolidated!$F17</f>
        <v>1</v>
      </c>
      <c r="H15" s="1026">
        <f>Consolidated!$H$9</f>
        <v>1</v>
      </c>
      <c r="I15" s="539">
        <f t="shared" si="3"/>
        <v>42.5</v>
      </c>
      <c r="J15" s="540">
        <f t="shared" si="1"/>
        <v>236441.41</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15.5</v>
      </c>
      <c r="D24" s="392">
        <f>SUMIFS('Surv2-3'!K:K,'Surv2-3'!$H:$H,$I$2,'Surv2-3'!$I:$I,$O24)</f>
        <v>17.579999999999998</v>
      </c>
      <c r="E24" s="1020">
        <f t="shared" si="0"/>
        <v>33.08</v>
      </c>
      <c r="F24" s="1020"/>
      <c r="G24" s="1026">
        <f>Consolidated!$F26</f>
        <v>1.165</v>
      </c>
      <c r="H24" s="1026">
        <f>Consolidated!$H$9</f>
        <v>1</v>
      </c>
      <c r="I24" s="539">
        <f t="shared" si="3"/>
        <v>38.538200000000003</v>
      </c>
      <c r="J24" s="540">
        <f t="shared" si="1"/>
        <v>214400.62</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21.91</v>
      </c>
      <c r="D25" s="392">
        <f>SUMIFS('Surv2-3'!L:L,'Surv2-3'!$H:$H,$I$2,'Surv2-3'!$I:$I,$O25)</f>
        <v>19.16</v>
      </c>
      <c r="E25" s="1020">
        <f t="shared" si="0"/>
        <v>41.07</v>
      </c>
      <c r="F25" s="1020"/>
      <c r="G25" s="1026">
        <f>Consolidated!$F27</f>
        <v>1.165</v>
      </c>
      <c r="H25" s="1026">
        <f>Consolidated!$H$9</f>
        <v>1</v>
      </c>
      <c r="I25" s="539">
        <f t="shared" si="3"/>
        <v>47.846600000000002</v>
      </c>
      <c r="J25" s="540">
        <f t="shared" si="1"/>
        <v>266186.3</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318.90000000000003</v>
      </c>
      <c r="D28" s="822">
        <f>SUM(D12:D27)</f>
        <v>314.72000000000003</v>
      </c>
      <c r="E28" s="1025">
        <f>SUM(E12:E27)</f>
        <v>633.62000000000012</v>
      </c>
      <c r="F28" s="1025"/>
      <c r="G28" s="1020"/>
      <c r="H28" s="1020"/>
      <c r="I28" s="23">
        <f>SUM(I12:I27)</f>
        <v>672.84509999999989</v>
      </c>
      <c r="J28" s="116">
        <f>SUM(J12:J27)</f>
        <v>3743257.52</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672.84509999999989</v>
      </c>
      <c r="H33" s="1020" t="s">
        <v>45</v>
      </c>
      <c r="I33" s="1020"/>
      <c r="J33" s="32">
        <f>SUM(J32,J28)</f>
        <v>3743257.52</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4297632.51</v>
      </c>
      <c r="H36" s="37" t="s">
        <v>49</v>
      </c>
      <c r="I36" s="38">
        <v>6.6699999999999995E-2</v>
      </c>
      <c r="J36" s="120">
        <f>ROUND(G36*I36,2)</f>
        <v>286652.09000000003</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4297632.51</v>
      </c>
      <c r="H37" s="37" t="s">
        <v>49</v>
      </c>
      <c r="I37" s="38">
        <v>5.4000000000000003E-3</v>
      </c>
      <c r="J37" s="120">
        <f>ROUND(G37*I37,2)</f>
        <v>23207.22</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309859.31000000006</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11.5</v>
      </c>
      <c r="D41" s="737">
        <f>SUMIFS('Surv2-3'!K:K,'Surv2-3'!$H:$H,$I$2,'Surv2-3'!$I:$I,$H41-140)</f>
        <v>11.5</v>
      </c>
      <c r="E41" s="1013">
        <f t="shared" ref="E41:E49" si="8">IF($D$50=0,C41*2,C41+D41)</f>
        <v>23</v>
      </c>
      <c r="F41" s="1013"/>
      <c r="G41" s="37" t="s">
        <v>59</v>
      </c>
      <c r="H41" s="37">
        <v>251</v>
      </c>
      <c r="I41" s="125">
        <f>Consolidated!$H59</f>
        <v>1047</v>
      </c>
      <c r="J41" s="46">
        <f t="shared" ref="J41:J49" si="9">ROUND(E41*I41,2)</f>
        <v>24081</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4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46">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21.5</v>
      </c>
      <c r="D45" s="824">
        <f>SUMIFS('Surv2-3'!L:L,'Surv2-3'!$H:$H,$I$2,'Surv2-3'!$I:$I,$H45-140)</f>
        <v>21</v>
      </c>
      <c r="E45" s="1013">
        <f t="shared" si="8"/>
        <v>42.5</v>
      </c>
      <c r="F45" s="1013"/>
      <c r="G45" s="47" t="s">
        <v>60</v>
      </c>
      <c r="H45" s="37">
        <v>252</v>
      </c>
      <c r="I45" s="125">
        <f>Consolidated!$H63</f>
        <v>3506</v>
      </c>
      <c r="J45" s="46">
        <f t="shared" si="9"/>
        <v>149005</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4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4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46">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33</v>
      </c>
      <c r="D50" s="825">
        <f>SUM(D41:D49)</f>
        <v>32.5</v>
      </c>
      <c r="E50" s="1015">
        <f>SUM(E41:E49)</f>
        <v>65.5</v>
      </c>
      <c r="F50" s="1015"/>
      <c r="G50" s="970" t="s">
        <v>63</v>
      </c>
      <c r="H50" s="970"/>
      <c r="I50" s="970"/>
      <c r="J50" s="220">
        <f>SUM(J41:J49)</f>
        <v>173086</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633.62000000000012</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3.0500000000000002E-3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1056">
        <f>X28</f>
        <v>0</v>
      </c>
      <c r="S55" s="975"/>
      <c r="T55" s="172">
        <f>E56</f>
        <v>672.84509999999989</v>
      </c>
      <c r="U55" s="173" t="s">
        <v>66</v>
      </c>
      <c r="V55" s="174"/>
      <c r="W55" s="175" t="s">
        <v>71</v>
      </c>
      <c r="X55" s="977">
        <f>I56</f>
        <v>221131.37000000002</v>
      </c>
      <c r="Y55" s="977"/>
    </row>
    <row r="56" spans="1:25" ht="16.5" customHeight="1" x14ac:dyDescent="0.25">
      <c r="A56" s="953" t="s">
        <v>70</v>
      </c>
      <c r="B56" s="953"/>
      <c r="C56" s="51"/>
      <c r="D56" s="51"/>
      <c r="E56" s="48">
        <f>G33</f>
        <v>672.84509999999989</v>
      </c>
      <c r="F56" s="49" t="s">
        <v>66</v>
      </c>
      <c r="G56" s="3"/>
      <c r="H56" s="50" t="s">
        <v>71</v>
      </c>
      <c r="I56" s="1051">
        <f>Consolidated!H$74</f>
        <v>221131.37000000002</v>
      </c>
      <c r="J56" s="1051"/>
      <c r="M56" s="2"/>
      <c r="R56" s="176"/>
      <c r="S56" s="159"/>
      <c r="T56" s="159"/>
      <c r="U56" s="159"/>
      <c r="V56" s="159"/>
      <c r="W56" s="178" t="s">
        <v>68</v>
      </c>
      <c r="X56" s="978">
        <f>ROUND(T55/X55,6)</f>
        <v>3.0430000000000001E-3</v>
      </c>
      <c r="Y56" s="978"/>
    </row>
    <row r="57" spans="1:25" ht="18.75" customHeight="1" x14ac:dyDescent="0.25">
      <c r="A57" s="51"/>
      <c r="H57" s="53" t="s">
        <v>68</v>
      </c>
      <c r="I57" s="1004">
        <f>IFERROR(ROUND(E56/I56,6),0)</f>
        <v>3.0430000000000001E-3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633.62000000000012</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3.5460000000000001E-3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633.62000000000012</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3.055E-3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633.62000000000012</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3.5530000000000002E-3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3.055E-3</v>
      </c>
      <c r="J68" s="127">
        <f>ROUND(G68*I68,2)</f>
        <v>139340.03</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3.0500000000000002E-3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3.5530000000000002E-3</v>
      </c>
      <c r="J71" s="127">
        <f>ROUND(G71*I71,2)</f>
        <v>67364.55</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3.5460000000000001E-3</v>
      </c>
      <c r="J72" s="127">
        <f>ROUND(G72*I72,2)</f>
        <v>40099.550000000003</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3.0430000000000001E-3</v>
      </c>
      <c r="J85" s="127">
        <f>ROUND(G85*I85,2)</f>
        <v>818007.93</v>
      </c>
      <c r="K85" s="70"/>
      <c r="L85" s="70"/>
      <c r="M85" s="71"/>
      <c r="N85" s="70"/>
      <c r="O85" s="70"/>
      <c r="P85" s="70"/>
      <c r="Q85" s="70"/>
      <c r="R85" s="955" t="s">
        <v>168</v>
      </c>
      <c r="S85" s="955"/>
      <c r="T85" s="955"/>
      <c r="U85" s="158"/>
      <c r="V85" s="160">
        <f>G85</f>
        <v>268816278</v>
      </c>
      <c r="W85" s="162" t="s">
        <v>81</v>
      </c>
      <c r="X85" s="165">
        <f>X56</f>
        <v>3.0430000000000001E-3</v>
      </c>
      <c r="Y85" s="212">
        <f t="shared" ref="Y85:Y87" si="12">ROUND(V85*X85,2)</f>
        <v>818007.93</v>
      </c>
    </row>
    <row r="86" spans="1:26" ht="14.25" customHeight="1" x14ac:dyDescent="0.25">
      <c r="A86" s="952" t="s">
        <v>104</v>
      </c>
      <c r="B86" s="952"/>
      <c r="C86" s="952"/>
      <c r="D86" s="952"/>
      <c r="E86" s="952"/>
      <c r="F86" s="36" t="s">
        <v>103</v>
      </c>
      <c r="G86" s="128">
        <v>0</v>
      </c>
      <c r="H86" s="37" t="s">
        <v>81</v>
      </c>
      <c r="I86" s="41">
        <f>I57</f>
        <v>3.0430000000000001E-3</v>
      </c>
      <c r="J86" s="127">
        <f>ROUND(G86*I86,2)</f>
        <v>0</v>
      </c>
      <c r="K86" s="70"/>
      <c r="L86" s="71"/>
      <c r="M86" s="76"/>
      <c r="N86" s="76"/>
      <c r="O86" s="76"/>
      <c r="P86" s="76"/>
      <c r="Q86" s="70"/>
      <c r="R86" s="955" t="s">
        <v>169</v>
      </c>
      <c r="S86" s="955"/>
      <c r="T86" s="955"/>
      <c r="U86" s="158"/>
      <c r="V86" s="192">
        <f>G86</f>
        <v>0</v>
      </c>
      <c r="W86" s="162" t="s">
        <v>81</v>
      </c>
      <c r="X86" s="165">
        <f>X56</f>
        <v>3.0430000000000001E-3</v>
      </c>
      <c r="Y86" s="212">
        <f t="shared" si="12"/>
        <v>0</v>
      </c>
    </row>
    <row r="87" spans="1:26" ht="18" customHeight="1" x14ac:dyDescent="0.25">
      <c r="A87" s="952" t="s">
        <v>105</v>
      </c>
      <c r="B87" s="952"/>
      <c r="C87" s="952"/>
      <c r="D87" s="952"/>
      <c r="E87" s="952"/>
      <c r="F87" s="36" t="s">
        <v>84</v>
      </c>
      <c r="G87" s="128">
        <v>0</v>
      </c>
      <c r="H87" s="37" t="s">
        <v>81</v>
      </c>
      <c r="I87" s="41">
        <f>I54</f>
        <v>3.0500000000000002E-3</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315.43850000000003</v>
      </c>
      <c r="C90" s="80"/>
      <c r="D90" s="921">
        <f>I6</f>
        <v>1.0355000000000001</v>
      </c>
      <c r="E90" s="921"/>
      <c r="F90" s="921"/>
      <c r="G90" s="113">
        <f>Consolidated!F$118</f>
        <v>958.42</v>
      </c>
      <c r="H90" s="47" t="s">
        <v>68</v>
      </c>
      <c r="I90" s="537">
        <f>ROUND(B90*D90*G90,2)</f>
        <v>313055.02</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357.40660000000003</v>
      </c>
      <c r="C91" s="80"/>
      <c r="D91" s="921">
        <f>I6</f>
        <v>1.0355000000000001</v>
      </c>
      <c r="E91" s="921"/>
      <c r="F91" s="921"/>
      <c r="G91" s="113">
        <f>Consolidated!F$119</f>
        <v>915.09</v>
      </c>
      <c r="H91" s="47" t="s">
        <v>68</v>
      </c>
      <c r="I91" s="537">
        <f>ROUND(B91*D91*G91,2)</f>
        <v>338669.81</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672.8451</v>
      </c>
      <c r="C93" s="80"/>
      <c r="D93" s="80"/>
      <c r="E93" s="999" t="s">
        <v>112</v>
      </c>
      <c r="F93" s="999"/>
      <c r="G93" s="999"/>
      <c r="H93" s="999"/>
      <c r="I93" s="999"/>
      <c r="J93" s="116">
        <f>IF(A1=75,0,I92+I91+I90)</f>
        <v>651724.83000000007</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0</v>
      </c>
      <c r="D97" s="223">
        <v>0</v>
      </c>
      <c r="E97" s="1044">
        <f>IF(D97&gt;0,(C97+D97)/2,C97)</f>
        <v>0</v>
      </c>
      <c r="F97" s="922"/>
      <c r="G97" s="922"/>
      <c r="H97" s="85" t="s">
        <v>117</v>
      </c>
      <c r="I97" s="119">
        <f>Consolidated!G$127</f>
        <v>578</v>
      </c>
      <c r="J97" s="127">
        <f>ROUND(I97*E97,2)</f>
        <v>0</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5632880.4100000001</v>
      </c>
      <c r="L107" s="538"/>
      <c r="R107" s="955" t="s">
        <v>125</v>
      </c>
      <c r="S107" s="955"/>
      <c r="T107" s="955"/>
      <c r="U107" s="955"/>
      <c r="V107" s="955"/>
      <c r="W107" s="955"/>
      <c r="X107" s="955"/>
      <c r="Y107" s="208">
        <f>SUM(Y106,Y105,Y97,Y96,Y93,Y86,Y85,Y84,Y70,Y69,Y67,Y33,Y71,Y50,Y87,Y83)</f>
        <v>818007.93</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5323021.0999999996</v>
      </c>
      <c r="R109" s="159" t="s">
        <v>176</v>
      </c>
      <c r="S109" s="159"/>
      <c r="T109" s="159"/>
      <c r="U109" s="159"/>
      <c r="V109" s="159"/>
      <c r="W109" s="159"/>
      <c r="X109" s="159"/>
      <c r="Y109" s="209">
        <f>Y107-Y38</f>
        <v>818007.93</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818007.93</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232"/>
      <c r="I114" s="233">
        <f>IF(I111=1,J111,J109)</f>
        <v>5323021.0999999996</v>
      </c>
      <c r="J114" s="234">
        <f>ROUND(IF(E28=0,0,IF(E28&gt;250,-(((250/E28)*I114)*IF(H114="H",0.02,0.05)),IF(H114="H",-0.02*I114,-0.05*I114))),2)</f>
        <v>-105012.1</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5527868.3100000005</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Payments'!R112</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5527868.3100000005</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460655.69</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ROUND(IF(H114="H",(I114*0.02)+J114,(I114*0.05)+J114),2)</f>
        <v>161138.96</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B347B-A64A-467C-97FF-39CA5C6AC343}">
  <dimension ref="A1:Z207"/>
  <sheetViews>
    <sheetView topLeftCell="A28" workbookViewId="0">
      <selection activeCell="C28" sqref="C2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613</v>
      </c>
      <c r="B2" s="101"/>
      <c r="C2" s="101"/>
      <c r="D2" s="101"/>
      <c r="E2" s="6"/>
      <c r="F2" s="6"/>
      <c r="G2" s="6"/>
      <c r="H2" s="6"/>
      <c r="I2" s="706" t="str">
        <f>RIGHT(A2,4)</f>
        <v>4051</v>
      </c>
      <c r="J2" s="6"/>
      <c r="K2" s="6"/>
      <c r="L2" s="6"/>
      <c r="M2" s="6"/>
      <c r="N2" s="6"/>
      <c r="O2" s="6"/>
      <c r="P2" s="6"/>
      <c r="Q2" s="6"/>
      <c r="R2" s="927" t="str">
        <f>Revenue_Estimate_Worksheet_for___________Charter_School</f>
        <v>Revenue Estimate Worksheet: Renaissance Charter School at Central Palm- 4051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M</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110.48</v>
      </c>
      <c r="D12" s="738">
        <f>SUMIFS('Surv2-3'!K:K,'Surv2-3'!$H:$H,$I$2,'Surv2-3'!$I:$I,$O12)</f>
        <v>105.96000000000001</v>
      </c>
      <c r="E12" s="1021">
        <f t="shared" ref="E12:E27" si="0">IF($D$28=0,C12*2,C12+D12)</f>
        <v>216.44</v>
      </c>
      <c r="F12" s="1021"/>
      <c r="G12" s="1037">
        <f>Consolidated!$F14</f>
        <v>1.1080000000000001</v>
      </c>
      <c r="H12" s="1037">
        <f>Consolidated!$H$9</f>
        <v>1</v>
      </c>
      <c r="I12" s="539">
        <f>ROUND(E12*G12,4)</f>
        <v>239.81549999999999</v>
      </c>
      <c r="J12" s="540">
        <f t="shared" ref="J12:J27" si="1">ROUND(ROUND(ROUND(I12*$E$6,4)*($I$6),2)*(MAX($I$7,1)),2)</f>
        <v>1334172.1200000001</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13.5</v>
      </c>
      <c r="D13" s="392">
        <f>SUMIFS('Surv2-3'!K:K,'Surv2-3'!$H:$H,$I$2,'Surv2-3'!$I:$I,$O13)</f>
        <v>14.5</v>
      </c>
      <c r="E13" s="1020">
        <f t="shared" si="0"/>
        <v>28</v>
      </c>
      <c r="F13" s="1020"/>
      <c r="G13" s="1026">
        <f>Consolidated!$F15</f>
        <v>1.1080000000000001</v>
      </c>
      <c r="H13" s="1026">
        <f>Consolidated!$H$9</f>
        <v>1</v>
      </c>
      <c r="I13" s="539">
        <f t="shared" ref="I13:I27" si="3">ROUND(E13*G13,4)</f>
        <v>31.024000000000001</v>
      </c>
      <c r="J13" s="540">
        <f t="shared" si="1"/>
        <v>172596.67</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122.06</v>
      </c>
      <c r="D14" s="392">
        <f>SUMIFS('Surv2-3'!L:L,'Surv2-3'!$H:$H,$I$2,'Surv2-3'!$I:$I,$O14)</f>
        <v>118</v>
      </c>
      <c r="E14" s="1020">
        <f t="shared" si="0"/>
        <v>240.06</v>
      </c>
      <c r="F14" s="1020"/>
      <c r="G14" s="1026">
        <f>Consolidated!$F16</f>
        <v>1</v>
      </c>
      <c r="H14" s="1026">
        <f>Consolidated!$H$9</f>
        <v>1</v>
      </c>
      <c r="I14" s="539">
        <f t="shared" si="3"/>
        <v>240.06</v>
      </c>
      <c r="J14" s="540">
        <f>ROUND(ROUND(ROUND(I14*$E$6,4)*($I$6),2)*(MAX($I$7,1)),2)</f>
        <v>1335532.3500000001</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19.5</v>
      </c>
      <c r="D15" s="392">
        <f>SUMIFS('Surv2-3'!L:L,'Surv2-3'!$H:$H,$I$2,'Surv2-3'!$I:$I,$O15)</f>
        <v>17</v>
      </c>
      <c r="E15" s="1020">
        <f t="shared" si="0"/>
        <v>36.5</v>
      </c>
      <c r="F15" s="1020"/>
      <c r="G15" s="1026">
        <f>Consolidated!$F17</f>
        <v>1</v>
      </c>
      <c r="H15" s="1026">
        <f>Consolidated!$H$9</f>
        <v>1</v>
      </c>
      <c r="I15" s="539">
        <f t="shared" si="3"/>
        <v>36.5</v>
      </c>
      <c r="J15" s="540">
        <f t="shared" si="1"/>
        <v>203061.45</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28.02</v>
      </c>
      <c r="D24" s="392">
        <f>SUMIFS('Surv2-3'!K:K,'Surv2-3'!$H:$H,$I$2,'Surv2-3'!$I:$I,$O24)</f>
        <v>29.58</v>
      </c>
      <c r="E24" s="1020">
        <f t="shared" si="0"/>
        <v>57.599999999999994</v>
      </c>
      <c r="F24" s="1020"/>
      <c r="G24" s="1026">
        <f>Consolidated!$F26</f>
        <v>1.165</v>
      </c>
      <c r="H24" s="1026">
        <f>Consolidated!$H$9</f>
        <v>1</v>
      </c>
      <c r="I24" s="539">
        <f t="shared" si="3"/>
        <v>67.103999999999999</v>
      </c>
      <c r="J24" s="540">
        <f t="shared" si="1"/>
        <v>373321.52</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20.94</v>
      </c>
      <c r="D25" s="392">
        <f>SUMIFS('Surv2-3'!L:L,'Surv2-3'!$H:$H,$I$2,'Surv2-3'!$I:$I,$O25)</f>
        <v>22.45</v>
      </c>
      <c r="E25" s="1020">
        <f t="shared" si="0"/>
        <v>43.39</v>
      </c>
      <c r="F25" s="1020"/>
      <c r="G25" s="1026">
        <f>Consolidated!$F27</f>
        <v>1.165</v>
      </c>
      <c r="H25" s="1026">
        <f>Consolidated!$H$9</f>
        <v>1</v>
      </c>
      <c r="I25" s="539">
        <f t="shared" si="3"/>
        <v>50.549399999999999</v>
      </c>
      <c r="J25" s="540">
        <f t="shared" si="1"/>
        <v>281222.86</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314.5</v>
      </c>
      <c r="D28" s="822">
        <f>SUM(D12:D27)</f>
        <v>307.49</v>
      </c>
      <c r="E28" s="1025">
        <f>SUM(E12:E27)</f>
        <v>621.99</v>
      </c>
      <c r="F28" s="1025"/>
      <c r="G28" s="1020"/>
      <c r="H28" s="1020"/>
      <c r="I28" s="23">
        <f>SUM(I12:I27)</f>
        <v>665.05290000000002</v>
      </c>
      <c r="J28" s="116">
        <f>SUM(J12:J27)</f>
        <v>3699906.97</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665.05290000000002</v>
      </c>
      <c r="H33" s="1020" t="s">
        <v>45</v>
      </c>
      <c r="I33" s="1020"/>
      <c r="J33" s="32">
        <f>SUM(J32,J28)</f>
        <v>3699906.97</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4529900.3100000005</v>
      </c>
      <c r="H36" s="37" t="s">
        <v>49</v>
      </c>
      <c r="I36" s="38">
        <v>6.6699999999999995E-2</v>
      </c>
      <c r="J36" s="120">
        <f>ROUND(G36*I36,2)</f>
        <v>302144.34999999998</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4529900.3100000005</v>
      </c>
      <c r="H37" s="37" t="s">
        <v>49</v>
      </c>
      <c r="I37" s="38">
        <v>5.4000000000000003E-3</v>
      </c>
      <c r="J37" s="120">
        <f>ROUND(G37*I37,2)</f>
        <v>24461.46</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326605.81</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13.5</v>
      </c>
      <c r="D41" s="737">
        <f>SUMIFS('Surv2-3'!K:K,'Surv2-3'!$H:$H,$I$2,'Surv2-3'!$I:$I,$H41-140)</f>
        <v>14.5</v>
      </c>
      <c r="E41" s="1013">
        <f t="shared" ref="E41:E49" si="8">IF($D$50=0,C41*2,C41+D41)</f>
        <v>28</v>
      </c>
      <c r="F41" s="1013"/>
      <c r="G41" s="37" t="s">
        <v>59</v>
      </c>
      <c r="H41" s="37">
        <v>251</v>
      </c>
      <c r="I41" s="125">
        <f>Consolidated!$H59</f>
        <v>1047</v>
      </c>
      <c r="J41" s="537">
        <f t="shared" ref="J41:J49" si="9">ROUND(E41*I41,2)</f>
        <v>29316</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537">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537">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537">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19.5</v>
      </c>
      <c r="D45" s="824">
        <f>SUMIFS('Surv2-3'!L:L,'Surv2-3'!$H:$H,$I$2,'Surv2-3'!$I:$I,$H45-140)</f>
        <v>17</v>
      </c>
      <c r="E45" s="1013">
        <f t="shared" si="8"/>
        <v>36.5</v>
      </c>
      <c r="F45" s="1013"/>
      <c r="G45" s="47" t="s">
        <v>60</v>
      </c>
      <c r="H45" s="37">
        <v>252</v>
      </c>
      <c r="I45" s="125">
        <f>Consolidated!$H63</f>
        <v>3506</v>
      </c>
      <c r="J45" s="537">
        <f t="shared" si="9"/>
        <v>127969</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537">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537">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537">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537">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33</v>
      </c>
      <c r="D50" s="825">
        <f>SUM(D41:D49)</f>
        <v>31.5</v>
      </c>
      <c r="E50" s="1015">
        <f>SUM(E41:E49)</f>
        <v>64.5</v>
      </c>
      <c r="F50" s="1015"/>
      <c r="G50" s="970" t="s">
        <v>63</v>
      </c>
      <c r="H50" s="970"/>
      <c r="I50" s="970"/>
      <c r="J50" s="220">
        <f>SUM(J41:J49)</f>
        <v>157285</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621.99</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2.9940000000000001E-3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665.05290000000002</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3.0079999999999998E-3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621.99</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3.4810000000000002E-3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621.99</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2.9989999999999999E-3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621.99</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3.4880000000000002E-3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2.9989999999999999E-3</v>
      </c>
      <c r="J68" s="127">
        <f>ROUND(G68*I68,2)</f>
        <v>136785.84</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2.9940000000000001E-3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3.4880000000000002E-3</v>
      </c>
      <c r="J71" s="127">
        <f>ROUND(G71*I71,2)</f>
        <v>66132.149999999994</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3.4810000000000002E-3</v>
      </c>
      <c r="J72" s="127">
        <f>ROUND(G72*I72,2)</f>
        <v>39364.51</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3.0079999999999998E-3</v>
      </c>
      <c r="J85" s="127">
        <f>ROUND(G85*I85,2)</f>
        <v>808599.36</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3.0079999999999998E-3</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2.9940000000000001E-3</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337.94349999999997</v>
      </c>
      <c r="C90" s="80"/>
      <c r="D90" s="921">
        <f>I6</f>
        <v>1.0355000000000001</v>
      </c>
      <c r="E90" s="921"/>
      <c r="F90" s="921"/>
      <c r="G90" s="113">
        <f>Consolidated!F$118</f>
        <v>958.42</v>
      </c>
      <c r="H90" s="47" t="s">
        <v>68</v>
      </c>
      <c r="I90" s="130">
        <f>ROUND(B90*D90*G90,2)</f>
        <v>335389.96999999997</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327.10939999999999</v>
      </c>
      <c r="C91" s="80"/>
      <c r="D91" s="921">
        <f>I6</f>
        <v>1.0355000000000001</v>
      </c>
      <c r="E91" s="921"/>
      <c r="F91" s="921"/>
      <c r="G91" s="113">
        <f>Consolidated!F$119</f>
        <v>915.09</v>
      </c>
      <c r="H91" s="47" t="s">
        <v>68</v>
      </c>
      <c r="I91" s="129">
        <f>ROUND(B91*D91*G91,2)</f>
        <v>309960.92</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665.05289999999991</v>
      </c>
      <c r="C93" s="80"/>
      <c r="D93" s="80"/>
      <c r="E93" s="999" t="s">
        <v>112</v>
      </c>
      <c r="F93" s="999"/>
      <c r="G93" s="999"/>
      <c r="H93" s="999"/>
      <c r="I93" s="999"/>
      <c r="J93" s="116">
        <f>IF(A1=75,0,I92+I91+I90)</f>
        <v>645350.8899999999</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0</v>
      </c>
      <c r="D97" s="223">
        <v>0</v>
      </c>
      <c r="E97" s="1044">
        <f>IF(D97&gt;0,(C97+D97)/2,C97)</f>
        <v>0</v>
      </c>
      <c r="F97" s="922"/>
      <c r="G97" s="922"/>
      <c r="H97" s="85" t="s">
        <v>117</v>
      </c>
      <c r="I97" s="119">
        <f>Consolidated!G$127</f>
        <v>578</v>
      </c>
      <c r="J97" s="127">
        <f>ROUND(I97*E97,2)</f>
        <v>0</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5553424.7199999997</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5226818.91</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232"/>
      <c r="I114" s="233">
        <f>IF(I111=1,J111,J109)</f>
        <v>5226818.91</v>
      </c>
      <c r="J114" s="234">
        <f>ROUND(IF(E28=0,0,IF(E28&gt;250,-(((250/E28)*I114)*IF(H114="H",0.02,0.05)),IF(H114="H",-0.02*I114,-0.05*I114))),2)</f>
        <v>-105042.26</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5448382.46</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Payments'!R113</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5448382.46</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454031.87</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ROUND(IF(H114="H",(I114*0.02)+J114,(I114*0.05)+J114),2)</f>
        <v>156298.69</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5566E-A4FB-4BCB-8538-59A1BF4ADCB9}">
  <dimension ref="A1:Z207"/>
  <sheetViews>
    <sheetView topLeftCell="A27" workbookViewId="0">
      <selection activeCell="A27" sqref="A27:B2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532</v>
      </c>
      <c r="B2" s="101"/>
      <c r="C2" s="101"/>
      <c r="D2" s="101"/>
      <c r="E2" s="6"/>
      <c r="F2" s="6"/>
      <c r="G2" s="6"/>
      <c r="H2" s="6"/>
      <c r="I2" s="706" t="str">
        <f>RIGHT(A2,4)</f>
        <v>4061</v>
      </c>
      <c r="J2" s="6"/>
      <c r="K2" s="6"/>
      <c r="L2" s="6"/>
      <c r="M2" s="6"/>
      <c r="N2" s="6"/>
      <c r="O2" s="6"/>
      <c r="P2" s="6"/>
      <c r="Q2" s="6"/>
      <c r="R2" s="927" t="str">
        <f>Revenue_Estimate_Worksheet_for___________Charter_School</f>
        <v>Revenue Estimate Worksheet: Franklin Academy - Palm Beach Gardens - 4061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M</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164.78</v>
      </c>
      <c r="D12" s="738">
        <f>SUMIFS('Surv2-3'!K:K,'Surv2-3'!$H:$H,$I$2,'Surv2-3'!$I:$I,$O12)</f>
        <v>159.96</v>
      </c>
      <c r="E12" s="1021">
        <f t="shared" ref="E12:E27" si="0">IF($D$28=0,C12*2,C12+D12)</f>
        <v>324.74</v>
      </c>
      <c r="F12" s="1021"/>
      <c r="G12" s="1037">
        <f>Consolidated!$F14</f>
        <v>1.1080000000000001</v>
      </c>
      <c r="H12" s="1037">
        <f>Consolidated!$H$9</f>
        <v>1</v>
      </c>
      <c r="I12" s="539">
        <f>ROUND(E12*G12,4)</f>
        <v>359.81189999999998</v>
      </c>
      <c r="J12" s="540">
        <f t="shared" ref="J12:J27" si="1">ROUND(ROUND(ROUND(I12*$E$6,4)*($I$6),2)*(MAX($I$7,1)),2)</f>
        <v>2001751.37</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14.5</v>
      </c>
      <c r="D13" s="392">
        <f>SUMIFS('Surv2-3'!K:K,'Surv2-3'!$H:$H,$I$2,'Surv2-3'!$I:$I,$O13)</f>
        <v>15.5</v>
      </c>
      <c r="E13" s="1020">
        <f t="shared" si="0"/>
        <v>30</v>
      </c>
      <c r="F13" s="1020"/>
      <c r="G13" s="1026">
        <f>Consolidated!$F15</f>
        <v>1.1080000000000001</v>
      </c>
      <c r="H13" s="1026">
        <f>Consolidated!$H$9</f>
        <v>1</v>
      </c>
      <c r="I13" s="539">
        <f t="shared" ref="I13:I27" si="3">ROUND(E13*G13,4)</f>
        <v>33.24</v>
      </c>
      <c r="J13" s="540">
        <f t="shared" si="1"/>
        <v>184925</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235.26999999999998</v>
      </c>
      <c r="D14" s="392">
        <f>SUMIFS('Surv2-3'!L:L,'Surv2-3'!$H:$H,$I$2,'Surv2-3'!$I:$I,$O14)</f>
        <v>232.17000000000002</v>
      </c>
      <c r="E14" s="1020">
        <f t="shared" si="0"/>
        <v>467.44</v>
      </c>
      <c r="F14" s="1020"/>
      <c r="G14" s="1026">
        <f>Consolidated!$F16</f>
        <v>1</v>
      </c>
      <c r="H14" s="1026">
        <f>Consolidated!$H$9</f>
        <v>1</v>
      </c>
      <c r="I14" s="539">
        <f t="shared" si="3"/>
        <v>467.44</v>
      </c>
      <c r="J14" s="540">
        <f>ROUND(ROUND(ROUND(I14*$E$6,4)*($I$6),2)*(MAX($I$7,1)),2)</f>
        <v>2600521.71</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25</v>
      </c>
      <c r="D15" s="392">
        <f>SUMIFS('Surv2-3'!L:L,'Surv2-3'!$H:$H,$I$2,'Surv2-3'!$I:$I,$O15)</f>
        <v>20.5</v>
      </c>
      <c r="E15" s="1020">
        <f t="shared" si="0"/>
        <v>45.5</v>
      </c>
      <c r="F15" s="1020"/>
      <c r="G15" s="1026">
        <f>Consolidated!$F17</f>
        <v>1</v>
      </c>
      <c r="H15" s="1026">
        <f>Consolidated!$H$9</f>
        <v>1</v>
      </c>
      <c r="I15" s="539">
        <f t="shared" si="3"/>
        <v>45.5</v>
      </c>
      <c r="J15" s="540">
        <f t="shared" si="1"/>
        <v>253131.39</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17.72</v>
      </c>
      <c r="D24" s="392">
        <f>SUMIFS('Surv2-3'!K:K,'Surv2-3'!$H:$H,$I$2,'Surv2-3'!$I:$I,$O24)</f>
        <v>16.52</v>
      </c>
      <c r="E24" s="1020">
        <f t="shared" si="0"/>
        <v>34.239999999999995</v>
      </c>
      <c r="F24" s="1020"/>
      <c r="G24" s="1026">
        <f>Consolidated!$F26</f>
        <v>1.165</v>
      </c>
      <c r="H24" s="1026">
        <f>Consolidated!$H$9</f>
        <v>1</v>
      </c>
      <c r="I24" s="539">
        <f t="shared" si="3"/>
        <v>39.889600000000002</v>
      </c>
      <c r="J24" s="540">
        <f t="shared" si="1"/>
        <v>221918.9</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12.44</v>
      </c>
      <c r="D25" s="392">
        <f>SUMIFS('Surv2-3'!L:L,'Surv2-3'!$H:$H,$I$2,'Surv2-3'!$I:$I,$O25)</f>
        <v>11.169999999999998</v>
      </c>
      <c r="E25" s="1020">
        <f t="shared" si="0"/>
        <v>23.61</v>
      </c>
      <c r="F25" s="1020"/>
      <c r="G25" s="1026">
        <f>Consolidated!$F27</f>
        <v>1.165</v>
      </c>
      <c r="H25" s="1026">
        <f>Consolidated!$H$9</f>
        <v>1</v>
      </c>
      <c r="I25" s="539">
        <f t="shared" si="3"/>
        <v>27.505700000000001</v>
      </c>
      <c r="J25" s="540">
        <f t="shared" si="1"/>
        <v>153023.21</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469.71</v>
      </c>
      <c r="D28" s="822">
        <f>SUM(D12:D27)</f>
        <v>455.82</v>
      </c>
      <c r="E28" s="1025">
        <f>SUM(E12:E27)</f>
        <v>925.53000000000009</v>
      </c>
      <c r="F28" s="1025"/>
      <c r="G28" s="1020"/>
      <c r="H28" s="1020"/>
      <c r="I28" s="23">
        <f>SUM(I12:I27)</f>
        <v>973.38720000000001</v>
      </c>
      <c r="J28" s="116">
        <f>SUM(J12:J27)</f>
        <v>5415271.5800000001</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973.38720000000001</v>
      </c>
      <c r="H33" s="1020" t="s">
        <v>45</v>
      </c>
      <c r="I33" s="1020"/>
      <c r="J33" s="32">
        <f>SUM(J32,J28)</f>
        <v>5415271.5800000001</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v>5637683.9499999993</v>
      </c>
      <c r="H36" s="37" t="s">
        <v>49</v>
      </c>
      <c r="I36" s="38">
        <v>6.6699999999999995E-2</v>
      </c>
      <c r="J36" s="120">
        <f>ROUND(G36*I36,2)</f>
        <v>376033.52</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v>5637683.9499999993</v>
      </c>
      <c r="H37" s="37" t="s">
        <v>49</v>
      </c>
      <c r="I37" s="38">
        <v>5.4000000000000003E-3</v>
      </c>
      <c r="J37" s="120">
        <f>ROUND(G37*I37,2)</f>
        <v>30443.49</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406477.01</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14.5</v>
      </c>
      <c r="D41" s="737">
        <f>SUMIFS('Surv2-3'!K:K,'Surv2-3'!$H:$H,$I$2,'Surv2-3'!$I:$I,$H41-140)</f>
        <v>15.5</v>
      </c>
      <c r="E41" s="1013">
        <f t="shared" ref="E41:E49" si="8">IF($D$50=0,C41*2,C41+D41)</f>
        <v>30</v>
      </c>
      <c r="F41" s="1013"/>
      <c r="G41" s="37" t="s">
        <v>59</v>
      </c>
      <c r="H41" s="37">
        <v>251</v>
      </c>
      <c r="I41" s="125">
        <f>Consolidated!$H59</f>
        <v>1047</v>
      </c>
      <c r="J41" s="46">
        <f t="shared" ref="J41:J49" si="9">ROUND(E41*I41,2)</f>
        <v>31410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4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46">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25</v>
      </c>
      <c r="D45" s="824">
        <f>SUMIFS('Surv2-3'!L:L,'Surv2-3'!$H:$H,$I$2,'Surv2-3'!$I:$I,$H45-140)</f>
        <v>20.5</v>
      </c>
      <c r="E45" s="1013">
        <f t="shared" si="8"/>
        <v>45.5</v>
      </c>
      <c r="F45" s="1013"/>
      <c r="G45" s="47" t="s">
        <v>60</v>
      </c>
      <c r="H45" s="37">
        <v>252</v>
      </c>
      <c r="I45" s="125">
        <f>Consolidated!$H63</f>
        <v>3506</v>
      </c>
      <c r="J45" s="46">
        <f t="shared" si="9"/>
        <v>159523</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4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4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46">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39.5</v>
      </c>
      <c r="D50" s="825">
        <f>SUM(D41:D49)</f>
        <v>36</v>
      </c>
      <c r="E50" s="1015">
        <f>SUM(E41:E49)</f>
        <v>75.5</v>
      </c>
      <c r="F50" s="1015"/>
      <c r="G50" s="970" t="s">
        <v>63</v>
      </c>
      <c r="H50" s="970"/>
      <c r="I50" s="970"/>
      <c r="J50" s="220">
        <f>SUM(J41:J49)</f>
        <v>190933</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925.53000000000009</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4.4559999999999999E-3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973.38720000000001</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4.4019999999999997E-3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925.53000000000009</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5.1799999999999997E-3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925.53000000000009</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4.463E-3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925.53000000000009</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5.1900000000000002E-3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4.463E-3</v>
      </c>
      <c r="J68" s="127">
        <f>ROUND(G68*I68,2)</f>
        <v>203559.59</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4.4559999999999999E-3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5.1900000000000002E-3</v>
      </c>
      <c r="J71" s="127">
        <f>ROUND(G71*I71,2)</f>
        <v>98401.91</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5.1799999999999997E-3</v>
      </c>
      <c r="J72" s="127">
        <f>ROUND(G72*I72,2)</f>
        <v>58577.47</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4.4019999999999997E-3</v>
      </c>
      <c r="J85" s="127">
        <f>ROUND(G85*I85,2)</f>
        <v>1183329.26</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4.4019999999999997E-3</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4.4559999999999999E-3</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432.94150000000002</v>
      </c>
      <c r="C90" s="80"/>
      <c r="D90" s="921">
        <f>I6</f>
        <v>1.0355000000000001</v>
      </c>
      <c r="E90" s="921"/>
      <c r="F90" s="921"/>
      <c r="G90" s="113">
        <f>Consolidated!F$118</f>
        <v>958.42</v>
      </c>
      <c r="H90" s="47" t="s">
        <v>68</v>
      </c>
      <c r="I90" s="537">
        <f>ROUND(B90*D90*G90,2)</f>
        <v>429670.16</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540.4457000000001</v>
      </c>
      <c r="C91" s="80"/>
      <c r="D91" s="921">
        <f>I6</f>
        <v>1.0355000000000001</v>
      </c>
      <c r="E91" s="921"/>
      <c r="F91" s="921"/>
      <c r="G91" s="113">
        <f>Consolidated!F$119</f>
        <v>915.09</v>
      </c>
      <c r="H91" s="47" t="s">
        <v>68</v>
      </c>
      <c r="I91" s="537">
        <f>ROUND(B91*D91*G91,2)</f>
        <v>512113.21</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973.38720000000012</v>
      </c>
      <c r="C93" s="80"/>
      <c r="D93" s="80"/>
      <c r="E93" s="999" t="s">
        <v>112</v>
      </c>
      <c r="F93" s="999"/>
      <c r="G93" s="999"/>
      <c r="H93" s="999"/>
      <c r="I93" s="999"/>
      <c r="J93" s="116">
        <f>IF(A1=75,0,I92+I91+I90)</f>
        <v>941783.37</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v>99</v>
      </c>
      <c r="D97" s="223">
        <v>105</v>
      </c>
      <c r="E97" s="1044">
        <f>IF(D97&gt;0,(C97+D97)/2,C97)</f>
        <v>102</v>
      </c>
      <c r="F97" s="922"/>
      <c r="G97" s="922"/>
      <c r="H97" s="85" t="s">
        <v>117</v>
      </c>
      <c r="I97" s="119">
        <f>Consolidated!G$127</f>
        <v>578</v>
      </c>
      <c r="J97" s="127">
        <f>ROUND(I97*E97,2)</f>
        <v>58956</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8150812.1799999997</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7744335.1699999999</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232"/>
      <c r="I114" s="233">
        <f>IF(I111=1,J111,J109)</f>
        <v>7744335.1699999999</v>
      </c>
      <c r="J114" s="234">
        <f>ROUND(IF(E28=0,0,IF(E28&gt;250,-(((250/E28)*I114)*IF(H114="H",0.02,0.05)),IF(H114="H",-0.02*I114,-0.05*I114))),2)</f>
        <v>-104593.25</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8046218.9299999997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Payments'!R114</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8046218.9299999997</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670518.24</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ROUND(IF(H114="H",(I114*0.02)+J114,(I114*0.05)+J114),2)</f>
        <v>282623.51</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41390-C5FD-40CF-A876-5D97A1C58C40}">
  <sheetPr>
    <tabColor theme="0" tint="-0.34998626667073579"/>
  </sheetPr>
  <dimension ref="A1:Z207"/>
  <sheetViews>
    <sheetView topLeftCell="A36" workbookViewId="0">
      <selection activeCell="D51" sqref="D51"/>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533</v>
      </c>
      <c r="B2" s="101"/>
      <c r="C2" s="101"/>
      <c r="D2" s="101"/>
      <c r="E2" s="6"/>
      <c r="F2" s="6"/>
      <c r="G2" s="6"/>
      <c r="H2" s="6"/>
      <c r="I2" s="706" t="str">
        <f>RIGHT(A2,4)</f>
        <v>4080</v>
      </c>
      <c r="J2" s="6"/>
      <c r="K2" s="6"/>
      <c r="L2" s="6"/>
      <c r="M2" s="6"/>
      <c r="N2" s="6"/>
      <c r="O2" s="6"/>
      <c r="P2" s="6"/>
      <c r="Q2" s="6"/>
      <c r="R2" s="927" t="str">
        <f>Revenue_Estimate_Worksheet_for___________Charter_School</f>
        <v>Revenue Estimate Worksheet: University Prep Palm Beach - 4080</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E</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0</v>
      </c>
      <c r="D14" s="392">
        <f>SUMIFS('Surv2-3'!L:L,'Surv2-3'!$H:$H,$I$2,'Surv2-3'!$I:$I,$O14)</f>
        <v>0</v>
      </c>
      <c r="E14" s="1020">
        <f t="shared" si="0"/>
        <v>0</v>
      </c>
      <c r="F14" s="1020"/>
      <c r="G14" s="1026">
        <f>Consolidated!$F16</f>
        <v>1</v>
      </c>
      <c r="H14" s="1026">
        <f>Consolidated!$H$9</f>
        <v>1</v>
      </c>
      <c r="I14" s="539">
        <f t="shared" si="3"/>
        <v>0</v>
      </c>
      <c r="J14" s="540">
        <f>ROUND(ROUND(ROUND(I14*$E$6,4)*($I$6),2)*(MAX($I$7,1)),2)</f>
        <v>0</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0</v>
      </c>
      <c r="D15" s="392">
        <f>SUMIFS('Surv2-3'!L:L,'Surv2-3'!$H:$H,$I$2,'Surv2-3'!$I:$I,$O15)</f>
        <v>0</v>
      </c>
      <c r="E15" s="1020">
        <f t="shared" si="0"/>
        <v>0</v>
      </c>
      <c r="F15" s="1020"/>
      <c r="G15" s="1026">
        <f>Consolidated!$F17</f>
        <v>1</v>
      </c>
      <c r="H15" s="1026">
        <f>Consolidated!$H$9</f>
        <v>1</v>
      </c>
      <c r="I15" s="539">
        <f t="shared" si="3"/>
        <v>0</v>
      </c>
      <c r="J15" s="540">
        <f t="shared" si="1"/>
        <v>0</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v>
      </c>
      <c r="D25" s="392">
        <f>SUMIFS('Surv2-3'!L:L,'Surv2-3'!$H:$H,$I$2,'Surv2-3'!$I:$I,$O25)</f>
        <v>0</v>
      </c>
      <c r="E25" s="1020">
        <f t="shared" si="0"/>
        <v>0</v>
      </c>
      <c r="F25" s="1020"/>
      <c r="G25" s="1026">
        <f>Consolidated!$F27</f>
        <v>1.165</v>
      </c>
      <c r="H25" s="1026">
        <f>Consolidated!$H$9</f>
        <v>1</v>
      </c>
      <c r="I25" s="539">
        <f t="shared" si="3"/>
        <v>0</v>
      </c>
      <c r="J25" s="540">
        <f t="shared" si="1"/>
        <v>0</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0</v>
      </c>
      <c r="D28" s="822">
        <f>SUM(D12:D27)</f>
        <v>0</v>
      </c>
      <c r="E28" s="1025">
        <f>SUM(E12:E27)</f>
        <v>0</v>
      </c>
      <c r="F28" s="1025"/>
      <c r="G28" s="1020"/>
      <c r="H28" s="1020"/>
      <c r="I28" s="23">
        <f>SUM(I12:I27)</f>
        <v>0</v>
      </c>
      <c r="J28" s="116">
        <f>SUM(J12:J27)</f>
        <v>0</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0</v>
      </c>
      <c r="H33" s="1020" t="s">
        <v>45</v>
      </c>
      <c r="I33" s="1020"/>
      <c r="J33" s="32">
        <f>SUM(J32,J28)</f>
        <v>0</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121"/>
      <c r="H36" s="37" t="s">
        <v>49</v>
      </c>
      <c r="I36" s="38">
        <v>6.6699999999999995E-2</v>
      </c>
      <c r="J36" s="120">
        <f>ROUND(G36*I36,2)</f>
        <v>0</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121"/>
      <c r="H37" s="37" t="s">
        <v>49</v>
      </c>
      <c r="I37" s="38">
        <v>5.4000000000000003E-3</v>
      </c>
      <c r="J37" s="120">
        <f>ROUND(G37*I37,2)</f>
        <v>0</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0</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37" t="s">
        <v>59</v>
      </c>
      <c r="H41" s="37">
        <v>251</v>
      </c>
      <c r="I41" s="125">
        <f>Consolidated!$H59</f>
        <v>1047</v>
      </c>
      <c r="J41" s="46">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4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46">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0</v>
      </c>
      <c r="D45" s="824">
        <f>SUMIFS('Surv2-3'!L:L,'Surv2-3'!$H:$H,$I$2,'Surv2-3'!$I:$I,$H45-140)</f>
        <v>0</v>
      </c>
      <c r="E45" s="1013">
        <f t="shared" si="8"/>
        <v>0</v>
      </c>
      <c r="F45" s="1013"/>
      <c r="G45" s="47" t="s">
        <v>60</v>
      </c>
      <c r="H45" s="37">
        <v>252</v>
      </c>
      <c r="I45" s="125">
        <f>Consolidated!$H63</f>
        <v>3506</v>
      </c>
      <c r="J45" s="46">
        <f t="shared" si="9"/>
        <v>0</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4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4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46">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0</v>
      </c>
      <c r="D50" s="825">
        <f>SUM(D41:D49)</f>
        <v>0</v>
      </c>
      <c r="E50" s="1015">
        <f>SUM(E41:E49)</f>
        <v>0</v>
      </c>
      <c r="F50" s="1015"/>
      <c r="G50" s="970" t="s">
        <v>63</v>
      </c>
      <c r="H50" s="970"/>
      <c r="I50" s="970"/>
      <c r="J50" s="220">
        <f>SUM(J41:J49)</f>
        <v>0</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0</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0</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E56</f>
        <v>0</v>
      </c>
      <c r="U55" s="173" t="s">
        <v>66</v>
      </c>
      <c r="V55" s="174"/>
      <c r="W55" s="175" t="s">
        <v>71</v>
      </c>
      <c r="X55" s="977">
        <f>I56</f>
        <v>221131.37000000002</v>
      </c>
      <c r="Y55" s="977"/>
    </row>
    <row r="56" spans="1:25" ht="16.5" customHeight="1" x14ac:dyDescent="0.25">
      <c r="A56" s="953" t="s">
        <v>70</v>
      </c>
      <c r="B56" s="953"/>
      <c r="C56" s="51"/>
      <c r="D56" s="51"/>
      <c r="E56" s="48">
        <f>G33</f>
        <v>0</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0</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0</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0</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0</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0</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0</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0</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0</v>
      </c>
      <c r="J68" s="127">
        <f>ROUND(G68*I68,2)</f>
        <v>0</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0</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0</v>
      </c>
      <c r="J71" s="127">
        <f>ROUND(G71*I71,2)</f>
        <v>0</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0</v>
      </c>
      <c r="J72" s="127">
        <f>ROUND(G72*I72,2)</f>
        <v>0</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0</v>
      </c>
      <c r="J85" s="127">
        <f>ROUND(G85*I85,2)</f>
        <v>0</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0</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0</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130">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0</v>
      </c>
      <c r="C91" s="80"/>
      <c r="D91" s="921">
        <f>I6</f>
        <v>1.0355000000000001</v>
      </c>
      <c r="E91" s="921"/>
      <c r="F91" s="921"/>
      <c r="G91" s="113">
        <f>Consolidated!F$119</f>
        <v>915.09</v>
      </c>
      <c r="H91" s="47" t="s">
        <v>68</v>
      </c>
      <c r="I91" s="129">
        <f>ROUND(B91*D91*G91,2)</f>
        <v>0</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0</v>
      </c>
      <c r="C93" s="80"/>
      <c r="D93" s="80"/>
      <c r="E93" s="999" t="s">
        <v>112</v>
      </c>
      <c r="F93" s="999"/>
      <c r="G93" s="999"/>
      <c r="H93" s="999"/>
      <c r="I93" s="999"/>
      <c r="J93" s="116">
        <f>IF(A1=75,0,I92+I91+I90)</f>
        <v>0</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223"/>
      <c r="D97" s="223"/>
      <c r="E97" s="1044">
        <f>IF(D97&gt;0,(C97+D97)/2,C97)</f>
        <v>0</v>
      </c>
      <c r="F97" s="922"/>
      <c r="G97" s="922"/>
      <c r="H97" s="85" t="s">
        <v>117</v>
      </c>
      <c r="I97" s="119">
        <f>Consolidated!G$127</f>
        <v>578</v>
      </c>
      <c r="J97" s="127">
        <f>ROUND(I97*E97,2)</f>
        <v>0</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0</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0</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H113" s="232"/>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I114" s="233">
        <f>IF(I111=1,J111,J109)</f>
        <v>0</v>
      </c>
      <c r="J114" s="234">
        <f>ROUND(IF(E28=0,0,IF(E28&gt;250,-(((250/E28)*I114)*IF(H113="H",0.02,0.05)),IF(H113="H",-0.02*I114,-0.05*I114))),2)</f>
        <v>0</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0</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Payments'!R115</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v>0</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v>0</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77FDD-3DB2-4968-836E-DA7169B00014}">
  <dimension ref="A1:Z207"/>
  <sheetViews>
    <sheetView topLeftCell="A24" workbookViewId="0">
      <selection activeCell="C24" sqref="C24"/>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534</v>
      </c>
      <c r="B2" s="101"/>
      <c r="C2" s="101"/>
      <c r="D2" s="101"/>
      <c r="E2" s="6"/>
      <c r="F2" s="6"/>
      <c r="G2" s="6"/>
      <c r="H2" s="6"/>
      <c r="I2" s="706" t="str">
        <f>RIGHT(A2,4)</f>
        <v>4081</v>
      </c>
      <c r="J2" s="6"/>
      <c r="K2" s="6"/>
      <c r="L2" s="6"/>
      <c r="M2" s="6"/>
      <c r="N2" s="6"/>
      <c r="O2" s="6"/>
      <c r="P2" s="6"/>
      <c r="Q2" s="6"/>
      <c r="R2" s="927" t="str">
        <f>Revenue_Estimate_Worksheet_for___________Charter_School</f>
        <v>Revenue Estimate Worksheet: Florida Futures Academy - North Campus - 4081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H</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0</v>
      </c>
      <c r="D14" s="392">
        <f>SUMIFS('Surv2-3'!L:L,'Surv2-3'!$H:$H,$I$2,'Surv2-3'!$I:$I,$O14)</f>
        <v>0</v>
      </c>
      <c r="E14" s="1020">
        <f t="shared" si="0"/>
        <v>0</v>
      </c>
      <c r="F14" s="1020"/>
      <c r="G14" s="1026">
        <f>Consolidated!$F16</f>
        <v>1</v>
      </c>
      <c r="H14" s="1026">
        <f>Consolidated!$H$9</f>
        <v>1</v>
      </c>
      <c r="I14" s="539">
        <f t="shared" si="3"/>
        <v>0</v>
      </c>
      <c r="J14" s="540">
        <f>ROUND(ROUND(ROUND(I14*$E$6,4)*($I$6),2)*(MAX($I$7,1)),2)</f>
        <v>0</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0</v>
      </c>
      <c r="D15" s="392">
        <f>SUMIFS('Surv2-3'!L:L,'Surv2-3'!$H:$H,$I$2,'Surv2-3'!$I:$I,$O15)</f>
        <v>0</v>
      </c>
      <c r="E15" s="1020">
        <f t="shared" si="0"/>
        <v>0</v>
      </c>
      <c r="F15" s="1020"/>
      <c r="G15" s="1026">
        <f>Consolidated!$F17</f>
        <v>1</v>
      </c>
      <c r="H15" s="1026">
        <f>Consolidated!$H$9</f>
        <v>1</v>
      </c>
      <c r="I15" s="539">
        <f t="shared" si="3"/>
        <v>0</v>
      </c>
      <c r="J15" s="540">
        <f t="shared" si="1"/>
        <v>0</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44.61</v>
      </c>
      <c r="D16" s="392">
        <f>SUMIFS('Surv2-3'!M:M,'Surv2-3'!$H:$H,$I$2,'Surv2-3'!$I:$I,$O16)</f>
        <v>46.680000000000007</v>
      </c>
      <c r="E16" s="1020">
        <f t="shared" si="0"/>
        <v>91.29</v>
      </c>
      <c r="F16" s="1020"/>
      <c r="G16" s="1026">
        <f>Consolidated!$F18</f>
        <v>0.97199999999999998</v>
      </c>
      <c r="H16" s="1026">
        <f>Consolidated!$H$9</f>
        <v>1</v>
      </c>
      <c r="I16" s="539">
        <f t="shared" si="3"/>
        <v>88.733900000000006</v>
      </c>
      <c r="J16" s="540">
        <f t="shared" si="1"/>
        <v>493655.73</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10.5</v>
      </c>
      <c r="D17" s="392">
        <f>SUMIFS('Surv2-3'!M:M,'Surv2-3'!$H:$H,$I$2,'Surv2-3'!$I:$I,$O17)</f>
        <v>10.96</v>
      </c>
      <c r="E17" s="1020">
        <f t="shared" si="0"/>
        <v>21.46</v>
      </c>
      <c r="F17" s="1020"/>
      <c r="G17" s="1026">
        <f>Consolidated!$F19</f>
        <v>0.97199999999999998</v>
      </c>
      <c r="H17" s="1026">
        <f>Consolidated!$H$9</f>
        <v>1</v>
      </c>
      <c r="I17" s="539">
        <f t="shared" si="3"/>
        <v>20.859100000000002</v>
      </c>
      <c r="J17" s="540">
        <f t="shared" si="1"/>
        <v>116046</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v>
      </c>
      <c r="D25" s="392">
        <f>SUMIFS('Surv2-3'!L:L,'Surv2-3'!$H:$H,$I$2,'Surv2-3'!$I:$I,$O25)</f>
        <v>0</v>
      </c>
      <c r="E25" s="1020">
        <f t="shared" si="0"/>
        <v>0</v>
      </c>
      <c r="F25" s="1020"/>
      <c r="G25" s="1026">
        <f>Consolidated!$F27</f>
        <v>1.165</v>
      </c>
      <c r="H25" s="1026">
        <f>Consolidated!$H$9</f>
        <v>1</v>
      </c>
      <c r="I25" s="539">
        <f t="shared" si="3"/>
        <v>0</v>
      </c>
      <c r="J25" s="540">
        <f t="shared" si="1"/>
        <v>0</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4.72</v>
      </c>
      <c r="D26" s="392">
        <f>SUMIFS('Surv2-3'!M:M,'Surv2-3'!$H:$H,$I$2,'Surv2-3'!$I:$I,$O26)</f>
        <v>5.68</v>
      </c>
      <c r="E26" s="1020">
        <f t="shared" si="0"/>
        <v>10.399999999999999</v>
      </c>
      <c r="F26" s="1020"/>
      <c r="G26" s="1026">
        <f>Consolidated!$F28</f>
        <v>1.165</v>
      </c>
      <c r="H26" s="1026">
        <f>Consolidated!$H$9</f>
        <v>1</v>
      </c>
      <c r="I26" s="539">
        <f t="shared" si="3"/>
        <v>12.116</v>
      </c>
      <c r="J26" s="540">
        <f t="shared" si="1"/>
        <v>67405.27</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59.83</v>
      </c>
      <c r="D28" s="822">
        <f>SUM(D12:D27)</f>
        <v>63.320000000000007</v>
      </c>
      <c r="E28" s="1025">
        <f>SUM(E12:E27)</f>
        <v>123.15</v>
      </c>
      <c r="F28" s="1025"/>
      <c r="G28" s="1020"/>
      <c r="H28" s="1020"/>
      <c r="I28" s="23">
        <f>SUM(I12:I27)</f>
        <v>121.709</v>
      </c>
      <c r="J28" s="116">
        <f>SUM(J12:J27)</f>
        <v>677107</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121.709</v>
      </c>
      <c r="H33" s="1020" t="s">
        <v>45</v>
      </c>
      <c r="I33" s="1020"/>
      <c r="J33" s="32">
        <f>SUM(J32,J28)</f>
        <v>677107</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430">
        <v>702313.88</v>
      </c>
      <c r="H36" s="37" t="s">
        <v>49</v>
      </c>
      <c r="I36" s="38">
        <v>6.6699999999999995E-2</v>
      </c>
      <c r="J36" s="120">
        <f>ROUND(G36*I36,2)</f>
        <v>46844.34</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430">
        <v>702313.88</v>
      </c>
      <c r="H37" s="37" t="s">
        <v>49</v>
      </c>
      <c r="I37" s="38">
        <v>5.4000000000000003E-3</v>
      </c>
      <c r="J37" s="120">
        <f>ROUND(G37*I37,2)</f>
        <v>3792.49</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50636.829999999994</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537"/>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37" t="s">
        <v>59</v>
      </c>
      <c r="H41" s="37">
        <v>251</v>
      </c>
      <c r="I41" s="125">
        <f>Consolidated!$H59</f>
        <v>1047</v>
      </c>
      <c r="J41" s="537">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537">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537">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537">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0</v>
      </c>
      <c r="D45" s="824">
        <f>SUMIFS('Surv2-3'!L:L,'Surv2-3'!$H:$H,$I$2,'Surv2-3'!$I:$I,$H45-140)</f>
        <v>0</v>
      </c>
      <c r="E45" s="1013">
        <f t="shared" si="8"/>
        <v>0</v>
      </c>
      <c r="F45" s="1013"/>
      <c r="G45" s="47" t="s">
        <v>60</v>
      </c>
      <c r="H45" s="37">
        <v>252</v>
      </c>
      <c r="I45" s="125">
        <f>Consolidated!$H63</f>
        <v>3506</v>
      </c>
      <c r="J45" s="537">
        <f t="shared" si="9"/>
        <v>0</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537">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537">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537">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10.5</v>
      </c>
      <c r="D49" s="824">
        <f>SUMIFS('Surv2-3'!M:M,'Surv2-3'!$H:$H,$I$2,'Surv2-3'!$I:$I,$H49-140)</f>
        <v>10.96</v>
      </c>
      <c r="E49" s="1014">
        <f t="shared" si="8"/>
        <v>21.46</v>
      </c>
      <c r="F49" s="1014"/>
      <c r="G49" s="47" t="s">
        <v>61</v>
      </c>
      <c r="H49" s="37">
        <v>253</v>
      </c>
      <c r="I49" s="125">
        <f>Consolidated!$H67</f>
        <v>6685</v>
      </c>
      <c r="J49" s="537">
        <f t="shared" si="9"/>
        <v>143460.1</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10.5</v>
      </c>
      <c r="D50" s="825">
        <f>SUM(D41:D49)</f>
        <v>10.96</v>
      </c>
      <c r="E50" s="1015">
        <f>SUM(E41:E49)</f>
        <v>21.46</v>
      </c>
      <c r="F50" s="1015"/>
      <c r="G50" s="970" t="s">
        <v>63</v>
      </c>
      <c r="H50" s="970"/>
      <c r="I50" s="970"/>
      <c r="J50" s="220">
        <f>SUM(J41:J49)</f>
        <v>143460.1</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123.15</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5.9299999999999999E-4</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121.709</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5.5000000000000003E-4</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123.15</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6.8900000000000005E-4</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123.15</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5.9400000000000002E-4</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123.15</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6.9099999999999999E-4</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5.9400000000000002E-4</v>
      </c>
      <c r="J68" s="127">
        <f>ROUND(G68*I68,2)</f>
        <v>27092.63</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5.9299999999999999E-4</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6.9099999999999999E-4</v>
      </c>
      <c r="J71" s="127">
        <f>ROUND(G71*I71,2)</f>
        <v>13101.3</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6.8900000000000005E-4</v>
      </c>
      <c r="J72" s="127">
        <f>ROUND(G72*I72,2)</f>
        <v>7791.48</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5.5000000000000003E-4</v>
      </c>
      <c r="J85" s="127">
        <f>ROUND(G85*I85,2)</f>
        <v>147848.95000000001</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5.5000000000000003E-4</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5.9299999999999999E-4</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537">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0</v>
      </c>
      <c r="C91" s="80"/>
      <c r="D91" s="921">
        <f>I6</f>
        <v>1.0355000000000001</v>
      </c>
      <c r="E91" s="921"/>
      <c r="F91" s="921"/>
      <c r="G91" s="113">
        <f>Consolidated!F$119</f>
        <v>915.09</v>
      </c>
      <c r="H91" s="47" t="s">
        <v>68</v>
      </c>
      <c r="I91" s="537">
        <f>ROUND(B91*D91*G91,2)</f>
        <v>0</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121.709</v>
      </c>
      <c r="C92" s="80"/>
      <c r="D92" s="921">
        <f>I6</f>
        <v>1.0355000000000001</v>
      </c>
      <c r="E92" s="921"/>
      <c r="F92" s="921"/>
      <c r="G92" s="113">
        <f>Consolidated!F$120</f>
        <v>917.3</v>
      </c>
      <c r="H92" s="47" t="s">
        <v>68</v>
      </c>
      <c r="I92" s="537">
        <f>ROUND(B92*D92*G92,2)</f>
        <v>115607.02</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121.709</v>
      </c>
      <c r="C93" s="80"/>
      <c r="D93" s="80"/>
      <c r="E93" s="999" t="s">
        <v>112</v>
      </c>
      <c r="F93" s="999"/>
      <c r="G93" s="999"/>
      <c r="H93" s="999"/>
      <c r="I93" s="999"/>
      <c r="J93" s="116">
        <f>IF(A1=75,0,I92+I91+I90)</f>
        <v>115607.02</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800">
        <v>33</v>
      </c>
      <c r="D97" s="800">
        <v>32</v>
      </c>
      <c r="E97" s="1044">
        <f>IF(D97&gt;0,(C97+D97)/2,C97)</f>
        <v>32.5</v>
      </c>
      <c r="F97" s="922"/>
      <c r="G97" s="922"/>
      <c r="H97" s="85" t="s">
        <v>117</v>
      </c>
      <c r="I97" s="119">
        <f>Consolidated!G$127</f>
        <v>578</v>
      </c>
      <c r="J97" s="127">
        <f>ROUND(I97*E97,2)</f>
        <v>18785</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1150793.48</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1100156.6499999999</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H113" s="232"/>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I114" s="233">
        <f>IF(I111=1,J111,J109)</f>
        <v>1100156.6499999999</v>
      </c>
      <c r="J114" s="234">
        <f>ROUND(IF(E28=0,0,IF(E28&gt;250,-(((250/E28)*I114)*IF(H113="H",0.02,0.05)),IF(H113="H",-0.02*I114,-0.05*I114))),2)</f>
        <v>-55007.83</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1095785.6499999999</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Payments'!R116</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1095785.6499999999</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91315.47</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C89F0-6C06-4112-8D33-4BE842CC9078}">
  <dimension ref="A1:Z207"/>
  <sheetViews>
    <sheetView topLeftCell="A24" workbookViewId="0">
      <selection activeCell="C24" sqref="C24"/>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535</v>
      </c>
      <c r="B2" s="101"/>
      <c r="C2" s="101"/>
      <c r="D2" s="101"/>
      <c r="E2" s="6"/>
      <c r="F2" s="6"/>
      <c r="G2" s="6"/>
      <c r="H2" s="6"/>
      <c r="I2" s="706" t="str">
        <f>RIGHT(A2,4)</f>
        <v>4090</v>
      </c>
      <c r="J2" s="6"/>
      <c r="K2" s="6"/>
      <c r="L2" s="6"/>
      <c r="M2" s="6"/>
      <c r="N2" s="6"/>
      <c r="O2" s="6"/>
      <c r="P2" s="6"/>
      <c r="Q2" s="6"/>
      <c r="R2" s="927" t="str">
        <f>Revenue_Estimate_Worksheet_for___________Charter_School</f>
        <v>Revenue Estimate Worksheet: Sports Leadership &amp; Management Middle School (SLAM) - 4090</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M</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127.51999999999998</v>
      </c>
      <c r="D14" s="392">
        <f>SUMIFS('Surv2-3'!L:L,'Surv2-3'!$H:$H,$I$2,'Surv2-3'!$I:$I,$O14)</f>
        <v>126.45999999999998</v>
      </c>
      <c r="E14" s="1020">
        <f t="shared" si="0"/>
        <v>253.97999999999996</v>
      </c>
      <c r="F14" s="1020"/>
      <c r="G14" s="1026">
        <f>Consolidated!$F16</f>
        <v>1</v>
      </c>
      <c r="H14" s="1026">
        <f>Consolidated!$H$9</f>
        <v>1</v>
      </c>
      <c r="I14" s="539">
        <f t="shared" si="3"/>
        <v>253.98</v>
      </c>
      <c r="J14" s="540">
        <f>ROUND(ROUND(ROUND(I14*$E$6,4)*($I$6),2)*(MAX($I$7,1)),2)</f>
        <v>1412973.87</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20</v>
      </c>
      <c r="D15" s="392">
        <f>SUMIFS('Surv2-3'!L:L,'Surv2-3'!$H:$H,$I$2,'Surv2-3'!$I:$I,$O15)</f>
        <v>22.91</v>
      </c>
      <c r="E15" s="1020">
        <f t="shared" si="0"/>
        <v>42.91</v>
      </c>
      <c r="F15" s="1020"/>
      <c r="G15" s="1026">
        <f>Consolidated!$F17</f>
        <v>1</v>
      </c>
      <c r="H15" s="1026">
        <f>Consolidated!$H$9</f>
        <v>1</v>
      </c>
      <c r="I15" s="539">
        <f t="shared" si="3"/>
        <v>42.91</v>
      </c>
      <c r="J15" s="540">
        <f t="shared" si="1"/>
        <v>238722.37</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8.33</v>
      </c>
      <c r="D25" s="392">
        <f>SUMIFS('Surv2-3'!L:L,'Surv2-3'!$H:$H,$I$2,'Surv2-3'!$I:$I,$O25)</f>
        <v>18.350000000000001</v>
      </c>
      <c r="E25" s="1020">
        <f t="shared" si="0"/>
        <v>26.68</v>
      </c>
      <c r="F25" s="1020"/>
      <c r="G25" s="1026">
        <f>Consolidated!$F27</f>
        <v>1.165</v>
      </c>
      <c r="H25" s="1026">
        <f>Consolidated!$H$9</f>
        <v>1</v>
      </c>
      <c r="I25" s="539">
        <f t="shared" si="3"/>
        <v>31.0822</v>
      </c>
      <c r="J25" s="540">
        <f t="shared" si="1"/>
        <v>172920.45</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155.85</v>
      </c>
      <c r="D28" s="822">
        <f>SUM(D12:D27)</f>
        <v>167.71999999999997</v>
      </c>
      <c r="E28" s="1025">
        <f>SUM(E12:E27)</f>
        <v>323.57</v>
      </c>
      <c r="F28" s="1025"/>
      <c r="G28" s="1020"/>
      <c r="H28" s="1020"/>
      <c r="I28" s="23">
        <f>SUM(I12:I27)</f>
        <v>327.97219999999999</v>
      </c>
      <c r="J28" s="116">
        <f>SUM(J12:J27)</f>
        <v>1824616.6900000002</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327.97219999999999</v>
      </c>
      <c r="H33" s="1020" t="s">
        <v>45</v>
      </c>
      <c r="I33" s="1020"/>
      <c r="J33" s="32">
        <f>SUM(J32,J28)</f>
        <v>1824616.6900000002</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430">
        <v>1571629.39</v>
      </c>
      <c r="H36" s="37" t="s">
        <v>49</v>
      </c>
      <c r="I36" s="38">
        <v>6.6699999999999995E-2</v>
      </c>
      <c r="J36" s="120">
        <f>ROUND(G36*I36,2)</f>
        <v>104827.68</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430">
        <v>1571629.39</v>
      </c>
      <c r="H37" s="37" t="s">
        <v>49</v>
      </c>
      <c r="I37" s="38">
        <v>5.4000000000000003E-3</v>
      </c>
      <c r="J37" s="120">
        <f>ROUND(G37*I37,2)</f>
        <v>8486.7999999999993</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113314.48</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37" t="s">
        <v>59</v>
      </c>
      <c r="H41" s="37">
        <v>251</v>
      </c>
      <c r="I41" s="125">
        <f>Consolidated!$H59</f>
        <v>1047</v>
      </c>
      <c r="J41" s="46">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4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46">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20</v>
      </c>
      <c r="D45" s="824">
        <f>SUMIFS('Surv2-3'!L:L,'Surv2-3'!$H:$H,$I$2,'Surv2-3'!$I:$I,$H45-140)</f>
        <v>22.91</v>
      </c>
      <c r="E45" s="1013">
        <f t="shared" si="8"/>
        <v>42.91</v>
      </c>
      <c r="F45" s="1013"/>
      <c r="G45" s="47" t="s">
        <v>60</v>
      </c>
      <c r="H45" s="37">
        <v>252</v>
      </c>
      <c r="I45" s="125">
        <f>Consolidated!$H63</f>
        <v>3506</v>
      </c>
      <c r="J45" s="46">
        <f t="shared" si="9"/>
        <v>150442.46</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4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4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46">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20</v>
      </c>
      <c r="D50" s="825">
        <f>SUM(D41:D49)</f>
        <v>22.91</v>
      </c>
      <c r="E50" s="1015">
        <f>SUM(E41:E49)</f>
        <v>42.91</v>
      </c>
      <c r="F50" s="1015"/>
      <c r="G50" s="970" t="s">
        <v>63</v>
      </c>
      <c r="H50" s="970"/>
      <c r="I50" s="970"/>
      <c r="J50" s="220">
        <f>SUM(J41:J49)</f>
        <v>150442.46</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323.57</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1.5579999999999999E-3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327.97219999999999</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1.4829999999999999E-3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323.57</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1.8109999999999999E-3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323.57</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1.56E-3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323.57</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1.8140000000000001E-3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1.56E-3</v>
      </c>
      <c r="J68" s="127">
        <f>ROUND(G68*I68,2)</f>
        <v>71152.36</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1.5579999999999999E-3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1.8140000000000001E-3</v>
      </c>
      <c r="J71" s="127">
        <f>ROUND(G71*I71,2)</f>
        <v>34393.269999999997</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1.8109999999999999E-3</v>
      </c>
      <c r="J72" s="127">
        <f>ROUND(G72*I72,2)</f>
        <v>20479.5</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1.4829999999999999E-3</v>
      </c>
      <c r="J85" s="127">
        <f>ROUND(G85*I85,2)</f>
        <v>398654.54</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1.4829999999999999E-3</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1.5579999999999999E-3</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130">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327.97219999999999</v>
      </c>
      <c r="C91" s="80"/>
      <c r="D91" s="921">
        <f>I6</f>
        <v>1.0355000000000001</v>
      </c>
      <c r="E91" s="921"/>
      <c r="F91" s="921"/>
      <c r="G91" s="113">
        <f>Consolidated!F$119</f>
        <v>915.09</v>
      </c>
      <c r="H91" s="47" t="s">
        <v>68</v>
      </c>
      <c r="I91" s="129">
        <f>ROUND(B91*D91*G91,2)</f>
        <v>310778.49</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327.97219999999999</v>
      </c>
      <c r="C93" s="80"/>
      <c r="D93" s="80"/>
      <c r="E93" s="999" t="s">
        <v>112</v>
      </c>
      <c r="F93" s="999"/>
      <c r="G93" s="999"/>
      <c r="H93" s="999"/>
      <c r="I93" s="999"/>
      <c r="J93" s="116">
        <f>IF(A1=75,0,I92+I91+I90)</f>
        <v>310778.49</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800">
        <v>0</v>
      </c>
      <c r="D97" s="800">
        <v>0</v>
      </c>
      <c r="E97" s="1044">
        <f>IF(D97&gt;0,(C97+D97)/2,C97)</f>
        <v>0</v>
      </c>
      <c r="F97" s="922"/>
      <c r="G97" s="922"/>
      <c r="H97" s="85" t="s">
        <v>117</v>
      </c>
      <c r="I97" s="119">
        <f>Consolidated!G$127</f>
        <v>578</v>
      </c>
      <c r="J97" s="127">
        <f>ROUND(I97*E97,2)</f>
        <v>0</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2810517.31</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2697202.83</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232"/>
      <c r="I114" s="233">
        <f>IF(I111=1,J111,J109)</f>
        <v>2697202.83</v>
      </c>
      <c r="J114" s="234">
        <f>ROUND(IF(E28=0,0,IF(E28&gt;250,-(((250/E28)*I114)*IF(H114="H",0.02,0.05)),IF(H114="H",-0.02*I114,-0.05*I114))),2)</f>
        <v>-104197.04</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2706320.27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Payments'!R117</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2706320.27</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225526.69</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ROUND(IF(H114="H",(I114*0.02)+J114,(I114*0.05)+J114),2)</f>
        <v>30663.1</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16831-2743-42C3-A705-931D6F2B5962}">
  <dimension ref="A1:Z207"/>
  <sheetViews>
    <sheetView topLeftCell="A36" workbookViewId="0">
      <selection activeCell="A36" sqref="A36:E36"/>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536</v>
      </c>
      <c r="B2" s="101"/>
      <c r="C2" s="101"/>
      <c r="D2" s="101"/>
      <c r="E2" s="6"/>
      <c r="F2" s="6"/>
      <c r="G2" s="6"/>
      <c r="H2" s="6"/>
      <c r="I2" s="706" t="str">
        <f>RIGHT(A2,4)</f>
        <v>4091</v>
      </c>
      <c r="J2" s="6"/>
      <c r="K2" s="6"/>
      <c r="L2" s="6"/>
      <c r="M2" s="6"/>
      <c r="N2" s="6"/>
      <c r="O2" s="6"/>
      <c r="P2" s="6"/>
      <c r="Q2" s="6"/>
      <c r="R2" s="927" t="str">
        <f>Revenue_Estimate_Worksheet_for___________Charter_School</f>
        <v>Revenue Estimate Worksheet: Somerset Academy Lakes - 4091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E</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80.649999999999991</v>
      </c>
      <c r="D12" s="738">
        <f>SUMIFS('Surv2-3'!K:K,'Surv2-3'!$H:$H,$I$2,'Surv2-3'!$I:$I,$O12)</f>
        <v>76.97</v>
      </c>
      <c r="E12" s="1021">
        <f t="shared" ref="E12:E27" si="0">IF($D$28=0,C12*2,C12+D12)</f>
        <v>157.62</v>
      </c>
      <c r="F12" s="1021"/>
      <c r="G12" s="1037">
        <f>Consolidated!$F14</f>
        <v>1.1080000000000001</v>
      </c>
      <c r="H12" s="1037">
        <f>Consolidated!$H$9</f>
        <v>1</v>
      </c>
      <c r="I12" s="539">
        <f>ROUND(E12*G12,4)</f>
        <v>174.643</v>
      </c>
      <c r="J12" s="540">
        <f t="shared" ref="J12:J27" si="1">ROUND(ROUND(ROUND(I12*$E$6,4)*($I$6),2)*(MAX($I$7,1)),2)</f>
        <v>971596.17</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13</v>
      </c>
      <c r="D13" s="392">
        <f>SUMIFS('Surv2-3'!K:K,'Surv2-3'!$H:$H,$I$2,'Surv2-3'!$I:$I,$O13)</f>
        <v>14</v>
      </c>
      <c r="E13" s="1020">
        <f t="shared" si="0"/>
        <v>27</v>
      </c>
      <c r="F13" s="1020"/>
      <c r="G13" s="1026">
        <f>Consolidated!$F15</f>
        <v>1.1080000000000001</v>
      </c>
      <c r="H13" s="1026">
        <f>Consolidated!$H$9</f>
        <v>1</v>
      </c>
      <c r="I13" s="539">
        <f t="shared" ref="I13:I27" si="3">ROUND(E13*G13,4)</f>
        <v>29.916</v>
      </c>
      <c r="J13" s="540">
        <f t="shared" si="1"/>
        <v>166432.5</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41.06</v>
      </c>
      <c r="D14" s="392">
        <f>SUMIFS('Surv2-3'!L:L,'Surv2-3'!$H:$H,$I$2,'Surv2-3'!$I:$I,$O14)</f>
        <v>41.86</v>
      </c>
      <c r="E14" s="1020">
        <f t="shared" si="0"/>
        <v>82.92</v>
      </c>
      <c r="F14" s="1020"/>
      <c r="G14" s="1026">
        <f>Consolidated!$F16</f>
        <v>1</v>
      </c>
      <c r="H14" s="1026">
        <f>Consolidated!$H$9</f>
        <v>1</v>
      </c>
      <c r="I14" s="539">
        <f t="shared" si="3"/>
        <v>82.92</v>
      </c>
      <c r="J14" s="540">
        <f>ROUND(ROUND(ROUND(I14*$E$6,4)*($I$6),2)*(MAX($I$7,1)),2)</f>
        <v>461311.1</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7</v>
      </c>
      <c r="D15" s="392">
        <f>SUMIFS('Surv2-3'!L:L,'Surv2-3'!$H:$H,$I$2,'Surv2-3'!$I:$I,$O15)</f>
        <v>9</v>
      </c>
      <c r="E15" s="1020">
        <f t="shared" si="0"/>
        <v>16</v>
      </c>
      <c r="F15" s="1020"/>
      <c r="G15" s="1026">
        <f>Consolidated!$F17</f>
        <v>1</v>
      </c>
      <c r="H15" s="1026">
        <f>Consolidated!$H$9</f>
        <v>1</v>
      </c>
      <c r="I15" s="539">
        <f t="shared" si="3"/>
        <v>16</v>
      </c>
      <c r="J15" s="540">
        <f t="shared" si="1"/>
        <v>89013.24</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41.350000000000009</v>
      </c>
      <c r="D24" s="392">
        <f>SUMIFS('Surv2-3'!K:K,'Surv2-3'!$H:$H,$I$2,'Surv2-3'!$I:$I,$O24)</f>
        <v>42.94</v>
      </c>
      <c r="E24" s="1020">
        <f t="shared" si="0"/>
        <v>84.29</v>
      </c>
      <c r="F24" s="1020"/>
      <c r="G24" s="1026">
        <f>Consolidated!$F26</f>
        <v>1.165</v>
      </c>
      <c r="H24" s="1026">
        <f>Consolidated!$H$9</f>
        <v>1</v>
      </c>
      <c r="I24" s="539">
        <f t="shared" si="3"/>
        <v>98.197900000000004</v>
      </c>
      <c r="J24" s="540">
        <f t="shared" si="1"/>
        <v>546307.06000000006</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12.44</v>
      </c>
      <c r="D25" s="392">
        <f>SUMIFS('Surv2-3'!L:L,'Surv2-3'!$H:$H,$I$2,'Surv2-3'!$I:$I,$O25)</f>
        <v>13.94</v>
      </c>
      <c r="E25" s="1020">
        <f t="shared" si="0"/>
        <v>26.38</v>
      </c>
      <c r="F25" s="1020"/>
      <c r="G25" s="1026">
        <f>Consolidated!$F27</f>
        <v>1.165</v>
      </c>
      <c r="H25" s="1026">
        <f>Consolidated!$H$9</f>
        <v>1</v>
      </c>
      <c r="I25" s="539">
        <f t="shared" si="3"/>
        <v>30.732700000000001</v>
      </c>
      <c r="J25" s="540">
        <f t="shared" si="1"/>
        <v>170976.07</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195.5</v>
      </c>
      <c r="D28" s="822">
        <f>SUM(D12:D27)</f>
        <v>198.70999999999998</v>
      </c>
      <c r="E28" s="1025">
        <f>SUM(E12:E27)</f>
        <v>394.21000000000004</v>
      </c>
      <c r="F28" s="1025"/>
      <c r="G28" s="1020"/>
      <c r="H28" s="1020"/>
      <c r="I28" s="23">
        <f>SUM(I12:I27)</f>
        <v>432.40960000000001</v>
      </c>
      <c r="J28" s="116">
        <f>SUM(J12:J27)</f>
        <v>2405636.14</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432.40960000000001</v>
      </c>
      <c r="H33" s="1020" t="s">
        <v>45</v>
      </c>
      <c r="I33" s="1020"/>
      <c r="J33" s="32">
        <f>SUM(J32,J28)</f>
        <v>2405636.14</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430">
        <v>2428058.0100000002</v>
      </c>
      <c r="H36" s="37" t="s">
        <v>49</v>
      </c>
      <c r="I36" s="38">
        <v>6.6699999999999995E-2</v>
      </c>
      <c r="J36" s="120">
        <f>ROUND(G36*I36,2)</f>
        <v>161951.47</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430">
        <v>2428058.0100000002</v>
      </c>
      <c r="H37" s="37" t="s">
        <v>49</v>
      </c>
      <c r="I37" s="38">
        <v>5.4000000000000003E-3</v>
      </c>
      <c r="J37" s="120">
        <f>ROUND(G37*I37,2)</f>
        <v>13111.51</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175062.98</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13</v>
      </c>
      <c r="D41" s="737">
        <f>SUMIFS('Surv2-3'!K:K,'Surv2-3'!$H:$H,$I$2,'Surv2-3'!$I:$I,$H41-140)</f>
        <v>14</v>
      </c>
      <c r="E41" s="1013">
        <f t="shared" ref="E41:E49" si="8">IF($D$50=0,C41*2,C41+D41)</f>
        <v>27</v>
      </c>
      <c r="F41" s="1013"/>
      <c r="G41" s="37" t="s">
        <v>59</v>
      </c>
      <c r="H41" s="37">
        <v>251</v>
      </c>
      <c r="I41" s="125">
        <f>Consolidated!$H59</f>
        <v>1047</v>
      </c>
      <c r="J41" s="46">
        <f t="shared" ref="J41:J49" si="9">ROUND(E41*I41,2)</f>
        <v>28269</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4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46">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7</v>
      </c>
      <c r="D45" s="824">
        <f>SUMIFS('Surv2-3'!L:L,'Surv2-3'!$H:$H,$I$2,'Surv2-3'!$I:$I,$H45-140)</f>
        <v>9</v>
      </c>
      <c r="E45" s="1013">
        <f t="shared" si="8"/>
        <v>16</v>
      </c>
      <c r="F45" s="1013"/>
      <c r="G45" s="47" t="s">
        <v>60</v>
      </c>
      <c r="H45" s="37">
        <v>252</v>
      </c>
      <c r="I45" s="125">
        <f>Consolidated!$H63</f>
        <v>3506</v>
      </c>
      <c r="J45" s="46">
        <f t="shared" si="9"/>
        <v>56096</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4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4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46">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20</v>
      </c>
      <c r="D50" s="825">
        <f>SUM(D41:D49)</f>
        <v>23</v>
      </c>
      <c r="E50" s="1015">
        <f>SUM(E41:E49)</f>
        <v>43</v>
      </c>
      <c r="F50" s="1015"/>
      <c r="G50" s="970" t="s">
        <v>63</v>
      </c>
      <c r="H50" s="970"/>
      <c r="I50" s="970"/>
      <c r="J50" s="220">
        <f>SUM(J41:J49)</f>
        <v>84365</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394.21000000000004</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1.8979999999999999E-3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E54</f>
        <v>0</v>
      </c>
      <c r="U55" s="173" t="s">
        <v>66</v>
      </c>
      <c r="V55" s="174"/>
      <c r="W55" s="175" t="s">
        <v>71</v>
      </c>
      <c r="X55" s="977">
        <f>I56</f>
        <v>221131.37000000002</v>
      </c>
      <c r="Y55" s="977"/>
    </row>
    <row r="56" spans="1:25" ht="16.5" customHeight="1" x14ac:dyDescent="0.25">
      <c r="A56" s="953" t="s">
        <v>70</v>
      </c>
      <c r="B56" s="953"/>
      <c r="C56" s="51"/>
      <c r="D56" s="51"/>
      <c r="E56" s="48">
        <f>G33</f>
        <v>432.40960000000001</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1.9550000000000001E-3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394.21000000000004</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2.2060000000000001E-3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394.21000000000004</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1.9009999999999999E-3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394.21000000000004</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2.2109999999999999E-3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1.9009999999999999E-3</v>
      </c>
      <c r="J68" s="127">
        <f>ROUND(G68*I68,2)</f>
        <v>86705.53</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1.8979999999999999E-3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2.2109999999999999E-3</v>
      </c>
      <c r="J71" s="127">
        <f>ROUND(G71*I71,2)</f>
        <v>41920.35</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2.2060000000000001E-3</v>
      </c>
      <c r="J72" s="127">
        <f>ROUND(G72*I72,2)</f>
        <v>24946.31</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1.9550000000000001E-3</v>
      </c>
      <c r="J85" s="127">
        <f>ROUND(G85*I85,2)</f>
        <v>525535.81999999995</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1.9550000000000001E-3</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1.8979999999999999E-3</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302.75689999999997</v>
      </c>
      <c r="C90" s="80"/>
      <c r="D90" s="921">
        <f>I6</f>
        <v>1.0355000000000001</v>
      </c>
      <c r="E90" s="921"/>
      <c r="F90" s="921"/>
      <c r="G90" s="113">
        <f>Consolidated!F$118</f>
        <v>958.42</v>
      </c>
      <c r="H90" s="47" t="s">
        <v>68</v>
      </c>
      <c r="I90" s="130">
        <f>ROUND(B90*D90*G90,2)</f>
        <v>300469.24</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129.65270000000001</v>
      </c>
      <c r="C91" s="80"/>
      <c r="D91" s="921">
        <f>I6</f>
        <v>1.0355000000000001</v>
      </c>
      <c r="E91" s="921"/>
      <c r="F91" s="921"/>
      <c r="G91" s="113">
        <f>Consolidated!F$119</f>
        <v>915.09</v>
      </c>
      <c r="H91" s="47" t="s">
        <v>68</v>
      </c>
      <c r="I91" s="129">
        <f>ROUND(B91*D91*G91,2)</f>
        <v>122855.75</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432.40959999999995</v>
      </c>
      <c r="C93" s="80"/>
      <c r="D93" s="80"/>
      <c r="E93" s="999" t="s">
        <v>112</v>
      </c>
      <c r="F93" s="999"/>
      <c r="G93" s="999"/>
      <c r="H93" s="999"/>
      <c r="I93" s="999"/>
      <c r="J93" s="116">
        <f>IF(A1=75,0,I92+I91+I90)</f>
        <v>423324.99</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800">
        <v>0</v>
      </c>
      <c r="D97" s="800">
        <v>0</v>
      </c>
      <c r="E97" s="1044">
        <f>IF(D97&gt;0,(C97+D97)/2,C97)</f>
        <v>0</v>
      </c>
      <c r="F97" s="922"/>
      <c r="G97" s="922"/>
      <c r="H97" s="85" t="s">
        <v>117</v>
      </c>
      <c r="I97" s="119">
        <f>Consolidated!G$127</f>
        <v>578</v>
      </c>
      <c r="J97" s="127">
        <f>ROUND(I97*E97,2)</f>
        <v>0</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3592434.14</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3417371.16</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232"/>
      <c r="I114" s="233">
        <f>IF(I111=1,J111,J109)</f>
        <v>3417371.16</v>
      </c>
      <c r="J114" s="234">
        <f>ROUND(IF(E28=0,0,IF(E28&gt;250,-(((250/E28)*I114)*IF(H114="H",0.02,0.05)),IF(H114="H",-0.02*I114,-0.05*I114))),2)</f>
        <v>-108361.38</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3484072.7600000002</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Payments'!R118</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3484072.7600000002</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290339.40000000002</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ROUND(IF(H114="H",(I114*0.02)+J114,(I114*0.05)+J114),2)</f>
        <v>62507.18</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5400E-6A42-4D93-8257-16D5E4482675}">
  <dimension ref="A1:Z207"/>
  <sheetViews>
    <sheetView workbookViewId="0">
      <selection activeCell="B8" sqref="B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3.710937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537</v>
      </c>
      <c r="B2" s="101"/>
      <c r="C2" s="101"/>
      <c r="D2" s="101"/>
      <c r="E2" s="6"/>
      <c r="F2" s="6"/>
      <c r="G2" s="6"/>
      <c r="H2" s="6"/>
      <c r="I2" s="706" t="str">
        <f>RIGHT(A2,4)</f>
        <v>4100</v>
      </c>
      <c r="J2" s="6"/>
      <c r="K2" s="6"/>
      <c r="L2" s="6"/>
      <c r="M2" s="6"/>
      <c r="N2" s="6"/>
      <c r="O2" s="6"/>
      <c r="P2" s="6"/>
      <c r="Q2" s="6"/>
      <c r="R2" s="927" t="str">
        <f>Revenue_Estimate_Worksheet_for___________Charter_School</f>
        <v>Revenue Estimate Worksheet: Connections Education Center of the Palm Beaches - 4100</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E</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1</v>
      </c>
      <c r="D13" s="392">
        <f>SUMIFS('Surv2-3'!K:K,'Surv2-3'!$H:$H,$I$2,'Surv2-3'!$I:$I,$O13)</f>
        <v>1</v>
      </c>
      <c r="E13" s="1020">
        <f t="shared" si="0"/>
        <v>2</v>
      </c>
      <c r="F13" s="1020"/>
      <c r="G13" s="1026">
        <f>Consolidated!$F15</f>
        <v>1.1080000000000001</v>
      </c>
      <c r="H13" s="1026">
        <f>Consolidated!$H$9</f>
        <v>1</v>
      </c>
      <c r="I13" s="539">
        <f t="shared" ref="I13:I27" si="3">ROUND(E13*G13,4)</f>
        <v>2.2160000000000002</v>
      </c>
      <c r="J13" s="540">
        <f t="shared" si="1"/>
        <v>12328.33</v>
      </c>
      <c r="L13" s="21"/>
      <c r="M13" s="2"/>
      <c r="O13" s="2" t="str">
        <f t="shared" si="2"/>
        <v>111</v>
      </c>
      <c r="R13" s="946" t="s">
        <v>21</v>
      </c>
      <c r="S13" s="946"/>
      <c r="T13" s="944">
        <f t="shared" ref="T13:T27" si="4">IF($I$111=1,E13,0)</f>
        <v>2</v>
      </c>
      <c r="U13" s="944"/>
      <c r="V13" s="950">
        <v>1</v>
      </c>
      <c r="W13" s="950"/>
      <c r="X13" s="145">
        <f t="shared" ref="X13:X27" si="5">ROUND(T13*V13,4)</f>
        <v>2</v>
      </c>
      <c r="Y13" s="212">
        <f t="shared" ref="Y13" si="6">ROUND(ROUND(ROUND(X13*$E$6,4)*($I$6),2)*(MAX($I$7,1)),2)</f>
        <v>11126.65</v>
      </c>
    </row>
    <row r="14" spans="1:25" x14ac:dyDescent="0.25">
      <c r="A14" s="916" t="s">
        <v>22</v>
      </c>
      <c r="B14" s="916"/>
      <c r="C14" s="392">
        <f>SUMIFS('Surv2-3'!E:E,'Surv2-3'!$A:$A,$I$2,'Surv2-3'!$B:$B,$O14)</f>
        <v>0</v>
      </c>
      <c r="D14" s="392">
        <f>SUMIFS('Surv2-3'!L:L,'Surv2-3'!$H:$H,$I$2,'Surv2-3'!$I:$I,$O14)</f>
        <v>0</v>
      </c>
      <c r="E14" s="1020">
        <f t="shared" si="0"/>
        <v>0</v>
      </c>
      <c r="F14" s="1020"/>
      <c r="G14" s="1026">
        <f>Consolidated!$F16</f>
        <v>1</v>
      </c>
      <c r="H14" s="1026">
        <f>Consolidated!$H$9</f>
        <v>1</v>
      </c>
      <c r="I14" s="539">
        <f t="shared" si="3"/>
        <v>0</v>
      </c>
      <c r="J14" s="540">
        <f>ROUND(ROUND(ROUND(I14*$E$6,4)*($I$6),2)*(MAX($I$7,1)),2)</f>
        <v>0</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1</v>
      </c>
      <c r="D15" s="392">
        <f>SUMIFS('Surv2-3'!L:L,'Surv2-3'!$H:$H,$I$2,'Surv2-3'!$I:$I,$O15)</f>
        <v>1</v>
      </c>
      <c r="E15" s="1020">
        <f t="shared" si="0"/>
        <v>2</v>
      </c>
      <c r="F15" s="1020"/>
      <c r="G15" s="1026">
        <f>Consolidated!$F17</f>
        <v>1</v>
      </c>
      <c r="H15" s="1026">
        <f>Consolidated!$H$9</f>
        <v>1</v>
      </c>
      <c r="I15" s="539">
        <f t="shared" si="3"/>
        <v>2</v>
      </c>
      <c r="J15" s="540">
        <f t="shared" si="1"/>
        <v>11126.65</v>
      </c>
      <c r="M15" s="2"/>
      <c r="O15" s="2" t="str">
        <f t="shared" si="2"/>
        <v>112</v>
      </c>
      <c r="R15" s="946" t="s">
        <v>23</v>
      </c>
      <c r="S15" s="946"/>
      <c r="T15" s="944">
        <f t="shared" si="4"/>
        <v>2</v>
      </c>
      <c r="U15" s="944"/>
      <c r="V15" s="950">
        <v>1</v>
      </c>
      <c r="W15" s="950"/>
      <c r="X15" s="145">
        <f t="shared" si="5"/>
        <v>2</v>
      </c>
      <c r="Y15" s="212">
        <f t="shared" ref="Y15:Y27" si="7">ROUND(ROUND(ROUND(X15*$E$6,4)*($I$6),2)*(MAX($I$7,1)),2)</f>
        <v>11126.65</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11.5</v>
      </c>
      <c r="D18" s="392">
        <f>SUMIFS('Surv2-3'!K:K,'Surv2-3'!$H:$H,$I$2,'Surv2-3'!$I:$I,$O18)</f>
        <v>11.5</v>
      </c>
      <c r="E18" s="1020">
        <f t="shared" si="0"/>
        <v>23</v>
      </c>
      <c r="F18" s="1020"/>
      <c r="G18" s="1026">
        <f>Consolidated!$F20</f>
        <v>3.609</v>
      </c>
      <c r="H18" s="1026">
        <f>Consolidated!$H$9</f>
        <v>1</v>
      </c>
      <c r="I18" s="539">
        <f t="shared" si="3"/>
        <v>83.007000000000005</v>
      </c>
      <c r="J18" s="540">
        <f t="shared" si="1"/>
        <v>461795.11</v>
      </c>
      <c r="M18" s="2"/>
      <c r="O18" s="2" t="str">
        <f t="shared" si="2"/>
        <v>254</v>
      </c>
      <c r="R18" s="946" t="s">
        <v>26</v>
      </c>
      <c r="S18" s="946"/>
      <c r="T18" s="944">
        <f t="shared" si="4"/>
        <v>23</v>
      </c>
      <c r="U18" s="944"/>
      <c r="V18" s="950">
        <v>1</v>
      </c>
      <c r="W18" s="950"/>
      <c r="X18" s="145">
        <f t="shared" si="5"/>
        <v>23</v>
      </c>
      <c r="Y18" s="212">
        <f t="shared" si="7"/>
        <v>127956.53</v>
      </c>
    </row>
    <row r="19" spans="1:25" x14ac:dyDescent="0.25">
      <c r="A19" s="916" t="s">
        <v>27</v>
      </c>
      <c r="B19" s="916"/>
      <c r="C19" s="392">
        <f>SUMIFS('Surv2-3'!E:E,'Surv2-3'!$A:$A,$I$2,'Surv2-3'!$B:$B,$O19)</f>
        <v>8</v>
      </c>
      <c r="D19" s="392">
        <f>SUMIFS('Surv2-3'!L:L,'Surv2-3'!$H:$H,$I$2,'Surv2-3'!$I:$I,$O19)</f>
        <v>8</v>
      </c>
      <c r="E19" s="1020">
        <f t="shared" si="0"/>
        <v>16</v>
      </c>
      <c r="F19" s="1020"/>
      <c r="G19" s="1026">
        <f>Consolidated!$F21</f>
        <v>3.609</v>
      </c>
      <c r="H19" s="1026">
        <f>Consolidated!$H$9</f>
        <v>1</v>
      </c>
      <c r="I19" s="539">
        <f t="shared" si="3"/>
        <v>57.744</v>
      </c>
      <c r="J19" s="540">
        <f t="shared" si="1"/>
        <v>321248.77</v>
      </c>
      <c r="M19" s="2"/>
      <c r="O19" s="2" t="str">
        <f t="shared" si="2"/>
        <v>254</v>
      </c>
      <c r="R19" s="946" t="s">
        <v>27</v>
      </c>
      <c r="S19" s="946"/>
      <c r="T19" s="944">
        <f t="shared" si="4"/>
        <v>16</v>
      </c>
      <c r="U19" s="944"/>
      <c r="V19" s="950">
        <v>1</v>
      </c>
      <c r="W19" s="950"/>
      <c r="X19" s="145">
        <f t="shared" si="5"/>
        <v>16</v>
      </c>
      <c r="Y19" s="212">
        <f t="shared" si="7"/>
        <v>89013.24</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12</v>
      </c>
      <c r="D21" s="392">
        <f>SUMIFS('Surv2-3'!K:K,'Surv2-3'!$H:$H,$I$2,'Surv2-3'!$I:$I,$O21)</f>
        <v>12</v>
      </c>
      <c r="E21" s="1020">
        <f t="shared" si="0"/>
        <v>24</v>
      </c>
      <c r="F21" s="1020"/>
      <c r="G21" s="1026">
        <f>Consolidated!$F23</f>
        <v>6.0640000000000001</v>
      </c>
      <c r="H21" s="1026">
        <f>Consolidated!$H$9</f>
        <v>1</v>
      </c>
      <c r="I21" s="539">
        <f t="shared" si="3"/>
        <v>145.536</v>
      </c>
      <c r="J21" s="540">
        <f t="shared" si="1"/>
        <v>809664.4</v>
      </c>
      <c r="M21" s="2"/>
      <c r="O21" s="2" t="str">
        <f t="shared" si="2"/>
        <v>255</v>
      </c>
      <c r="R21" s="946" t="s">
        <v>29</v>
      </c>
      <c r="S21" s="946"/>
      <c r="T21" s="944">
        <f t="shared" si="4"/>
        <v>24</v>
      </c>
      <c r="U21" s="944"/>
      <c r="V21" s="950">
        <v>1</v>
      </c>
      <c r="W21" s="950"/>
      <c r="X21" s="145">
        <f t="shared" si="5"/>
        <v>24</v>
      </c>
      <c r="Y21" s="212">
        <f t="shared" si="7"/>
        <v>133519.85999999999</v>
      </c>
    </row>
    <row r="22" spans="1:25" ht="15" customHeight="1" x14ac:dyDescent="0.25">
      <c r="A22" s="916" t="s">
        <v>30</v>
      </c>
      <c r="B22" s="916"/>
      <c r="C22" s="392">
        <f>SUMIFS('Surv2-3'!E:E,'Surv2-3'!$A:$A,$I$2,'Surv2-3'!$B:$B,$O22)</f>
        <v>22</v>
      </c>
      <c r="D22" s="392">
        <f>SUMIFS('Surv2-3'!L:L,'Surv2-3'!$H:$H,$I$2,'Surv2-3'!$I:$I,$O22)</f>
        <v>22</v>
      </c>
      <c r="E22" s="1020">
        <f t="shared" si="0"/>
        <v>44</v>
      </c>
      <c r="F22" s="1020"/>
      <c r="G22" s="1026">
        <f>Consolidated!$F24</f>
        <v>6.0640000000000001</v>
      </c>
      <c r="H22" s="1026">
        <f>Consolidated!$H$9</f>
        <v>1</v>
      </c>
      <c r="I22" s="539">
        <f t="shared" si="3"/>
        <v>266.81599999999997</v>
      </c>
      <c r="J22" s="540">
        <f t="shared" si="1"/>
        <v>1484384.74</v>
      </c>
      <c r="M22" s="2"/>
      <c r="O22" s="2" t="str">
        <f t="shared" si="2"/>
        <v>255</v>
      </c>
      <c r="R22" s="946" t="s">
        <v>30</v>
      </c>
      <c r="S22" s="946"/>
      <c r="T22" s="944">
        <f t="shared" si="4"/>
        <v>44</v>
      </c>
      <c r="U22" s="944"/>
      <c r="V22" s="950">
        <v>1</v>
      </c>
      <c r="W22" s="950"/>
      <c r="X22" s="145">
        <f t="shared" si="5"/>
        <v>44</v>
      </c>
      <c r="Y22" s="212">
        <f t="shared" si="7"/>
        <v>244786.4</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v>
      </c>
      <c r="D25" s="392">
        <f>SUMIFS('Surv2-3'!L:L,'Surv2-3'!$H:$H,$I$2,'Surv2-3'!$I:$I,$O25)</f>
        <v>0</v>
      </c>
      <c r="E25" s="1020">
        <f t="shared" si="0"/>
        <v>0</v>
      </c>
      <c r="F25" s="1020"/>
      <c r="G25" s="1026">
        <f>Consolidated!$F27</f>
        <v>1.165</v>
      </c>
      <c r="H25" s="1026">
        <f>Consolidated!$H$9</f>
        <v>1</v>
      </c>
      <c r="I25" s="539">
        <f t="shared" si="3"/>
        <v>0</v>
      </c>
      <c r="J25" s="540">
        <f t="shared" si="1"/>
        <v>0</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55.5</v>
      </c>
      <c r="D28" s="822">
        <f>SUM(D12:D27)</f>
        <v>55.5</v>
      </c>
      <c r="E28" s="1025">
        <f>SUM(E12:E27)</f>
        <v>111</v>
      </c>
      <c r="F28" s="1025"/>
      <c r="G28" s="1020"/>
      <c r="H28" s="1020"/>
      <c r="I28" s="23">
        <f>SUM(I12:I27)</f>
        <v>557.31899999999996</v>
      </c>
      <c r="J28" s="116">
        <f>SUM(J12:J27)</f>
        <v>3100548</v>
      </c>
      <c r="M28" s="2"/>
      <c r="R28" s="963" t="s">
        <v>36</v>
      </c>
      <c r="S28" s="963"/>
      <c r="T28" s="964">
        <f>SUM(T12:T27)</f>
        <v>111</v>
      </c>
      <c r="U28" s="964"/>
      <c r="V28" s="965"/>
      <c r="W28" s="965"/>
      <c r="X28" s="147">
        <f>SUM(X12:X27)</f>
        <v>111</v>
      </c>
      <c r="Y28" s="212">
        <f>SUM(Y12:Y27)</f>
        <v>617529.32999999996</v>
      </c>
    </row>
    <row r="29" spans="1:25" ht="36"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557.31899999999996</v>
      </c>
      <c r="H33" s="1020" t="s">
        <v>45</v>
      </c>
      <c r="I33" s="1020"/>
      <c r="J33" s="32">
        <f>SUM(J32,J28)</f>
        <v>3100548</v>
      </c>
      <c r="M33" s="2"/>
      <c r="R33" s="969" t="s">
        <v>44</v>
      </c>
      <c r="S33" s="969"/>
      <c r="T33" s="969"/>
      <c r="U33" s="969"/>
      <c r="V33" s="153">
        <f>X28</f>
        <v>111</v>
      </c>
      <c r="W33" s="965" t="s">
        <v>45</v>
      </c>
      <c r="X33" s="965"/>
      <c r="Y33" s="154">
        <f>SUM(Y32,Y28)</f>
        <v>617529.32999999996</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430">
        <v>2749273.96</v>
      </c>
      <c r="H36" s="37" t="s">
        <v>49</v>
      </c>
      <c r="I36" s="38">
        <v>6.6699999999999995E-2</v>
      </c>
      <c r="J36" s="120">
        <f>ROUND(G36*I36,2)</f>
        <v>183376.57</v>
      </c>
      <c r="K36" s="39"/>
      <c r="L36" s="33"/>
      <c r="M36" s="33"/>
      <c r="N36" s="33"/>
      <c r="O36" s="31"/>
      <c r="P36" s="34"/>
      <c r="Q36" s="34"/>
      <c r="R36" s="946" t="s">
        <v>47</v>
      </c>
      <c r="S36" s="946"/>
      <c r="T36" s="946"/>
      <c r="U36" s="158"/>
      <c r="V36" s="161">
        <v>561896.05000000005</v>
      </c>
      <c r="W36" s="162" t="s">
        <v>49</v>
      </c>
      <c r="X36" s="163">
        <v>6.6699999999999995E-2</v>
      </c>
      <c r="Y36" s="212">
        <f>J36</f>
        <v>183376.57</v>
      </c>
    </row>
    <row r="37" spans="1:25" ht="20.25" customHeight="1" x14ac:dyDescent="0.25">
      <c r="A37" s="916" t="s">
        <v>50</v>
      </c>
      <c r="B37" s="916"/>
      <c r="C37" s="916"/>
      <c r="D37" s="916"/>
      <c r="E37" s="916"/>
      <c r="F37" s="36" t="s">
        <v>48</v>
      </c>
      <c r="G37" s="430">
        <v>2749273.96</v>
      </c>
      <c r="H37" s="37" t="s">
        <v>49</v>
      </c>
      <c r="I37" s="38">
        <v>5.4000000000000003E-3</v>
      </c>
      <c r="J37" s="120">
        <f>ROUND(G37*I37,2)</f>
        <v>14846.08</v>
      </c>
      <c r="K37" s="39"/>
      <c r="L37" s="33"/>
      <c r="M37" s="33"/>
      <c r="N37" s="33"/>
      <c r="O37" s="31"/>
      <c r="P37" s="34"/>
      <c r="Q37" s="34"/>
      <c r="R37" s="946" t="s">
        <v>50</v>
      </c>
      <c r="S37" s="946"/>
      <c r="T37" s="946"/>
      <c r="U37" s="158"/>
      <c r="V37" s="161">
        <v>561896.05000000005</v>
      </c>
      <c r="W37" s="162" t="s">
        <v>49</v>
      </c>
      <c r="X37" s="163">
        <v>5.4000000000000003E-3</v>
      </c>
      <c r="Y37" s="212">
        <f>J37</f>
        <v>14846.08</v>
      </c>
    </row>
    <row r="38" spans="1:25" ht="20.25" customHeight="1" x14ac:dyDescent="0.25">
      <c r="A38" s="952" t="s">
        <v>51</v>
      </c>
      <c r="B38" s="952"/>
      <c r="C38" s="952"/>
      <c r="D38" s="952"/>
      <c r="E38" s="952"/>
      <c r="F38" s="36" t="s">
        <v>52</v>
      </c>
      <c r="G38" s="40"/>
      <c r="H38" s="37"/>
      <c r="I38" s="41"/>
      <c r="J38" s="120">
        <f>SUM(J36:J37)</f>
        <v>198222.65</v>
      </c>
      <c r="K38" s="39"/>
      <c r="L38" s="33"/>
      <c r="M38" s="33"/>
      <c r="N38" s="33"/>
      <c r="O38" s="31"/>
      <c r="P38" s="34"/>
      <c r="Q38" s="34"/>
      <c r="R38" s="955" t="s">
        <v>51</v>
      </c>
      <c r="S38" s="955"/>
      <c r="T38" s="955"/>
      <c r="U38" s="158" t="s">
        <v>52</v>
      </c>
      <c r="V38" s="164"/>
      <c r="W38" s="162"/>
      <c r="X38" s="165"/>
      <c r="Y38" s="146">
        <f>Y36+Y37</f>
        <v>198222.65</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1</v>
      </c>
      <c r="D41" s="737">
        <f>SUMIFS('Surv2-3'!K:K,'Surv2-3'!$H:$H,$I$2,'Surv2-3'!$I:$I,$H41-140)</f>
        <v>1</v>
      </c>
      <c r="E41" s="1013">
        <f t="shared" ref="E41:E49" si="8">IF($D$50=0,C41*2,C41+D41)</f>
        <v>2</v>
      </c>
      <c r="F41" s="1013"/>
      <c r="G41" s="37" t="s">
        <v>59</v>
      </c>
      <c r="H41" s="37">
        <v>251</v>
      </c>
      <c r="I41" s="125">
        <f>Consolidated!$H59</f>
        <v>1047</v>
      </c>
      <c r="J41" s="537">
        <f t="shared" ref="J41:J49" si="9">ROUND(E41*I41,2)</f>
        <v>2094</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537">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537">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537">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1</v>
      </c>
      <c r="D45" s="824">
        <f>SUMIFS('Surv2-3'!L:L,'Surv2-3'!$H:$H,$I$2,'Surv2-3'!$I:$I,$H45-140)</f>
        <v>1</v>
      </c>
      <c r="E45" s="1013">
        <f t="shared" si="8"/>
        <v>2</v>
      </c>
      <c r="F45" s="1013"/>
      <c r="G45" s="47" t="s">
        <v>60</v>
      </c>
      <c r="H45" s="37">
        <v>252</v>
      </c>
      <c r="I45" s="125">
        <f>Consolidated!$H63</f>
        <v>3506</v>
      </c>
      <c r="J45" s="537">
        <f t="shared" si="9"/>
        <v>7012</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537">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537">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537">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537">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2</v>
      </c>
      <c r="D50" s="825">
        <f>SUM(D41:D49)</f>
        <v>2</v>
      </c>
      <c r="E50" s="1015">
        <f>SUM(E41:E49)</f>
        <v>4</v>
      </c>
      <c r="F50" s="1015"/>
      <c r="G50" s="970" t="s">
        <v>63</v>
      </c>
      <c r="H50" s="970"/>
      <c r="I50" s="970"/>
      <c r="J50" s="220">
        <f>SUM(J41:J49)</f>
        <v>9106</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111</v>
      </c>
      <c r="U52" s="173" t="s">
        <v>66</v>
      </c>
      <c r="V52" s="174"/>
      <c r="W52" s="175" t="s">
        <v>67</v>
      </c>
      <c r="X52" s="977">
        <f>I53</f>
        <v>207716.69</v>
      </c>
      <c r="Y52" s="977"/>
    </row>
    <row r="53" spans="1:25" ht="16.5" customHeight="1" x14ac:dyDescent="0.25">
      <c r="A53" s="953" t="s">
        <v>65</v>
      </c>
      <c r="B53" s="953"/>
      <c r="C53" s="51"/>
      <c r="D53" s="51"/>
      <c r="E53" s="48">
        <f>E28</f>
        <v>111</v>
      </c>
      <c r="F53" s="49" t="s">
        <v>66</v>
      </c>
      <c r="G53" s="3"/>
      <c r="H53" s="50" t="s">
        <v>67</v>
      </c>
      <c r="I53" s="1051">
        <f>Consolidated!H$71</f>
        <v>207716.69</v>
      </c>
      <c r="J53" s="1051"/>
      <c r="M53" s="2"/>
      <c r="R53" s="176"/>
      <c r="S53" s="177"/>
      <c r="T53" s="159"/>
      <c r="U53" s="159"/>
      <c r="V53" s="159"/>
      <c r="W53" s="178" t="s">
        <v>68</v>
      </c>
      <c r="X53" s="978">
        <f>ROUND(T52/X52,6)</f>
        <v>5.3399999999999997E-4</v>
      </c>
      <c r="Y53" s="978"/>
    </row>
    <row r="54" spans="1:25" ht="22.5" customHeight="1" x14ac:dyDescent="0.25">
      <c r="A54" s="51"/>
      <c r="B54" s="52"/>
      <c r="C54" s="52"/>
      <c r="D54" s="52"/>
      <c r="H54" s="53" t="s">
        <v>68</v>
      </c>
      <c r="I54" s="1004">
        <f>IFERROR(ROUND(E53/I53,6),0)</f>
        <v>5.3399999999999997E-4</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T28</f>
        <v>111</v>
      </c>
      <c r="U55" s="173" t="s">
        <v>66</v>
      </c>
      <c r="V55" s="174"/>
      <c r="W55" s="175" t="s">
        <v>71</v>
      </c>
      <c r="X55" s="977">
        <f>I56</f>
        <v>221131.37000000002</v>
      </c>
      <c r="Y55" s="977"/>
    </row>
    <row r="56" spans="1:25" ht="16.5" customHeight="1" x14ac:dyDescent="0.25">
      <c r="A56" s="953" t="s">
        <v>70</v>
      </c>
      <c r="B56" s="953"/>
      <c r="C56" s="51"/>
      <c r="D56" s="51"/>
      <c r="E56" s="48">
        <f>G33</f>
        <v>557.31899999999996</v>
      </c>
      <c r="F56" s="49" t="s">
        <v>66</v>
      </c>
      <c r="G56" s="3"/>
      <c r="H56" s="50" t="s">
        <v>71</v>
      </c>
      <c r="I56" s="1051">
        <f>Consolidated!H$74</f>
        <v>221131.37000000002</v>
      </c>
      <c r="J56" s="1051"/>
      <c r="M56" s="2"/>
      <c r="R56" s="176"/>
      <c r="S56" s="159"/>
      <c r="T56" s="159"/>
      <c r="U56" s="159"/>
      <c r="V56" s="159"/>
      <c r="W56" s="178" t="s">
        <v>68</v>
      </c>
      <c r="X56" s="978">
        <f>ROUND(T55/X55,6)</f>
        <v>5.0199999999999995E-4</v>
      </c>
      <c r="Y56" s="978"/>
    </row>
    <row r="57" spans="1:25" ht="18.75" customHeight="1" x14ac:dyDescent="0.25">
      <c r="A57" s="51"/>
      <c r="H57" s="53" t="s">
        <v>68</v>
      </c>
      <c r="I57" s="1004">
        <f>IFERROR(ROUND(E56/I56,6),0)</f>
        <v>2.5200000000000001E-3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111</v>
      </c>
      <c r="U58" s="173" t="s">
        <v>66</v>
      </c>
      <c r="V58" s="976" t="s">
        <v>74</v>
      </c>
      <c r="W58" s="976"/>
      <c r="X58" s="977">
        <f>I59</f>
        <v>178668.19</v>
      </c>
      <c r="Y58" s="977"/>
    </row>
    <row r="59" spans="1:25" ht="18.75" customHeight="1" x14ac:dyDescent="0.25">
      <c r="A59" s="953" t="s">
        <v>73</v>
      </c>
      <c r="B59" s="953"/>
      <c r="C59" s="51"/>
      <c r="D59" s="51"/>
      <c r="E59" s="48">
        <f>E28</f>
        <v>111</v>
      </c>
      <c r="F59" s="49" t="s">
        <v>66</v>
      </c>
      <c r="G59" s="1046" t="s">
        <v>74</v>
      </c>
      <c r="H59" s="1046"/>
      <c r="I59" s="1051">
        <f>Consolidated!H$77</f>
        <v>178668.19</v>
      </c>
      <c r="J59" s="1051"/>
      <c r="M59" s="2"/>
      <c r="R59" s="176"/>
      <c r="S59" s="159"/>
      <c r="T59" s="159"/>
      <c r="U59" s="159"/>
      <c r="V59" s="159"/>
      <c r="W59" s="178" t="s">
        <v>68</v>
      </c>
      <c r="X59" s="978">
        <f>ROUND(T58/X58,6)</f>
        <v>6.2100000000000002E-4</v>
      </c>
      <c r="Y59" s="978"/>
    </row>
    <row r="60" spans="1:25" ht="18" customHeight="1" x14ac:dyDescent="0.25">
      <c r="A60" s="51"/>
      <c r="H60" s="53" t="s">
        <v>68</v>
      </c>
      <c r="I60" s="1004">
        <f>IFERROR(ROUND(E59/I59,6),0)</f>
        <v>6.2100000000000002E-4</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111</v>
      </c>
      <c r="U61" s="173" t="s">
        <v>66</v>
      </c>
      <c r="V61" s="976" t="s">
        <v>76</v>
      </c>
      <c r="W61" s="976"/>
      <c r="X61" s="977">
        <f>I62</f>
        <v>207376.94</v>
      </c>
      <c r="Y61" s="977"/>
    </row>
    <row r="62" spans="1:25" ht="30.75" customHeight="1" x14ac:dyDescent="0.25">
      <c r="A62" s="953" t="s">
        <v>73</v>
      </c>
      <c r="B62" s="953"/>
      <c r="C62" s="51"/>
      <c r="D62" s="51"/>
      <c r="E62" s="48">
        <f>E28</f>
        <v>111</v>
      </c>
      <c r="F62" s="49" t="s">
        <v>66</v>
      </c>
      <c r="G62" s="1046" t="s">
        <v>76</v>
      </c>
      <c r="H62" s="1046"/>
      <c r="I62" s="1051">
        <f>Consolidated!H$80</f>
        <v>207376.94</v>
      </c>
      <c r="J62" s="1051"/>
      <c r="M62" s="2"/>
      <c r="R62" s="176"/>
      <c r="S62" s="159"/>
      <c r="T62" s="159"/>
      <c r="U62" s="159"/>
      <c r="V62" s="159"/>
      <c r="W62" s="178" t="s">
        <v>68</v>
      </c>
      <c r="X62" s="978">
        <f>ROUND(T61/X61,6)</f>
        <v>5.3499999999999999E-4</v>
      </c>
      <c r="Y62" s="978"/>
    </row>
    <row r="63" spans="1:25" ht="19.5" customHeight="1" x14ac:dyDescent="0.25">
      <c r="A63" s="51"/>
      <c r="H63" s="53" t="s">
        <v>68</v>
      </c>
      <c r="I63" s="1004">
        <f>IFERROR(ROUND(E62/I62,6),0)</f>
        <v>5.3499999999999999E-4</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111</v>
      </c>
      <c r="U64" s="173" t="s">
        <v>66</v>
      </c>
      <c r="V64" s="976" t="s">
        <v>161</v>
      </c>
      <c r="W64" s="976"/>
      <c r="X64" s="977">
        <f>I65</f>
        <v>178328.44</v>
      </c>
      <c r="Y64" s="977"/>
    </row>
    <row r="65" spans="1:26" ht="49.5" customHeight="1" x14ac:dyDescent="0.25">
      <c r="A65" s="953" t="s">
        <v>73</v>
      </c>
      <c r="B65" s="953"/>
      <c r="C65" s="51"/>
      <c r="D65" s="51"/>
      <c r="E65" s="48">
        <f>E28</f>
        <v>111</v>
      </c>
      <c r="F65" s="49" t="s">
        <v>66</v>
      </c>
      <c r="G65" s="1046" t="s">
        <v>78</v>
      </c>
      <c r="H65" s="1046"/>
      <c r="I65" s="1051">
        <f>Consolidated!H$83</f>
        <v>178328.44</v>
      </c>
      <c r="J65" s="1051"/>
      <c r="M65" s="2"/>
      <c r="R65" s="179"/>
      <c r="S65" s="159"/>
      <c r="T65" s="159"/>
      <c r="U65" s="159"/>
      <c r="V65" s="159"/>
      <c r="W65" s="178" t="s">
        <v>68</v>
      </c>
      <c r="X65" s="978">
        <f>ROUND(T64/X64,6)</f>
        <v>6.2200000000000005E-4</v>
      </c>
      <c r="Y65" s="978"/>
    </row>
    <row r="66" spans="1:26" ht="19.5" customHeight="1" x14ac:dyDescent="0.25">
      <c r="A66" s="51"/>
      <c r="H66" s="53" t="s">
        <v>68</v>
      </c>
      <c r="I66" s="1004">
        <f>IFERROR(ROUND(E65/I65,6),0)</f>
        <v>6.2200000000000005E-4</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5.3499999999999999E-4</v>
      </c>
      <c r="Y67" s="215">
        <f>ROUND(V67*X67,2)</f>
        <v>24401.61</v>
      </c>
    </row>
    <row r="68" spans="1:26" ht="30.75" customHeight="1" x14ac:dyDescent="0.25">
      <c r="A68" s="1005" t="s">
        <v>79</v>
      </c>
      <c r="B68" s="1005"/>
      <c r="C68" s="1005"/>
      <c r="D68" s="1005"/>
      <c r="E68" s="1005"/>
      <c r="F68" s="36" t="s">
        <v>80</v>
      </c>
      <c r="G68" s="221">
        <f>Consolidated!F$86</f>
        <v>45610484</v>
      </c>
      <c r="H68" s="37" t="s">
        <v>81</v>
      </c>
      <c r="I68" s="41">
        <f>I63</f>
        <v>5.3499999999999999E-4</v>
      </c>
      <c r="J68" s="127">
        <f>ROUND(G68*I68,2)</f>
        <v>24401.61</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5.3399999999999997E-4</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5.3399999999999997E-4</v>
      </c>
      <c r="J70" s="127">
        <f>ROUND(G70*I70,2)</f>
        <v>0</v>
      </c>
      <c r="M70" s="2"/>
      <c r="R70" s="955" t="s">
        <v>163</v>
      </c>
      <c r="S70" s="955"/>
      <c r="T70" s="955"/>
      <c r="U70" s="158"/>
      <c r="V70" s="182">
        <f>G71</f>
        <v>18959906</v>
      </c>
      <c r="W70" s="162" t="s">
        <v>81</v>
      </c>
      <c r="X70" s="165">
        <f>X65</f>
        <v>6.2200000000000005E-4</v>
      </c>
      <c r="Y70" s="212">
        <f t="shared" si="11"/>
        <v>11793.06</v>
      </c>
    </row>
    <row r="71" spans="1:26" ht="19.5" customHeight="1" x14ac:dyDescent="0.25">
      <c r="A71" s="952" t="s">
        <v>85</v>
      </c>
      <c r="B71" s="952"/>
      <c r="C71" s="952"/>
      <c r="D71" s="952"/>
      <c r="E71" s="952"/>
      <c r="F71" s="36" t="s">
        <v>86</v>
      </c>
      <c r="G71" s="221">
        <f>Consolidated!F$91</f>
        <v>18959906</v>
      </c>
      <c r="H71" s="37" t="s">
        <v>81</v>
      </c>
      <c r="I71" s="41">
        <f>I66</f>
        <v>6.2200000000000005E-4</v>
      </c>
      <c r="J71" s="127">
        <f>ROUND(G71*I71,2)</f>
        <v>11793.06</v>
      </c>
      <c r="M71" s="2"/>
      <c r="R71" s="166" t="s">
        <v>164</v>
      </c>
      <c r="S71" s="166"/>
      <c r="T71" s="166"/>
      <c r="U71" s="158"/>
      <c r="V71" s="160">
        <f>G72</f>
        <v>11308391</v>
      </c>
      <c r="W71" s="162" t="s">
        <v>81</v>
      </c>
      <c r="X71" s="165">
        <f>X59</f>
        <v>6.2100000000000002E-4</v>
      </c>
      <c r="Y71" s="212">
        <f t="shared" si="11"/>
        <v>7022.51</v>
      </c>
    </row>
    <row r="72" spans="1:26" ht="19.5" customHeight="1" x14ac:dyDescent="0.25">
      <c r="A72" s="42" t="s">
        <v>87</v>
      </c>
      <c r="B72" s="42"/>
      <c r="C72" s="42"/>
      <c r="D72" s="42"/>
      <c r="E72" s="42"/>
      <c r="F72" s="36" t="s">
        <v>88</v>
      </c>
      <c r="G72" s="221">
        <f>Consolidated!F$93</f>
        <v>11308391</v>
      </c>
      <c r="H72" s="37" t="s">
        <v>81</v>
      </c>
      <c r="I72" s="41">
        <f>I60</f>
        <v>6.2100000000000002E-4</v>
      </c>
      <c r="J72" s="127">
        <f>ROUND(G72*I72,2)</f>
        <v>7022.51</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2.5200000000000001E-3</v>
      </c>
      <c r="J85" s="127">
        <f>ROUND(G85*I85,2)</f>
        <v>677417.02</v>
      </c>
      <c r="K85" s="70"/>
      <c r="L85" s="70"/>
      <c r="M85" s="71"/>
      <c r="N85" s="70"/>
      <c r="O85" s="70"/>
      <c r="P85" s="70"/>
      <c r="Q85" s="70"/>
      <c r="R85" s="955" t="s">
        <v>168</v>
      </c>
      <c r="S85" s="955"/>
      <c r="T85" s="955"/>
      <c r="U85" s="158"/>
      <c r="V85" s="160">
        <f>G85</f>
        <v>268816278</v>
      </c>
      <c r="W85" s="162" t="s">
        <v>81</v>
      </c>
      <c r="X85" s="165">
        <f>X56</f>
        <v>5.0199999999999995E-4</v>
      </c>
      <c r="Y85" s="212">
        <f t="shared" ref="Y85:Y87" si="12">ROUND(V85*X85,2)</f>
        <v>134945.76999999999</v>
      </c>
    </row>
    <row r="86" spans="1:26" ht="14.25" customHeight="1" x14ac:dyDescent="0.25">
      <c r="A86" s="952" t="s">
        <v>104</v>
      </c>
      <c r="B86" s="952"/>
      <c r="C86" s="952"/>
      <c r="D86" s="952"/>
      <c r="E86" s="952"/>
      <c r="F86" s="36" t="s">
        <v>103</v>
      </c>
      <c r="G86" s="128">
        <v>0</v>
      </c>
      <c r="H86" s="37" t="s">
        <v>81</v>
      </c>
      <c r="I86" s="41">
        <f>I57</f>
        <v>2.5200000000000001E-3</v>
      </c>
      <c r="J86" s="127">
        <f>ROUND(G86*I86,2)</f>
        <v>0</v>
      </c>
      <c r="K86" s="70"/>
      <c r="L86" s="71"/>
      <c r="M86" s="76"/>
      <c r="N86" s="76"/>
      <c r="O86" s="76"/>
      <c r="P86" s="76"/>
      <c r="Q86" s="70"/>
      <c r="R86" s="955" t="s">
        <v>169</v>
      </c>
      <c r="S86" s="955"/>
      <c r="T86" s="955"/>
      <c r="U86" s="158"/>
      <c r="V86" s="192">
        <f>G86</f>
        <v>0</v>
      </c>
      <c r="W86" s="162" t="s">
        <v>81</v>
      </c>
      <c r="X86" s="165">
        <f>X56</f>
        <v>5.0199999999999995E-4</v>
      </c>
      <c r="Y86" s="212">
        <f t="shared" si="12"/>
        <v>0</v>
      </c>
    </row>
    <row r="87" spans="1:26" ht="18" customHeight="1" x14ac:dyDescent="0.25">
      <c r="A87" s="952" t="s">
        <v>105</v>
      </c>
      <c r="B87" s="952"/>
      <c r="C87" s="952"/>
      <c r="D87" s="952"/>
      <c r="E87" s="952"/>
      <c r="F87" s="36" t="s">
        <v>84</v>
      </c>
      <c r="G87" s="128">
        <v>0</v>
      </c>
      <c r="H87" s="37" t="s">
        <v>81</v>
      </c>
      <c r="I87" s="41">
        <f>I54</f>
        <v>5.3399999999999997E-4</v>
      </c>
      <c r="J87" s="62">
        <f>ROUND(G87*I87,2)</f>
        <v>0</v>
      </c>
      <c r="K87" s="77"/>
      <c r="L87" s="70"/>
      <c r="M87" s="71"/>
      <c r="N87" s="70"/>
      <c r="O87" s="70"/>
      <c r="P87" s="70"/>
      <c r="Q87" s="70"/>
      <c r="R87" s="166" t="s">
        <v>170</v>
      </c>
      <c r="S87" s="166"/>
      <c r="T87" s="166"/>
      <c r="U87" s="158"/>
      <c r="V87" s="192">
        <f>G87</f>
        <v>0</v>
      </c>
      <c r="W87" s="162" t="s">
        <v>81</v>
      </c>
      <c r="X87" s="165">
        <f>X53</f>
        <v>5.3399999999999997E-4</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230.75900000000001</v>
      </c>
      <c r="C90" s="80"/>
      <c r="D90" s="921">
        <f>I6</f>
        <v>1.0355000000000001</v>
      </c>
      <c r="E90" s="921"/>
      <c r="F90" s="921"/>
      <c r="G90" s="113">
        <f>Consolidated!F$118</f>
        <v>958.42</v>
      </c>
      <c r="H90" s="47" t="s">
        <v>68</v>
      </c>
      <c r="I90" s="130">
        <f>ROUND(B90*D90*G90,2)</f>
        <v>229015.36</v>
      </c>
      <c r="J90" s="81"/>
      <c r="K90" s="70"/>
      <c r="L90" s="70"/>
      <c r="M90" s="71"/>
      <c r="N90" s="70"/>
      <c r="O90" s="70"/>
      <c r="P90" s="70"/>
      <c r="Q90" s="70"/>
      <c r="R90" s="155" t="s">
        <v>110</v>
      </c>
      <c r="S90" s="193">
        <f>X12+X13+X18+X21+X24</f>
        <v>49</v>
      </c>
      <c r="T90" s="984">
        <f>X6</f>
        <v>1.0355000000000001</v>
      </c>
      <c r="U90" s="984"/>
      <c r="V90" s="113">
        <f>G90</f>
        <v>958.42</v>
      </c>
      <c r="W90" s="171" t="s">
        <v>68</v>
      </c>
      <c r="X90" s="216">
        <f>ROUND(S90*T90*V90,2)</f>
        <v>48629.75</v>
      </c>
      <c r="Y90" s="194"/>
    </row>
    <row r="91" spans="1:26" ht="21" customHeight="1" x14ac:dyDescent="0.25">
      <c r="A91" s="82" t="s">
        <v>60</v>
      </c>
      <c r="B91" s="80">
        <f>I14+I15+I19+I22+I25</f>
        <v>326.55999999999995</v>
      </c>
      <c r="C91" s="80"/>
      <c r="D91" s="921">
        <f>I6</f>
        <v>1.0355000000000001</v>
      </c>
      <c r="E91" s="921"/>
      <c r="F91" s="921"/>
      <c r="G91" s="113">
        <f>Consolidated!F$119</f>
        <v>915.09</v>
      </c>
      <c r="H91" s="47" t="s">
        <v>68</v>
      </c>
      <c r="I91" s="129">
        <f>ROUND(B91*D91*G91,2)</f>
        <v>309440.32</v>
      </c>
      <c r="K91" s="70"/>
      <c r="L91" s="70"/>
      <c r="M91" s="71"/>
      <c r="N91" s="70"/>
      <c r="O91" s="70"/>
      <c r="P91" s="70"/>
      <c r="Q91" s="70"/>
      <c r="R91" s="195" t="s">
        <v>60</v>
      </c>
      <c r="S91" s="193">
        <f>X14+X15+X19+X22+X25</f>
        <v>62</v>
      </c>
      <c r="T91" s="984">
        <f>X6</f>
        <v>1.0355000000000001</v>
      </c>
      <c r="U91" s="984"/>
      <c r="V91" s="113">
        <f>G91</f>
        <v>915.09</v>
      </c>
      <c r="W91" s="171" t="s">
        <v>68</v>
      </c>
      <c r="X91" s="216">
        <f>ROUND(S91*T91*V91,2)</f>
        <v>58749.69</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557.31899999999996</v>
      </c>
      <c r="C93" s="80"/>
      <c r="D93" s="80"/>
      <c r="E93" s="999" t="s">
        <v>112</v>
      </c>
      <c r="F93" s="999"/>
      <c r="G93" s="999"/>
      <c r="H93" s="999"/>
      <c r="I93" s="999"/>
      <c r="J93" s="116">
        <f>IF(A1=75,0,I92+I91+I90)</f>
        <v>538455.67999999993</v>
      </c>
      <c r="K93" s="70"/>
      <c r="L93" s="70"/>
      <c r="M93" s="71"/>
      <c r="N93" s="70"/>
      <c r="O93" s="70"/>
      <c r="P93" s="70"/>
      <c r="Q93" s="70"/>
      <c r="R93" s="198" t="s">
        <v>111</v>
      </c>
      <c r="S93" s="199">
        <f>SUM(S90:S92)</f>
        <v>111</v>
      </c>
      <c r="T93" s="985" t="s">
        <v>112</v>
      </c>
      <c r="U93" s="986"/>
      <c r="V93" s="986"/>
      <c r="W93" s="986"/>
      <c r="X93" s="986"/>
      <c r="Y93" s="212">
        <f>IF(R1=75,0,X92+X91+X90)</f>
        <v>107379.44</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6</v>
      </c>
      <c r="U96" s="990"/>
      <c r="V96" s="990"/>
      <c r="W96" s="200" t="s">
        <v>117</v>
      </c>
      <c r="X96" s="201">
        <f>I97</f>
        <v>578</v>
      </c>
      <c r="Y96" s="212">
        <f>ROUND(X96*T96,2)</f>
        <v>3468</v>
      </c>
    </row>
    <row r="97" spans="1:25" ht="17.25" customHeight="1" x14ac:dyDescent="0.25">
      <c r="A97" s="970" t="s">
        <v>116</v>
      </c>
      <c r="B97" s="970"/>
      <c r="C97" s="800">
        <v>5</v>
      </c>
      <c r="D97" s="800">
        <v>7</v>
      </c>
      <c r="E97" s="1044">
        <f>IF(D97&gt;0,(C97+D97)/2,C97)</f>
        <v>6</v>
      </c>
      <c r="F97" s="922"/>
      <c r="G97" s="922"/>
      <c r="H97" s="85" t="s">
        <v>117</v>
      </c>
      <c r="I97" s="119">
        <f>Consolidated!G$127</f>
        <v>578</v>
      </c>
      <c r="J97" s="127">
        <f>ROUND(I97*E97,2)</f>
        <v>3468</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4372211.88</v>
      </c>
      <c r="L107" s="538"/>
      <c r="R107" s="955" t="s">
        <v>125</v>
      </c>
      <c r="S107" s="955"/>
      <c r="T107" s="955"/>
      <c r="U107" s="955"/>
      <c r="V107" s="955"/>
      <c r="W107" s="955"/>
      <c r="X107" s="955"/>
      <c r="Y107" s="672">
        <f>SUM(Y106,Y105,Y97,Y96,Y93,Y86,Y85,Y84,Y70,Y69,Y67,Y33,Y71,Y50,Y87,Y83)</f>
        <v>906539.72</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4173989.23</v>
      </c>
      <c r="R109" s="159" t="s">
        <v>176</v>
      </c>
      <c r="S109" s="159"/>
      <c r="T109" s="159"/>
      <c r="U109" s="159"/>
      <c r="V109" s="159"/>
      <c r="W109" s="159"/>
      <c r="X109" s="159"/>
      <c r="Y109" s="673">
        <f>Y107-Y38</f>
        <v>708317.07</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v>1</v>
      </c>
      <c r="J111" s="126">
        <f>Y109</f>
        <v>708317.07</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232"/>
      <c r="I114" s="233">
        <f>IF(I111=1,J111,J109)</f>
        <v>708317.07</v>
      </c>
      <c r="J114" s="234">
        <f>ROUND(IF(E28=0,0,IF(E28&gt;250,-(((250/E28)*I114)*IF(H114="H",0.02,0.05)),IF(H114="H",-0.02*I114,-0.05*I114))),2)</f>
        <v>-35415.85</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4336796.03</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Payments'!R119</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4336796.03</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361399.67</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3BD71-9CD4-4C3B-9E05-F48F4DB4F35C}">
  <dimension ref="A1:Z207"/>
  <sheetViews>
    <sheetView topLeftCell="A88" workbookViewId="0">
      <selection activeCell="C42" sqref="C42"/>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538</v>
      </c>
      <c r="B2" s="101"/>
      <c r="C2" s="101"/>
      <c r="D2" s="101"/>
      <c r="E2" s="6"/>
      <c r="F2" s="6"/>
      <c r="G2" s="6"/>
      <c r="H2" s="6"/>
      <c r="I2" s="706" t="str">
        <f>RIGHT(A2,4)</f>
        <v>4102</v>
      </c>
      <c r="J2" s="6"/>
      <c r="K2" s="6"/>
      <c r="L2" s="6"/>
      <c r="M2" s="6"/>
      <c r="N2" s="6"/>
      <c r="O2" s="6"/>
      <c r="P2" s="6"/>
      <c r="Q2" s="6"/>
      <c r="R2" s="927" t="str">
        <f>Revenue_Estimate_Worksheet_for___________Charter_School</f>
        <v>Revenue Estimate Worksheet: BridgePrep Academy of PB - 4102</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711"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M</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44.379999999999995</v>
      </c>
      <c r="D12" s="738">
        <f>SUMIFS('Surv2-3'!K:K,'Surv2-3'!$H:$H,$I$2,'Surv2-3'!$I:$I,$O12)</f>
        <v>40.800000000000004</v>
      </c>
      <c r="E12" s="1021">
        <f t="shared" ref="E12:E27" si="0">IF($D$28=0,C12*2,C12+D12)</f>
        <v>85.18</v>
      </c>
      <c r="F12" s="1021"/>
      <c r="G12" s="1037">
        <f>Consolidated!$F14</f>
        <v>1.1080000000000001</v>
      </c>
      <c r="H12" s="1037">
        <f>Consolidated!$H$9</f>
        <v>1</v>
      </c>
      <c r="I12" s="539">
        <f>ROUND(E12*G12,4)</f>
        <v>94.379400000000004</v>
      </c>
      <c r="J12" s="540">
        <f t="shared" ref="J12:J27" si="1">ROUND(ROUND(ROUND(I12*$E$6,4)*($I$6),2)*(MAX($I$7,1)),2)</f>
        <v>525063.49</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4</v>
      </c>
      <c r="D13" s="392">
        <f>SUMIFS('Surv2-3'!K:K,'Surv2-3'!$H:$H,$I$2,'Surv2-3'!$I:$I,$O13)</f>
        <v>5.54</v>
      </c>
      <c r="E13" s="1020">
        <f t="shared" si="0"/>
        <v>9.5399999999999991</v>
      </c>
      <c r="F13" s="1020"/>
      <c r="G13" s="1026">
        <f>Consolidated!$F15</f>
        <v>1.1080000000000001</v>
      </c>
      <c r="H13" s="1026">
        <f>Consolidated!$H$9</f>
        <v>1</v>
      </c>
      <c r="I13" s="539">
        <f t="shared" ref="I13:I27" si="3">ROUND(E13*G13,4)</f>
        <v>10.5703</v>
      </c>
      <c r="J13" s="540">
        <f t="shared" si="1"/>
        <v>58806.04</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24.67</v>
      </c>
      <c r="D14" s="392">
        <f>SUMIFS('Surv2-3'!L:L,'Surv2-3'!$H:$H,$I$2,'Surv2-3'!$I:$I,$O14)</f>
        <v>25.36</v>
      </c>
      <c r="E14" s="1020">
        <f t="shared" si="0"/>
        <v>50.03</v>
      </c>
      <c r="F14" s="1020"/>
      <c r="G14" s="1026">
        <f>Consolidated!$F16</f>
        <v>1</v>
      </c>
      <c r="H14" s="1026">
        <f>Consolidated!$H$9</f>
        <v>1</v>
      </c>
      <c r="I14" s="539">
        <f t="shared" si="3"/>
        <v>50.03</v>
      </c>
      <c r="J14" s="540">
        <f>ROUND(ROUND(ROUND(I14*$E$6,4)*($I$6),2)*(MAX($I$7,1)),2)</f>
        <v>278333.26</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5.3100000000000005</v>
      </c>
      <c r="D15" s="392">
        <f>SUMIFS('Surv2-3'!L:L,'Surv2-3'!$H:$H,$I$2,'Surv2-3'!$I:$I,$O15)</f>
        <v>3.8</v>
      </c>
      <c r="E15" s="1020">
        <f t="shared" si="0"/>
        <v>9.11</v>
      </c>
      <c r="F15" s="1020"/>
      <c r="G15" s="1026">
        <f>Consolidated!$F17</f>
        <v>1</v>
      </c>
      <c r="H15" s="1026">
        <f>Consolidated!$H$9</f>
        <v>1</v>
      </c>
      <c r="I15" s="539">
        <f t="shared" si="3"/>
        <v>9.11</v>
      </c>
      <c r="J15" s="540">
        <f t="shared" si="1"/>
        <v>50681.91</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12.120000000000001</v>
      </c>
      <c r="D24" s="392">
        <f>SUMIFS('Surv2-3'!K:K,'Surv2-3'!$H:$H,$I$2,'Surv2-3'!$I:$I,$O24)</f>
        <v>10.86</v>
      </c>
      <c r="E24" s="1020">
        <f t="shared" si="0"/>
        <v>22.98</v>
      </c>
      <c r="F24" s="1020"/>
      <c r="G24" s="1026">
        <f>Consolidated!$F26</f>
        <v>1.165</v>
      </c>
      <c r="H24" s="1026">
        <f>Consolidated!$H$9</f>
        <v>1</v>
      </c>
      <c r="I24" s="539">
        <f t="shared" si="3"/>
        <v>26.771699999999999</v>
      </c>
      <c r="J24" s="540">
        <f t="shared" si="1"/>
        <v>148939.73000000001</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1.23</v>
      </c>
      <c r="D25" s="392">
        <f>SUMIFS('Surv2-3'!L:L,'Surv2-3'!$H:$H,$I$2,'Surv2-3'!$I:$I,$O25)</f>
        <v>0.82</v>
      </c>
      <c r="E25" s="1020">
        <f t="shared" si="0"/>
        <v>2.0499999999999998</v>
      </c>
      <c r="F25" s="1020"/>
      <c r="G25" s="1026">
        <f>Consolidated!$F27</f>
        <v>1.165</v>
      </c>
      <c r="H25" s="1026">
        <f>Consolidated!$H$9</f>
        <v>1</v>
      </c>
      <c r="I25" s="539">
        <f t="shared" si="3"/>
        <v>2.3883000000000001</v>
      </c>
      <c r="J25" s="540">
        <f t="shared" si="1"/>
        <v>13286.89</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91.710000000000008</v>
      </c>
      <c r="D28" s="822">
        <f>SUM(D12:D27)</f>
        <v>87.179999999999993</v>
      </c>
      <c r="E28" s="1025">
        <f>SUM(E12:E27)</f>
        <v>178.89000000000001</v>
      </c>
      <c r="F28" s="1025"/>
      <c r="G28" s="1020"/>
      <c r="H28" s="1020"/>
      <c r="I28" s="23">
        <f>SUM(I12:I27)</f>
        <v>193.24969999999999</v>
      </c>
      <c r="J28" s="116">
        <f>SUM(J12:J27)</f>
        <v>1075111.32</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193.24969999999999</v>
      </c>
      <c r="H33" s="1020" t="s">
        <v>45</v>
      </c>
      <c r="I33" s="1020"/>
      <c r="J33" s="32">
        <f>SUM(J32,J28)</f>
        <v>1075111.32</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430">
        <v>845581.24</v>
      </c>
      <c r="H36" s="37" t="s">
        <v>49</v>
      </c>
      <c r="I36" s="38">
        <v>6.6699999999999995E-2</v>
      </c>
      <c r="J36" s="120">
        <f>ROUND(G36*I36,2)</f>
        <v>56400.27</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430">
        <v>845581.24</v>
      </c>
      <c r="H37" s="37" t="s">
        <v>49</v>
      </c>
      <c r="I37" s="38">
        <v>5.4000000000000003E-3</v>
      </c>
      <c r="J37" s="120">
        <f>ROUND(G37*I37,2)</f>
        <v>4566.1400000000003</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60966.409999999996</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4</v>
      </c>
      <c r="D41" s="737">
        <f>SUMIFS('Surv2-3'!K:K,'Surv2-3'!$H:$H,$I$2,'Surv2-3'!$I:$I,$H41-140)</f>
        <v>5.54</v>
      </c>
      <c r="E41" s="1013">
        <f t="shared" ref="E41:E49" si="8">IF($D$50=0,C41*2,C41+D41)</f>
        <v>9.5399999999999991</v>
      </c>
      <c r="F41" s="1013"/>
      <c r="G41" s="37" t="s">
        <v>59</v>
      </c>
      <c r="H41" s="37">
        <v>251</v>
      </c>
      <c r="I41" s="125">
        <f>Consolidated!$H59</f>
        <v>1047</v>
      </c>
      <c r="J41" s="46">
        <f t="shared" ref="J41:J49" si="9">ROUND(E41*I41,2)</f>
        <v>9988.3799999999992</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4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46">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5.3100000000000005</v>
      </c>
      <c r="D45" s="824">
        <f>SUMIFS('Surv2-3'!L:L,'Surv2-3'!$H:$H,$I$2,'Surv2-3'!$I:$I,$H45-140)</f>
        <v>3.8</v>
      </c>
      <c r="E45" s="1013">
        <f t="shared" si="8"/>
        <v>9.11</v>
      </c>
      <c r="F45" s="1013"/>
      <c r="G45" s="47" t="s">
        <v>60</v>
      </c>
      <c r="H45" s="37">
        <v>252</v>
      </c>
      <c r="I45" s="125">
        <f>Consolidated!$H63</f>
        <v>3506</v>
      </c>
      <c r="J45" s="46">
        <f t="shared" si="9"/>
        <v>31939.66</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4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4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37">
        <v>253</v>
      </c>
      <c r="I49" s="125">
        <f>Consolidated!$H67</f>
        <v>6685</v>
      </c>
      <c r="J49" s="46">
        <f t="shared" si="9"/>
        <v>0</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9.31</v>
      </c>
      <c r="D50" s="825">
        <f>SUM(D41:D49)</f>
        <v>9.34</v>
      </c>
      <c r="E50" s="1015">
        <f>SUM(E41:E49)</f>
        <v>18.649999999999999</v>
      </c>
      <c r="F50" s="1015"/>
      <c r="G50" s="970" t="s">
        <v>63</v>
      </c>
      <c r="H50" s="970"/>
      <c r="I50" s="970"/>
      <c r="J50" s="220">
        <f>SUM(J41:J49)</f>
        <v>41928.04</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178.89000000000001</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8.61E-4</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193.24969999999999</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8.7399999999999999E-4</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178.89000000000001</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1.0009999999999999E-3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178.89000000000001</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8.6300000000000005E-4</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178.89000000000001</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1.003E-3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8.6300000000000005E-4</v>
      </c>
      <c r="J68" s="127">
        <f>ROUND(G68*I68,2)</f>
        <v>39361.85</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8.61E-4</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1.003E-3</v>
      </c>
      <c r="J71" s="127">
        <f>ROUND(G71*I71,2)</f>
        <v>19016.79</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1.0009999999999999E-3</v>
      </c>
      <c r="J72" s="127">
        <f>ROUND(G72*I72,2)</f>
        <v>11319.7</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0</v>
      </c>
      <c r="J84" s="62">
        <f>ROUND(G84*I84,2)</f>
        <v>0</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8.7399999999999999E-4</v>
      </c>
      <c r="J85" s="127">
        <f>ROUND(G85*I85,2)</f>
        <v>234945.43</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8.7399999999999999E-4</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8.61E-4</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131.72140000000002</v>
      </c>
      <c r="C90" s="80"/>
      <c r="D90" s="921">
        <f>I6</f>
        <v>1.0355000000000001</v>
      </c>
      <c r="E90" s="921"/>
      <c r="F90" s="921"/>
      <c r="G90" s="113">
        <f>Consolidated!F$118</f>
        <v>958.42</v>
      </c>
      <c r="H90" s="47" t="s">
        <v>68</v>
      </c>
      <c r="I90" s="130">
        <f>ROUND(B90*D90*G90,2)</f>
        <v>130726.1</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61.528300000000002</v>
      </c>
      <c r="C91" s="80"/>
      <c r="D91" s="921">
        <f>I6</f>
        <v>1.0355000000000001</v>
      </c>
      <c r="E91" s="921"/>
      <c r="F91" s="921"/>
      <c r="G91" s="113">
        <f>Consolidated!F$119</f>
        <v>915.09</v>
      </c>
      <c r="H91" s="47" t="s">
        <v>68</v>
      </c>
      <c r="I91" s="129">
        <f>ROUND(B91*D91*G91,2)</f>
        <v>58302.720000000001</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0</v>
      </c>
      <c r="C92" s="80"/>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193.24970000000002</v>
      </c>
      <c r="C93" s="80"/>
      <c r="D93" s="80"/>
      <c r="E93" s="999" t="s">
        <v>112</v>
      </c>
      <c r="F93" s="999"/>
      <c r="G93" s="999"/>
      <c r="H93" s="999"/>
      <c r="I93" s="999"/>
      <c r="J93" s="116">
        <f>IF(A1=75,0,I92+I91+I90)</f>
        <v>189028.82</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800">
        <v>0</v>
      </c>
      <c r="D97" s="800">
        <v>0</v>
      </c>
      <c r="E97" s="1044">
        <f>IF(D97&gt;0,(C97+D97)/2,C97)</f>
        <v>0</v>
      </c>
      <c r="F97" s="922"/>
      <c r="G97" s="922"/>
      <c r="H97" s="85" t="s">
        <v>117</v>
      </c>
      <c r="I97" s="119">
        <f>Consolidated!G$127</f>
        <v>578</v>
      </c>
      <c r="J97" s="127">
        <f>ROUND(I97*E97,2)</f>
        <v>0</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1610711.95</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1549745.54</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v>0</v>
      </c>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H114" s="232"/>
      <c r="I114" s="233">
        <f>IF(I111=1,J111,J109)</f>
        <v>1549745.54</v>
      </c>
      <c r="J114" s="234">
        <f>ROUND(IF(E28=0,0,IF(E28&gt;250,-(((250/E28)*I114)*IF(H114="H",0.02,0.05)),IF(H114="H",-0.02*I114,-0.05*I114))),2)</f>
        <v>-77487.28</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1533224.67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Payments'!R120</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1533224.67</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127768.72</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92FD9-020C-4DC7-8DE3-10CC80BC2BB8}">
  <dimension ref="A1:Z207"/>
  <sheetViews>
    <sheetView topLeftCell="A85" workbookViewId="0">
      <selection activeCell="C42" sqref="C42"/>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539</v>
      </c>
      <c r="B2" s="101"/>
      <c r="C2" s="101"/>
      <c r="D2" s="101"/>
      <c r="E2" s="6"/>
      <c r="F2" s="6"/>
      <c r="G2" s="6"/>
      <c r="H2" s="6"/>
      <c r="I2" s="706" t="str">
        <f>RIGHT(A2,4)</f>
        <v>4103</v>
      </c>
      <c r="J2" s="6"/>
      <c r="K2" s="6"/>
      <c r="L2" s="6"/>
      <c r="M2" s="6"/>
      <c r="N2" s="6"/>
      <c r="O2" s="6"/>
      <c r="P2" s="6"/>
      <c r="Q2" s="6"/>
      <c r="R2" s="927" t="str">
        <f>Revenue_Estimate_Worksheet_for___________Charter_School</f>
        <v>Revenue Estimate Worksheet: Sports Leadership &amp; Management (SLAM) MHS (Boca) - 4103</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H</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150.23000000000002</v>
      </c>
      <c r="D14" s="392">
        <f>SUMIFS('Surv2-3'!L:L,'Surv2-3'!$H:$H,$I$2,'Surv2-3'!$I:$I,$O14)</f>
        <v>149.76</v>
      </c>
      <c r="E14" s="1020">
        <f t="shared" si="0"/>
        <v>299.99</v>
      </c>
      <c r="F14" s="1020"/>
      <c r="G14" s="1026">
        <f>Consolidated!$F16</f>
        <v>1</v>
      </c>
      <c r="H14" s="1026">
        <f>Consolidated!$H$9</f>
        <v>1</v>
      </c>
      <c r="I14" s="539">
        <f t="shared" si="3"/>
        <v>299.99</v>
      </c>
      <c r="J14" s="540">
        <f>ROUND(ROUND(ROUND(I14*$E$6,4)*($I$6),2)*(MAX($I$7,1)),2)</f>
        <v>1668942.56</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24.54</v>
      </c>
      <c r="D15" s="392">
        <f>SUMIFS('Surv2-3'!L:L,'Surv2-3'!$H:$H,$I$2,'Surv2-3'!$I:$I,$O15)</f>
        <v>25.52</v>
      </c>
      <c r="E15" s="1020">
        <f t="shared" si="0"/>
        <v>50.06</v>
      </c>
      <c r="F15" s="1020"/>
      <c r="G15" s="1026">
        <f>Consolidated!$F17</f>
        <v>1</v>
      </c>
      <c r="H15" s="1026">
        <f>Consolidated!$H$9</f>
        <v>1</v>
      </c>
      <c r="I15" s="539">
        <f t="shared" si="3"/>
        <v>50.06</v>
      </c>
      <c r="J15" s="540">
        <f t="shared" si="1"/>
        <v>278500.15999999997</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181.54999999999998</v>
      </c>
      <c r="D16" s="392">
        <f>SUMIFS('Surv2-3'!M:M,'Surv2-3'!$H:$H,$I$2,'Surv2-3'!$I:$I,$O16)</f>
        <v>182.05999999999997</v>
      </c>
      <c r="E16" s="1020">
        <f t="shared" si="0"/>
        <v>363.60999999999996</v>
      </c>
      <c r="F16" s="1020"/>
      <c r="G16" s="1026">
        <f>Consolidated!$F18</f>
        <v>0.97199999999999998</v>
      </c>
      <c r="H16" s="1026">
        <f>Consolidated!$H$9</f>
        <v>1</v>
      </c>
      <c r="I16" s="539">
        <f t="shared" si="3"/>
        <v>353.4289</v>
      </c>
      <c r="J16" s="540">
        <f t="shared" si="1"/>
        <v>1966240.65</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31.36</v>
      </c>
      <c r="D17" s="392">
        <f>SUMIFS('Surv2-3'!M:M,'Surv2-3'!$H:$H,$I$2,'Surv2-3'!$I:$I,$O17)</f>
        <v>31.16</v>
      </c>
      <c r="E17" s="1020">
        <f t="shared" si="0"/>
        <v>62.519999999999996</v>
      </c>
      <c r="F17" s="1020"/>
      <c r="G17" s="1026">
        <f>Consolidated!$F19</f>
        <v>0.97199999999999998</v>
      </c>
      <c r="H17" s="1026">
        <f>Consolidated!$H$9</f>
        <v>1</v>
      </c>
      <c r="I17" s="539">
        <f t="shared" si="3"/>
        <v>60.769399999999997</v>
      </c>
      <c r="J17" s="540">
        <f t="shared" si="1"/>
        <v>338080.06</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28.340000000000003</v>
      </c>
      <c r="D25" s="392">
        <f>SUMIFS('Surv2-3'!L:L,'Surv2-3'!$H:$H,$I$2,'Surv2-3'!$I:$I,$O25)</f>
        <v>30.63</v>
      </c>
      <c r="E25" s="1020">
        <f t="shared" si="0"/>
        <v>58.97</v>
      </c>
      <c r="F25" s="1020"/>
      <c r="G25" s="1026">
        <f>Consolidated!$F27</f>
        <v>1.165</v>
      </c>
      <c r="H25" s="1026">
        <f>Consolidated!$H$9</f>
        <v>1</v>
      </c>
      <c r="I25" s="539">
        <f t="shared" si="3"/>
        <v>68.700100000000006</v>
      </c>
      <c r="J25" s="540">
        <f t="shared" si="1"/>
        <v>382201.14</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44.14</v>
      </c>
      <c r="D26" s="392">
        <f>SUMIFS('Surv2-3'!M:M,'Surv2-3'!$H:$H,$I$2,'Surv2-3'!$I:$I,$O26)</f>
        <v>37.540000000000006</v>
      </c>
      <c r="E26" s="1020">
        <f t="shared" si="0"/>
        <v>81.680000000000007</v>
      </c>
      <c r="F26" s="1020"/>
      <c r="G26" s="1026">
        <f>Consolidated!$F28</f>
        <v>1.165</v>
      </c>
      <c r="H26" s="1026">
        <f>Consolidated!$H$9</f>
        <v>1</v>
      </c>
      <c r="I26" s="539">
        <f t="shared" si="3"/>
        <v>95.157200000000003</v>
      </c>
      <c r="J26" s="540">
        <f t="shared" si="1"/>
        <v>529390.65</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21.86</v>
      </c>
      <c r="D27" s="393">
        <f>SUMIFS('Surv2-3'!J:J,'Surv2-3'!$H:$H,$I$2,'Surv2-3'!$I:$I,$O27)</f>
        <v>23.03</v>
      </c>
      <c r="E27" s="1022">
        <f t="shared" si="0"/>
        <v>44.89</v>
      </c>
      <c r="F27" s="1022"/>
      <c r="G27" s="1023">
        <f>Consolidated!$F29</f>
        <v>1.081</v>
      </c>
      <c r="H27" s="1023">
        <f>Consolidated!$H$9</f>
        <v>1</v>
      </c>
      <c r="I27" s="22">
        <f t="shared" si="3"/>
        <v>48.5261</v>
      </c>
      <c r="J27" s="116">
        <f t="shared" si="1"/>
        <v>269966.58</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482.02</v>
      </c>
      <c r="D28" s="822">
        <f>SUM(D12:D27)</f>
        <v>479.70000000000005</v>
      </c>
      <c r="E28" s="1025">
        <f>SUM(E12:E27)</f>
        <v>961.71999999999991</v>
      </c>
      <c r="F28" s="1025"/>
      <c r="G28" s="1020"/>
      <c r="H28" s="1020"/>
      <c r="I28" s="23">
        <f>SUM(I12:I27)</f>
        <v>976.63170000000014</v>
      </c>
      <c r="J28" s="116">
        <f>SUM(J12:J27)</f>
        <v>5433321.7999999998</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976.63170000000014</v>
      </c>
      <c r="H33" s="1020" t="s">
        <v>45</v>
      </c>
      <c r="I33" s="1020"/>
      <c r="J33" s="32">
        <f>SUM(J32,J28)</f>
        <v>5433321.7999999998</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430">
        <v>5509576.6600000001</v>
      </c>
      <c r="H36" s="37" t="s">
        <v>49</v>
      </c>
      <c r="I36" s="38">
        <v>6.6699999999999995E-2</v>
      </c>
      <c r="J36" s="120">
        <f>ROUND(G36*I36,2)</f>
        <v>367488.76</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430">
        <v>5509576.6600000001</v>
      </c>
      <c r="H37" s="37" t="s">
        <v>49</v>
      </c>
      <c r="I37" s="38">
        <v>5.4000000000000003E-3</v>
      </c>
      <c r="J37" s="120">
        <f>ROUND(G37*I37,2)</f>
        <v>29751.71</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397240.47000000003</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37" t="s">
        <v>59</v>
      </c>
      <c r="H41" s="37">
        <v>251</v>
      </c>
      <c r="I41" s="125">
        <f>Consolidated!$H59</f>
        <v>1047</v>
      </c>
      <c r="J41" s="46">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4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46">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24.54</v>
      </c>
      <c r="D45" s="824">
        <f>SUMIFS('Surv2-3'!L:L,'Surv2-3'!$H:$H,$I$2,'Surv2-3'!$I:$I,$H45-140)</f>
        <v>25.52</v>
      </c>
      <c r="E45" s="1013">
        <f t="shared" si="8"/>
        <v>50.06</v>
      </c>
      <c r="F45" s="1013"/>
      <c r="G45" s="47" t="s">
        <v>60</v>
      </c>
      <c r="H45" s="37">
        <v>252</v>
      </c>
      <c r="I45" s="125">
        <f>Consolidated!$H63</f>
        <v>3506</v>
      </c>
      <c r="J45" s="46">
        <f t="shared" si="9"/>
        <v>175510.36</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4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4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31.36</v>
      </c>
      <c r="D49" s="824">
        <f>SUMIFS('Surv2-3'!M:M,'Surv2-3'!$H:$H,$I$2,'Surv2-3'!$I:$I,$H49-140)</f>
        <v>31.16</v>
      </c>
      <c r="E49" s="1014">
        <f t="shared" si="8"/>
        <v>62.519999999999996</v>
      </c>
      <c r="F49" s="1014"/>
      <c r="G49" s="47" t="s">
        <v>61</v>
      </c>
      <c r="H49" s="37">
        <v>253</v>
      </c>
      <c r="I49" s="125">
        <f>Consolidated!$H67</f>
        <v>6685</v>
      </c>
      <c r="J49" s="46">
        <f t="shared" si="9"/>
        <v>417946.2</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55.9</v>
      </c>
      <c r="D50" s="825">
        <f>SUM(D41:D49)</f>
        <v>56.68</v>
      </c>
      <c r="E50" s="1015">
        <f>SUM(E41:E49)</f>
        <v>112.58</v>
      </c>
      <c r="F50" s="1015"/>
      <c r="G50" s="970" t="s">
        <v>63</v>
      </c>
      <c r="H50" s="970"/>
      <c r="I50" s="970"/>
      <c r="J50" s="220">
        <f>SUM(J41:J49)</f>
        <v>593456.56000000006</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961.71999999999991</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4.6299999999999996E-3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976.63170000000014</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4.4169999999999999E-3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961.71999999999991</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5.3829999999999998E-3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961.71999999999991</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4.6379999999999998E-3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961.71999999999991</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5.3930000000000002E-3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4.6379999999999998E-3</v>
      </c>
      <c r="J68" s="127">
        <f>ROUND(G68*I68,2)</f>
        <v>211541.42</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4.6299999999999996E-3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5.3930000000000002E-3</v>
      </c>
      <c r="J71" s="127">
        <f>ROUND(G71*I71,2)</f>
        <v>102250.77</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5.3829999999999998E-3</v>
      </c>
      <c r="J72" s="127">
        <f>ROUND(G72*I72,2)</f>
        <v>60873.07</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v>17.440000000000001</v>
      </c>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v>15.52</v>
      </c>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v>9.1999999999999993</v>
      </c>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v>1</v>
      </c>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v>10.4</v>
      </c>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53.559999999999995</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4.1510000000000002E-3</v>
      </c>
      <c r="J84" s="62">
        <f>ROUND(G84*I84,2)</f>
        <v>242845.08</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4.4169999999999999E-3</v>
      </c>
      <c r="J85" s="127">
        <f>ROUND(G85*I85,2)</f>
        <v>1187361.5</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4.4169999999999999E-3</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4.6299999999999996E-3</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130">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418.75010000000003</v>
      </c>
      <c r="C91" s="80"/>
      <c r="D91" s="921">
        <f>I6</f>
        <v>1.0355000000000001</v>
      </c>
      <c r="E91" s="921"/>
      <c r="F91" s="921"/>
      <c r="G91" s="113">
        <f>Consolidated!F$119</f>
        <v>915.09</v>
      </c>
      <c r="H91" s="47" t="s">
        <v>68</v>
      </c>
      <c r="I91" s="129">
        <f>ROUND(B91*D91*G91,2)</f>
        <v>396797.42</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557.88160000000005</v>
      </c>
      <c r="C92" s="80"/>
      <c r="D92" s="921">
        <f>I6</f>
        <v>1.0355000000000001</v>
      </c>
      <c r="E92" s="921"/>
      <c r="F92" s="921"/>
      <c r="G92" s="113">
        <f>Consolidated!F$120</f>
        <v>917.3</v>
      </c>
      <c r="H92" s="47" t="s">
        <v>68</v>
      </c>
      <c r="I92" s="537">
        <f>ROUND(B92*D92*G92,2)</f>
        <v>529911.73</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976.63170000000014</v>
      </c>
      <c r="C93" s="80"/>
      <c r="D93" s="80"/>
      <c r="E93" s="999" t="s">
        <v>112</v>
      </c>
      <c r="F93" s="999"/>
      <c r="G93" s="999"/>
      <c r="H93" s="999"/>
      <c r="I93" s="999"/>
      <c r="J93" s="116">
        <f>IF(A1=75,0,I92+I91+I90)</f>
        <v>926709.14999999991</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800">
        <v>0</v>
      </c>
      <c r="D97" s="800">
        <v>1</v>
      </c>
      <c r="E97" s="1044">
        <f>IF(D97&gt;0,(C97+D97)/2,C97)</f>
        <v>0.5</v>
      </c>
      <c r="F97" s="922"/>
      <c r="G97" s="922"/>
      <c r="H97" s="85" t="s">
        <v>117</v>
      </c>
      <c r="I97" s="119">
        <f>Consolidated!G$127</f>
        <v>578</v>
      </c>
      <c r="J97" s="127">
        <f>ROUND(I97*E97,2)</f>
        <v>289</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8758648.3499999996</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8361407.8799999999</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v>0</v>
      </c>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H113" s="232"/>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I114" s="233">
        <f>IF(I111=1,J111,J109)</f>
        <v>8361407.8799999999</v>
      </c>
      <c r="J114" s="234">
        <f>ROUND(IF(E28=0,0,IF(E28&gt;250,-(((250/E28)*I114)*IF(H113="H",0.02,0.05)),IF(H113="H",-0.02*I114,-0.05*I114))),2)</f>
        <v>-108677.78</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8649970.5700000003</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Payments'!R121</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8649970.5700000003</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720830.88</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ROUND(IF(H113="H",(I114*0.02)+J114,(I114*0.05)+J114),2)</f>
        <v>309392.61</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B6FFD-A0D9-46D3-80B6-7B6479F21159}">
  <dimension ref="A1:Z207"/>
  <sheetViews>
    <sheetView topLeftCell="A84" workbookViewId="0">
      <selection activeCell="C42" sqref="C42"/>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540</v>
      </c>
      <c r="B2" s="101"/>
      <c r="C2" s="101"/>
      <c r="D2" s="101"/>
      <c r="E2" s="6"/>
      <c r="F2" s="6"/>
      <c r="G2" s="6"/>
      <c r="H2" s="6"/>
      <c r="I2" s="706" t="str">
        <f>RIGHT(A2,4)</f>
        <v>4111</v>
      </c>
      <c r="J2" s="6"/>
      <c r="K2" s="6"/>
      <c r="L2" s="6"/>
      <c r="M2" s="6"/>
      <c r="N2" s="6"/>
      <c r="O2" s="6"/>
      <c r="P2" s="6"/>
      <c r="Q2" s="6"/>
      <c r="R2" s="927" t="str">
        <f>Revenue_Estimate_Worksheet_for___________Charter_School</f>
        <v>Revenue Estimate Worksheet: Sports Leadership &amp; Management (SLAM) Academy High School - 4111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H</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0</v>
      </c>
      <c r="D14" s="392">
        <f>SUMIFS('Surv2-3'!L:L,'Surv2-3'!$H:$H,$I$2,'Surv2-3'!$I:$I,$O14)</f>
        <v>0</v>
      </c>
      <c r="E14" s="1020">
        <f t="shared" si="0"/>
        <v>0</v>
      </c>
      <c r="F14" s="1020"/>
      <c r="G14" s="1026">
        <f>Consolidated!$F16</f>
        <v>1</v>
      </c>
      <c r="H14" s="1026">
        <f>Consolidated!$H$9</f>
        <v>1</v>
      </c>
      <c r="I14" s="539">
        <f t="shared" si="3"/>
        <v>0</v>
      </c>
      <c r="J14" s="540">
        <f>ROUND(ROUND(ROUND(I14*$E$6,4)*($I$6),2)*(MAX($I$7,1)),2)</f>
        <v>0</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0</v>
      </c>
      <c r="D15" s="392">
        <f>SUMIFS('Surv2-3'!L:L,'Surv2-3'!$H:$H,$I$2,'Surv2-3'!$I:$I,$O15)</f>
        <v>0</v>
      </c>
      <c r="E15" s="1020">
        <f t="shared" si="0"/>
        <v>0</v>
      </c>
      <c r="F15" s="1020"/>
      <c r="G15" s="1026">
        <f>Consolidated!$F17</f>
        <v>1</v>
      </c>
      <c r="H15" s="1026">
        <f>Consolidated!$H$9</f>
        <v>1</v>
      </c>
      <c r="I15" s="539">
        <f t="shared" si="3"/>
        <v>0</v>
      </c>
      <c r="J15" s="540">
        <f t="shared" si="1"/>
        <v>0</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111.85000000000001</v>
      </c>
      <c r="D16" s="392">
        <f>SUMIFS('Surv2-3'!M:M,'Surv2-3'!$H:$H,$I$2,'Surv2-3'!$I:$I,$O16)</f>
        <v>114.36</v>
      </c>
      <c r="E16" s="1020">
        <f t="shared" si="0"/>
        <v>226.21</v>
      </c>
      <c r="F16" s="1020"/>
      <c r="G16" s="1026">
        <f>Consolidated!$F18</f>
        <v>0.97199999999999998</v>
      </c>
      <c r="H16" s="1026">
        <f>Consolidated!$H$9</f>
        <v>1</v>
      </c>
      <c r="I16" s="539">
        <f t="shared" si="3"/>
        <v>219.87610000000001</v>
      </c>
      <c r="J16" s="540">
        <f t="shared" si="1"/>
        <v>1223242.71</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18.5</v>
      </c>
      <c r="D17" s="392">
        <f>SUMIFS('Surv2-3'!M:M,'Surv2-3'!$H:$H,$I$2,'Surv2-3'!$I:$I,$O17)</f>
        <v>18.57</v>
      </c>
      <c r="E17" s="1020">
        <f t="shared" si="0"/>
        <v>37.07</v>
      </c>
      <c r="F17" s="1020"/>
      <c r="G17" s="1026">
        <f>Consolidated!$F19</f>
        <v>0.97199999999999998</v>
      </c>
      <c r="H17" s="1026">
        <f>Consolidated!$H$9</f>
        <v>1</v>
      </c>
      <c r="I17" s="539">
        <f t="shared" si="3"/>
        <v>36.031999999999996</v>
      </c>
      <c r="J17" s="540">
        <f t="shared" si="1"/>
        <v>200457.81</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v>
      </c>
      <c r="D25" s="392">
        <f>SUMIFS('Surv2-3'!L:L,'Surv2-3'!$H:$H,$I$2,'Surv2-3'!$I:$I,$O25)</f>
        <v>0</v>
      </c>
      <c r="E25" s="1020">
        <f t="shared" si="0"/>
        <v>0</v>
      </c>
      <c r="F25" s="1020"/>
      <c r="G25" s="1026">
        <f>Consolidated!$F27</f>
        <v>1.165</v>
      </c>
      <c r="H25" s="1026">
        <f>Consolidated!$H$9</f>
        <v>1</v>
      </c>
      <c r="I25" s="539">
        <f t="shared" si="3"/>
        <v>0</v>
      </c>
      <c r="J25" s="540">
        <f t="shared" si="1"/>
        <v>0</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19.57</v>
      </c>
      <c r="D26" s="392">
        <f>SUMIFS('Surv2-3'!M:M,'Surv2-3'!$H:$H,$I$2,'Surv2-3'!$I:$I,$O26)</f>
        <v>20.05</v>
      </c>
      <c r="E26" s="1020">
        <f t="shared" si="0"/>
        <v>39.620000000000005</v>
      </c>
      <c r="F26" s="1020"/>
      <c r="G26" s="1026">
        <f>Consolidated!$F28</f>
        <v>1.165</v>
      </c>
      <c r="H26" s="1026">
        <f>Consolidated!$H$9</f>
        <v>1</v>
      </c>
      <c r="I26" s="539">
        <f t="shared" si="3"/>
        <v>46.157299999999999</v>
      </c>
      <c r="J26" s="540">
        <f t="shared" si="1"/>
        <v>256788.17</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12.510000000000002</v>
      </c>
      <c r="D27" s="393">
        <f>SUMIFS('Surv2-3'!J:J,'Surv2-3'!$H:$H,$I$2,'Surv2-3'!$I:$I,$O27)</f>
        <v>12.43</v>
      </c>
      <c r="E27" s="1022">
        <f t="shared" si="0"/>
        <v>24.94</v>
      </c>
      <c r="F27" s="1022"/>
      <c r="G27" s="1023">
        <f>Consolidated!$F29</f>
        <v>1.081</v>
      </c>
      <c r="H27" s="1023">
        <f>Consolidated!$H$9</f>
        <v>1</v>
      </c>
      <c r="I27" s="22">
        <f t="shared" si="3"/>
        <v>26.960100000000001</v>
      </c>
      <c r="J27" s="116">
        <f t="shared" si="1"/>
        <v>149987.85999999999</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162.43</v>
      </c>
      <c r="D28" s="822">
        <f>SUM(D12:D27)</f>
        <v>165.41000000000003</v>
      </c>
      <c r="E28" s="1025">
        <f>SUM(E12:E27)</f>
        <v>327.84000000000003</v>
      </c>
      <c r="F28" s="1025"/>
      <c r="G28" s="1020"/>
      <c r="H28" s="1020"/>
      <c r="I28" s="23">
        <f>SUM(I12:I27)</f>
        <v>329.02550000000002</v>
      </c>
      <c r="J28" s="116">
        <f>SUM(J12:J27)</f>
        <v>1830476.5499999998</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329.02550000000002</v>
      </c>
      <c r="H33" s="1020" t="s">
        <v>45</v>
      </c>
      <c r="I33" s="1020"/>
      <c r="J33" s="32">
        <f>SUM(J32,J28)</f>
        <v>1830476.5499999998</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430">
        <v>1721880.3900000001</v>
      </c>
      <c r="H36" s="37" t="s">
        <v>49</v>
      </c>
      <c r="I36" s="38">
        <v>6.6699999999999995E-2</v>
      </c>
      <c r="J36" s="120">
        <f>ROUND(G36*I36,2)</f>
        <v>114849.42</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430">
        <v>1721880.3900000001</v>
      </c>
      <c r="H37" s="37" t="s">
        <v>49</v>
      </c>
      <c r="I37" s="38">
        <v>5.4000000000000003E-3</v>
      </c>
      <c r="J37" s="120">
        <f>ROUND(G37*I37,2)</f>
        <v>9298.15</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124147.56999999999</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37" t="s">
        <v>59</v>
      </c>
      <c r="H41" s="37">
        <v>251</v>
      </c>
      <c r="I41" s="125">
        <f>Consolidated!$H59</f>
        <v>1047</v>
      </c>
      <c r="J41" s="46">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4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46">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0</v>
      </c>
      <c r="D45" s="824">
        <f>SUMIFS('Surv2-3'!L:L,'Surv2-3'!$H:$H,$I$2,'Surv2-3'!$I:$I,$H45-140)</f>
        <v>0</v>
      </c>
      <c r="E45" s="1013">
        <f t="shared" si="8"/>
        <v>0</v>
      </c>
      <c r="F45" s="1013"/>
      <c r="G45" s="47" t="s">
        <v>60</v>
      </c>
      <c r="H45" s="37">
        <v>252</v>
      </c>
      <c r="I45" s="125">
        <f>Consolidated!$H63</f>
        <v>3506</v>
      </c>
      <c r="J45" s="46">
        <f t="shared" si="9"/>
        <v>0</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4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4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18.5</v>
      </c>
      <c r="D49" s="824">
        <f>SUMIFS('Surv2-3'!M:M,'Surv2-3'!$H:$H,$I$2,'Surv2-3'!$I:$I,$H49-140)</f>
        <v>18.57</v>
      </c>
      <c r="E49" s="1014">
        <f t="shared" si="8"/>
        <v>37.07</v>
      </c>
      <c r="F49" s="1014"/>
      <c r="G49" s="47" t="s">
        <v>61</v>
      </c>
      <c r="H49" s="37">
        <v>253</v>
      </c>
      <c r="I49" s="125">
        <f>Consolidated!$H67</f>
        <v>6685</v>
      </c>
      <c r="J49" s="46">
        <f t="shared" si="9"/>
        <v>247812.95</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18.5</v>
      </c>
      <c r="D50" s="825">
        <f>SUM(D41:D49)</f>
        <v>18.57</v>
      </c>
      <c r="E50" s="1015">
        <f>SUM(E41:E49)</f>
        <v>37.07</v>
      </c>
      <c r="F50" s="1015"/>
      <c r="G50" s="970" t="s">
        <v>63</v>
      </c>
      <c r="H50" s="970"/>
      <c r="I50" s="970"/>
      <c r="J50" s="220">
        <f>SUM(J41:J49)</f>
        <v>247812.95</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327.84000000000003</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1.578E-3</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329.02550000000002</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1.488E-3</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327.84000000000003</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1.835E-3</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327.84000000000003</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1.5809999999999999E-3</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327.84000000000003</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1.838E-3</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1.5809999999999999E-3</v>
      </c>
      <c r="J68" s="127">
        <f>ROUND(G68*I68,2)</f>
        <v>72110.179999999993</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1.578E-3</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1.838E-3</v>
      </c>
      <c r="J71" s="127">
        <f>ROUND(G71*I71,2)</f>
        <v>34848.31</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1.835E-3</v>
      </c>
      <c r="J72" s="127">
        <f>ROUND(G72*I72,2)</f>
        <v>20750.900000000001</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v>2.88</v>
      </c>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v>0.5</v>
      </c>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v>1.36</v>
      </c>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4.74</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3.6699999999999998E-4</v>
      </c>
      <c r="J84" s="62">
        <f>ROUND(G84*I84,2)</f>
        <v>21470.52</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1.488E-3</v>
      </c>
      <c r="J85" s="127">
        <f>ROUND(G85*I85,2)</f>
        <v>399998.62</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1.488E-3</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1.578E-3</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130">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0</v>
      </c>
      <c r="C91" s="80"/>
      <c r="D91" s="921">
        <f>I6</f>
        <v>1.0355000000000001</v>
      </c>
      <c r="E91" s="921"/>
      <c r="F91" s="921"/>
      <c r="G91" s="113">
        <f>Consolidated!F$119</f>
        <v>915.09</v>
      </c>
      <c r="H91" s="47" t="s">
        <v>68</v>
      </c>
      <c r="I91" s="129">
        <f>ROUND(B91*D91*G91,2)</f>
        <v>0</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329.02550000000002</v>
      </c>
      <c r="C92" s="80"/>
      <c r="D92" s="921">
        <f>I6</f>
        <v>1.0355000000000001</v>
      </c>
      <c r="E92" s="921"/>
      <c r="F92" s="921"/>
      <c r="G92" s="113">
        <f>Consolidated!F$120</f>
        <v>917.3</v>
      </c>
      <c r="H92" s="47" t="s">
        <v>68</v>
      </c>
      <c r="I92" s="537">
        <f>ROUND(B92*D92*G92,2)</f>
        <v>312529.53000000003</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329.02550000000002</v>
      </c>
      <c r="C93" s="80"/>
      <c r="D93" s="80"/>
      <c r="E93" s="999" t="s">
        <v>112</v>
      </c>
      <c r="F93" s="999"/>
      <c r="G93" s="999"/>
      <c r="H93" s="999"/>
      <c r="I93" s="999"/>
      <c r="J93" s="116">
        <f>IF(A1=75,0,I92+I91+I90)</f>
        <v>312529.53000000003</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800">
        <v>0</v>
      </c>
      <c r="D97" s="800">
        <v>2</v>
      </c>
      <c r="E97" s="1044">
        <f>IF(D97&gt;0,(C97+D97)/2,C97)</f>
        <v>1</v>
      </c>
      <c r="F97" s="922"/>
      <c r="G97" s="922"/>
      <c r="H97" s="85" t="s">
        <v>117</v>
      </c>
      <c r="I97" s="119">
        <f>Consolidated!G$127</f>
        <v>578</v>
      </c>
      <c r="J97" s="127">
        <f>ROUND(I97*E97,2)</f>
        <v>578</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2940575.5599999996</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2816427.9899999998</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H113" s="232"/>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I114" s="233">
        <f>IF(I111=1,J111,J109)</f>
        <v>2816427.9899999998</v>
      </c>
      <c r="J114" s="234">
        <f>ROUND(IF(E28=0,0,IF(E28&gt;250,-(((250/E28)*I114)*IF(H113="H",0.02,0.05)),IF(H113="H",-0.02*I114,-0.05*I114))),2)</f>
        <v>-107385.77</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2833189.7899999996</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Payments'!R122</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2833189.7899999996</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236099.15</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ROUND(IF(H113="H",(I114*0.02)+J114,(I114*0.05)+J114),2)</f>
        <v>33435.629999999997</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29111-E801-4F91-9AE4-B755BFDD8FCA}">
  <dimension ref="A1:Z207"/>
  <sheetViews>
    <sheetView workbookViewId="0">
      <selection activeCell="C42" sqref="C42"/>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541</v>
      </c>
      <c r="B2" s="101"/>
      <c r="C2" s="101"/>
      <c r="D2" s="101"/>
      <c r="E2" s="6"/>
      <c r="F2" s="6"/>
      <c r="G2" s="6"/>
      <c r="H2" s="6"/>
      <c r="I2" s="706" t="str">
        <f>RIGHT(A2,4)</f>
        <v>4131</v>
      </c>
      <c r="J2" s="6"/>
      <c r="K2" s="6"/>
      <c r="L2" s="6"/>
      <c r="M2" s="6"/>
      <c r="N2" s="6"/>
      <c r="O2" s="6"/>
      <c r="P2" s="6"/>
      <c r="Q2" s="6"/>
      <c r="R2" s="927" t="str">
        <f>Revenue_Estimate_Worksheet_for___________Charter_School</f>
        <v>Revenue Estimate Worksheet: Somerset Academy Wellington HS - 4131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85"/>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9"/>
      <c r="D6" s="9"/>
      <c r="E6" s="1039">
        <f>Consolidated!$C$8</f>
        <v>5372.6</v>
      </c>
      <c r="F6" s="1039"/>
      <c r="G6" s="1040" t="s">
        <v>5</v>
      </c>
      <c r="H6" s="1040"/>
      <c r="I6" s="227">
        <f>Consolidated!$H$8</f>
        <v>1.0355000000000001</v>
      </c>
      <c r="J6" s="102"/>
      <c r="L6" s="56"/>
      <c r="M6" s="2"/>
      <c r="R6" s="932" t="s">
        <v>4</v>
      </c>
      <c r="S6" s="932"/>
      <c r="T6" s="933">
        <f>E6</f>
        <v>5372.6</v>
      </c>
      <c r="U6" s="933"/>
      <c r="V6" s="934" t="s">
        <v>5</v>
      </c>
      <c r="W6" s="934"/>
      <c r="X6" s="935">
        <v>1.0355000000000001</v>
      </c>
      <c r="Y6" s="935"/>
    </row>
    <row r="7" spans="1:25" ht="18" customHeight="1" x14ac:dyDescent="0.25">
      <c r="A7" s="9"/>
      <c r="B7" s="9"/>
      <c r="C7" s="9"/>
      <c r="D7" s="9"/>
      <c r="E7" s="10"/>
      <c r="F7" s="10"/>
      <c r="G7" s="11" t="s">
        <v>6</v>
      </c>
      <c r="H7" s="11"/>
      <c r="I7" s="227">
        <f>Consolidated!$H$9</f>
        <v>1</v>
      </c>
      <c r="J7" s="12"/>
      <c r="M7" s="2"/>
      <c r="O7" s="2" t="str">
        <f>IF(AND(C13&gt;=C15, C13&gt;=C17), "E", "-")</f>
        <v>-</v>
      </c>
      <c r="R7" s="133"/>
      <c r="S7" s="133"/>
      <c r="T7" s="134"/>
      <c r="U7" s="134"/>
      <c r="V7" s="135" t="s">
        <v>6</v>
      </c>
      <c r="W7" s="135"/>
      <c r="X7" s="136">
        <v>1</v>
      </c>
      <c r="Y7" s="136"/>
    </row>
    <row r="8" spans="1:25" ht="18" customHeight="1" x14ac:dyDescent="0.25">
      <c r="A8" s="9"/>
      <c r="B8" s="9"/>
      <c r="C8" s="9"/>
      <c r="D8" s="9"/>
      <c r="E8" s="13"/>
      <c r="F8" s="13"/>
      <c r="G8" s="14"/>
      <c r="H8" s="14"/>
      <c r="I8" s="15"/>
      <c r="J8" s="16" t="s">
        <v>7</v>
      </c>
      <c r="M8" s="2"/>
      <c r="O8" s="2" t="str">
        <f>IF(AND(C15&gt;C17, C15&gt;C13), "M", "-")</f>
        <v>-</v>
      </c>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041" t="s">
        <v>8</v>
      </c>
      <c r="H9" s="1041"/>
      <c r="I9" s="15" t="s">
        <v>9</v>
      </c>
      <c r="J9" s="16" t="s">
        <v>10</v>
      </c>
      <c r="M9" s="2"/>
      <c r="O9" s="2" t="str">
        <f>IF(AND(C17&gt;C15, C17&gt;C13), "H", "-")</f>
        <v>H</v>
      </c>
      <c r="R9" s="133"/>
      <c r="S9" s="133"/>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737">
        <f>SUMIFS('Surv2-3'!D:D,'Surv2-3'!$A:$A,$I$2,'Surv2-3'!$B:$B,$O12)</f>
        <v>0</v>
      </c>
      <c r="D12" s="738">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0</v>
      </c>
      <c r="D14" s="392">
        <f>SUMIFS('Surv2-3'!L:L,'Surv2-3'!$H:$H,$I$2,'Surv2-3'!$I:$I,$O14)</f>
        <v>0</v>
      </c>
      <c r="E14" s="1020">
        <f t="shared" si="0"/>
        <v>0</v>
      </c>
      <c r="F14" s="1020"/>
      <c r="G14" s="1026">
        <f>Consolidated!$F16</f>
        <v>1</v>
      </c>
      <c r="H14" s="1026">
        <f>Consolidated!$H$9</f>
        <v>1</v>
      </c>
      <c r="I14" s="539">
        <f t="shared" si="3"/>
        <v>0</v>
      </c>
      <c r="J14" s="540">
        <f>ROUND(ROUND(ROUND(I14*$E$6,4)*($I$6),2)*(MAX($I$7,1)),2)</f>
        <v>0</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0</v>
      </c>
      <c r="D15" s="392">
        <f>SUMIFS('Surv2-3'!L:L,'Surv2-3'!$H:$H,$I$2,'Surv2-3'!$I:$I,$O15)</f>
        <v>0</v>
      </c>
      <c r="E15" s="1020">
        <f t="shared" si="0"/>
        <v>0</v>
      </c>
      <c r="F15" s="1020"/>
      <c r="G15" s="1026">
        <f>Consolidated!$F17</f>
        <v>1</v>
      </c>
      <c r="H15" s="1026">
        <f>Consolidated!$H$9</f>
        <v>1</v>
      </c>
      <c r="I15" s="539">
        <f t="shared" si="3"/>
        <v>0</v>
      </c>
      <c r="J15" s="540">
        <f t="shared" si="1"/>
        <v>0</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44.49</v>
      </c>
      <c r="D16" s="392">
        <f>SUMIFS('Surv2-3'!M:M,'Surv2-3'!$H:$H,$I$2,'Surv2-3'!$I:$I,$O16)</f>
        <v>42.11</v>
      </c>
      <c r="E16" s="1020">
        <f t="shared" si="0"/>
        <v>86.6</v>
      </c>
      <c r="F16" s="1020"/>
      <c r="G16" s="1026">
        <f>Consolidated!$F18</f>
        <v>0.97199999999999998</v>
      </c>
      <c r="H16" s="1026">
        <f>Consolidated!$H$9</f>
        <v>1</v>
      </c>
      <c r="I16" s="539">
        <f t="shared" si="3"/>
        <v>84.175200000000004</v>
      </c>
      <c r="J16" s="540">
        <f t="shared" si="1"/>
        <v>468294.19</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7</v>
      </c>
      <c r="D17" s="392">
        <f>SUMIFS('Surv2-3'!M:M,'Surv2-3'!$H:$H,$I$2,'Surv2-3'!$I:$I,$O17)</f>
        <v>4.9700000000000006</v>
      </c>
      <c r="E17" s="1020">
        <f t="shared" si="0"/>
        <v>11.97</v>
      </c>
      <c r="F17" s="1020"/>
      <c r="G17" s="1026">
        <f>Consolidated!$F19</f>
        <v>0.97199999999999998</v>
      </c>
      <c r="H17" s="1026">
        <f>Consolidated!$H$9</f>
        <v>1</v>
      </c>
      <c r="I17" s="539">
        <f t="shared" si="3"/>
        <v>11.6348</v>
      </c>
      <c r="J17" s="540">
        <f t="shared" si="1"/>
        <v>64728.2</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v>
      </c>
      <c r="D25" s="392">
        <f>SUMIFS('Surv2-3'!L:L,'Surv2-3'!$H:$H,$I$2,'Surv2-3'!$I:$I,$O25)</f>
        <v>0</v>
      </c>
      <c r="E25" s="1020">
        <f t="shared" si="0"/>
        <v>0</v>
      </c>
      <c r="F25" s="1020"/>
      <c r="G25" s="1026">
        <f>Consolidated!$F27</f>
        <v>1.165</v>
      </c>
      <c r="H25" s="1026">
        <f>Consolidated!$H$9</f>
        <v>1</v>
      </c>
      <c r="I25" s="539">
        <f t="shared" si="3"/>
        <v>0</v>
      </c>
      <c r="J25" s="540">
        <f t="shared" si="1"/>
        <v>0</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7.9200000000000008</v>
      </c>
      <c r="D26" s="392">
        <f>SUMIFS('Surv2-3'!M:M,'Surv2-3'!$H:$H,$I$2,'Surv2-3'!$I:$I,$O26)</f>
        <v>7.3100000000000005</v>
      </c>
      <c r="E26" s="1020">
        <f t="shared" si="0"/>
        <v>15.23</v>
      </c>
      <c r="F26" s="1020"/>
      <c r="G26" s="1026">
        <f>Consolidated!$F28</f>
        <v>1.165</v>
      </c>
      <c r="H26" s="1026">
        <f>Consolidated!$H$9</f>
        <v>1</v>
      </c>
      <c r="I26" s="539">
        <f t="shared" si="3"/>
        <v>17.742999999999999</v>
      </c>
      <c r="J26" s="540">
        <f t="shared" si="1"/>
        <v>98710.12</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3.87</v>
      </c>
      <c r="D27" s="393">
        <f>SUMIFS('Surv2-3'!J:J,'Surv2-3'!$H:$H,$I$2,'Surv2-3'!$I:$I,$O27)</f>
        <v>3.7700000000000005</v>
      </c>
      <c r="E27" s="1022">
        <f t="shared" si="0"/>
        <v>7.6400000000000006</v>
      </c>
      <c r="F27" s="1022"/>
      <c r="G27" s="1023">
        <f>Consolidated!$F29</f>
        <v>1.081</v>
      </c>
      <c r="H27" s="1023">
        <f>Consolidated!$H$9</f>
        <v>1</v>
      </c>
      <c r="I27" s="22">
        <f t="shared" si="3"/>
        <v>8.2588000000000008</v>
      </c>
      <c r="J27" s="116">
        <f t="shared" si="1"/>
        <v>45946.41</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63.28</v>
      </c>
      <c r="D28" s="822">
        <f>SUM(D12:D27)</f>
        <v>58.160000000000004</v>
      </c>
      <c r="E28" s="1025">
        <f>SUM(E12:E27)</f>
        <v>121.44</v>
      </c>
      <c r="F28" s="1025"/>
      <c r="G28" s="1020"/>
      <c r="H28" s="1020"/>
      <c r="I28" s="23">
        <f>SUM(I12:I27)</f>
        <v>121.81180000000001</v>
      </c>
      <c r="J28" s="116">
        <f>SUM(J12:J27)</f>
        <v>677678.92</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100"/>
      <c r="D30" s="100"/>
      <c r="E30" s="914" t="s">
        <v>39</v>
      </c>
      <c r="F30" s="915"/>
      <c r="G30" s="915"/>
      <c r="H30" s="915"/>
      <c r="I30" s="915"/>
      <c r="J30" s="18" t="s">
        <v>40</v>
      </c>
      <c r="L30" s="25"/>
      <c r="M30" s="25"/>
      <c r="R30" s="149" t="s">
        <v>38</v>
      </c>
      <c r="S30" s="149"/>
      <c r="T30" s="966" t="s">
        <v>158</v>
      </c>
      <c r="U30" s="967"/>
      <c r="V30" s="967"/>
      <c r="W30" s="967"/>
      <c r="X30" s="967"/>
      <c r="Y30" s="142" t="s">
        <v>40</v>
      </c>
    </row>
    <row r="31" spans="1:25" ht="20.25" hidden="1" customHeight="1" x14ac:dyDescent="0.25">
      <c r="A31" s="899" t="s">
        <v>41</v>
      </c>
      <c r="B31" s="899"/>
      <c r="C31" s="69"/>
      <c r="D31" s="69"/>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121.81180000000001</v>
      </c>
      <c r="H33" s="1020" t="s">
        <v>45</v>
      </c>
      <c r="I33" s="1020"/>
      <c r="J33" s="32">
        <f>SUM(J32,J28)</f>
        <v>677678.92</v>
      </c>
      <c r="M33" s="2"/>
      <c r="R33" s="969" t="s">
        <v>44</v>
      </c>
      <c r="S33" s="969"/>
      <c r="T33" s="969"/>
      <c r="U33" s="969"/>
      <c r="V33" s="153">
        <f>V32+X28</f>
        <v>0</v>
      </c>
      <c r="W33" s="965" t="s">
        <v>45</v>
      </c>
      <c r="X33" s="96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06" t="s">
        <v>46</v>
      </c>
      <c r="B35" s="1006"/>
      <c r="C35" s="1006"/>
      <c r="D35" s="1006"/>
      <c r="E35" s="1006"/>
      <c r="F35" s="1006"/>
      <c r="G35" s="36"/>
      <c r="J35" s="40"/>
      <c r="M35" s="2"/>
      <c r="R35" s="954" t="s">
        <v>46</v>
      </c>
      <c r="S35" s="955"/>
      <c r="T35" s="955"/>
      <c r="U35" s="955"/>
      <c r="V35" s="158"/>
      <c r="W35" s="159"/>
      <c r="X35" s="159"/>
      <c r="Y35" s="164"/>
    </row>
    <row r="36" spans="1:25" ht="20.25" customHeight="1" x14ac:dyDescent="0.25">
      <c r="A36" s="916" t="s">
        <v>47</v>
      </c>
      <c r="B36" s="916"/>
      <c r="C36" s="916"/>
      <c r="D36" s="916"/>
      <c r="E36" s="916"/>
      <c r="F36" s="36" t="s">
        <v>48</v>
      </c>
      <c r="G36" s="430">
        <v>570364.56999999995</v>
      </c>
      <c r="H36" s="37" t="s">
        <v>49</v>
      </c>
      <c r="I36" s="38">
        <v>6.6699999999999995E-2</v>
      </c>
      <c r="J36" s="120">
        <f>ROUND(G36*I36,2)</f>
        <v>38043.32</v>
      </c>
      <c r="K36" s="39"/>
      <c r="L36" s="33"/>
      <c r="M36" s="33"/>
      <c r="N36" s="33"/>
      <c r="O36" s="31"/>
      <c r="P36" s="34"/>
      <c r="Q36" s="34"/>
      <c r="R36" s="946" t="s">
        <v>47</v>
      </c>
      <c r="S36" s="946"/>
      <c r="T36" s="946"/>
      <c r="U36" s="158"/>
      <c r="V36" s="161">
        <v>0</v>
      </c>
      <c r="W36" s="162" t="s">
        <v>49</v>
      </c>
      <c r="X36" s="163">
        <v>6.6699999999999995E-2</v>
      </c>
      <c r="Y36" s="212">
        <f>ROUND(V36*X36,2)</f>
        <v>0</v>
      </c>
    </row>
    <row r="37" spans="1:25" ht="20.25" customHeight="1" x14ac:dyDescent="0.25">
      <c r="A37" s="916" t="s">
        <v>50</v>
      </c>
      <c r="B37" s="916"/>
      <c r="C37" s="916"/>
      <c r="D37" s="916"/>
      <c r="E37" s="916"/>
      <c r="F37" s="36" t="s">
        <v>48</v>
      </c>
      <c r="G37" s="430">
        <v>570364.56999999995</v>
      </c>
      <c r="H37" s="37" t="s">
        <v>49</v>
      </c>
      <c r="I37" s="38">
        <v>5.4000000000000003E-3</v>
      </c>
      <c r="J37" s="120">
        <f>ROUND(G37*I37,2)</f>
        <v>3079.97</v>
      </c>
      <c r="K37" s="39"/>
      <c r="L37" s="33"/>
      <c r="M37" s="33"/>
      <c r="N37" s="33"/>
      <c r="O37" s="31"/>
      <c r="P37" s="34"/>
      <c r="Q37" s="34"/>
      <c r="R37" s="946" t="s">
        <v>50</v>
      </c>
      <c r="S37" s="946"/>
      <c r="T37" s="946"/>
      <c r="U37" s="158"/>
      <c r="V37" s="161">
        <v>0</v>
      </c>
      <c r="W37" s="162" t="s">
        <v>49</v>
      </c>
      <c r="X37" s="163">
        <v>5.4000000000000003E-3</v>
      </c>
      <c r="Y37" s="212">
        <f>ROUND(V37*X37,2)</f>
        <v>0</v>
      </c>
    </row>
    <row r="38" spans="1:25" ht="20.25" customHeight="1" x14ac:dyDescent="0.25">
      <c r="A38" s="952" t="s">
        <v>51</v>
      </c>
      <c r="B38" s="952"/>
      <c r="C38" s="952"/>
      <c r="D38" s="952"/>
      <c r="E38" s="952"/>
      <c r="F38" s="36" t="s">
        <v>52</v>
      </c>
      <c r="G38" s="40"/>
      <c r="H38" s="37"/>
      <c r="I38" s="41"/>
      <c r="J38" s="120">
        <f>SUM(J36:J37)</f>
        <v>41123.29</v>
      </c>
      <c r="K38" s="39"/>
      <c r="L38" s="33"/>
      <c r="M38" s="33"/>
      <c r="N38" s="33"/>
      <c r="O38" s="31"/>
      <c r="P38" s="34"/>
      <c r="Q38" s="34"/>
      <c r="R38" s="955" t="s">
        <v>51</v>
      </c>
      <c r="S38" s="955"/>
      <c r="T38" s="955"/>
      <c r="U38" s="158" t="s">
        <v>52</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16" t="s">
        <v>53</v>
      </c>
      <c r="B40" s="1016"/>
      <c r="C40" s="111" t="s">
        <v>634</v>
      </c>
      <c r="D40" s="111" t="s">
        <v>635</v>
      </c>
      <c r="E40" s="1017" t="s">
        <v>156</v>
      </c>
      <c r="F40" s="1017"/>
      <c r="G40" s="44" t="s">
        <v>55</v>
      </c>
      <c r="H40" s="45" t="s">
        <v>56</v>
      </c>
      <c r="I40" s="124" t="s">
        <v>57</v>
      </c>
      <c r="J40" s="44"/>
      <c r="K40" s="39"/>
      <c r="L40" s="33"/>
      <c r="M40" s="33"/>
      <c r="N40" s="33"/>
      <c r="O40" s="31"/>
      <c r="P40" s="34"/>
      <c r="Q40" s="34"/>
      <c r="R40" s="956" t="s">
        <v>53</v>
      </c>
      <c r="S40" s="956"/>
      <c r="T40" s="957" t="s">
        <v>54</v>
      </c>
      <c r="U40" s="957"/>
      <c r="V40" s="168" t="s">
        <v>55</v>
      </c>
      <c r="W40" s="169"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37" t="s">
        <v>59</v>
      </c>
      <c r="H41" s="37">
        <v>251</v>
      </c>
      <c r="I41" s="125">
        <f>Consolidated!$H59</f>
        <v>1047</v>
      </c>
      <c r="J41" s="46">
        <f t="shared" ref="J41:J49" si="9">ROUND(E41*I41,2)</f>
        <v>0</v>
      </c>
      <c r="L41" s="3"/>
      <c r="M41" s="2"/>
      <c r="Q41" s="4"/>
      <c r="R41" s="958" t="s">
        <v>159</v>
      </c>
      <c r="S41" s="958"/>
      <c r="T41" s="919"/>
      <c r="U41" s="919"/>
      <c r="V41" s="162" t="s">
        <v>59</v>
      </c>
      <c r="W41" s="162">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37" t="s">
        <v>59</v>
      </c>
      <c r="H42" s="37">
        <v>252</v>
      </c>
      <c r="I42" s="125">
        <f>Consolidated!$H60</f>
        <v>3380</v>
      </c>
      <c r="J42" s="46">
        <f t="shared" si="9"/>
        <v>0</v>
      </c>
      <c r="M42" s="2"/>
      <c r="R42" s="958"/>
      <c r="S42" s="958"/>
      <c r="T42" s="959"/>
      <c r="U42" s="959"/>
      <c r="V42" s="162" t="s">
        <v>59</v>
      </c>
      <c r="W42" s="162">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37" t="s">
        <v>59</v>
      </c>
      <c r="H43" s="37">
        <v>253</v>
      </c>
      <c r="I43" s="125">
        <f>Consolidated!$H61</f>
        <v>6896</v>
      </c>
      <c r="J43" s="46">
        <f t="shared" si="9"/>
        <v>0</v>
      </c>
      <c r="M43" s="2"/>
      <c r="R43" s="958"/>
      <c r="S43" s="958"/>
      <c r="T43" s="960"/>
      <c r="U43" s="960"/>
      <c r="V43" s="162" t="s">
        <v>59</v>
      </c>
      <c r="W43" s="162">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37">
        <v>251</v>
      </c>
      <c r="I44" s="125">
        <f>Consolidated!$H62</f>
        <v>1173</v>
      </c>
      <c r="J44" s="126">
        <f t="shared" si="9"/>
        <v>0</v>
      </c>
      <c r="L44" s="3"/>
      <c r="M44" s="2"/>
      <c r="Q44" s="4"/>
      <c r="R44" s="958"/>
      <c r="S44" s="958"/>
      <c r="T44" s="960"/>
      <c r="U44" s="960"/>
      <c r="V44" s="171" t="s">
        <v>60</v>
      </c>
      <c r="W44" s="162">
        <v>251</v>
      </c>
      <c r="X44" s="123">
        <f>Consolidated!$H62</f>
        <v>1173</v>
      </c>
      <c r="Y44" s="213">
        <f t="shared" si="10"/>
        <v>0</v>
      </c>
    </row>
    <row r="45" spans="1:25" x14ac:dyDescent="0.25">
      <c r="A45" s="1019"/>
      <c r="B45" s="1019"/>
      <c r="C45" s="824">
        <f>SUMIFS('Surv2-3'!E:E,'Surv2-3'!$A:$A,$I$2,'Surv2-3'!$B:$B,$H45-140)</f>
        <v>0</v>
      </c>
      <c r="D45" s="824">
        <f>SUMIFS('Surv2-3'!L:L,'Surv2-3'!$H:$H,$I$2,'Surv2-3'!$I:$I,$H45-140)</f>
        <v>0</v>
      </c>
      <c r="E45" s="1013">
        <f t="shared" si="8"/>
        <v>0</v>
      </c>
      <c r="F45" s="1013"/>
      <c r="G45" s="47" t="s">
        <v>60</v>
      </c>
      <c r="H45" s="37">
        <v>252</v>
      </c>
      <c r="I45" s="125">
        <f>Consolidated!$H63</f>
        <v>3506</v>
      </c>
      <c r="J45" s="46">
        <f t="shared" si="9"/>
        <v>0</v>
      </c>
      <c r="M45" s="2"/>
      <c r="R45" s="958"/>
      <c r="S45" s="958"/>
      <c r="T45" s="960"/>
      <c r="U45" s="960"/>
      <c r="V45" s="171" t="s">
        <v>60</v>
      </c>
      <c r="W45" s="162">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37">
        <v>253</v>
      </c>
      <c r="I46" s="125">
        <f>Consolidated!$H64</f>
        <v>7023</v>
      </c>
      <c r="J46" s="46">
        <f t="shared" si="9"/>
        <v>0</v>
      </c>
      <c r="M46" s="2"/>
      <c r="R46" s="958"/>
      <c r="S46" s="958"/>
      <c r="T46" s="960"/>
      <c r="U46" s="960"/>
      <c r="V46" s="171" t="s">
        <v>60</v>
      </c>
      <c r="W46" s="162">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37">
        <v>251</v>
      </c>
      <c r="I47" s="125">
        <f>Consolidated!$H65</f>
        <v>835</v>
      </c>
      <c r="J47" s="46">
        <f t="shared" si="9"/>
        <v>0</v>
      </c>
      <c r="M47" s="2"/>
      <c r="R47" s="958"/>
      <c r="S47" s="958"/>
      <c r="T47" s="960"/>
      <c r="U47" s="960"/>
      <c r="V47" s="171" t="s">
        <v>61</v>
      </c>
      <c r="W47" s="162">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37">
        <v>252</v>
      </c>
      <c r="I48" s="125">
        <f>Consolidated!$H66</f>
        <v>3168</v>
      </c>
      <c r="J48" s="46">
        <f t="shared" si="9"/>
        <v>0</v>
      </c>
      <c r="M48" s="2"/>
      <c r="R48" s="958"/>
      <c r="S48" s="958"/>
      <c r="T48" s="960"/>
      <c r="U48" s="960"/>
      <c r="V48" s="171" t="s">
        <v>61</v>
      </c>
      <c r="W48" s="162">
        <v>252</v>
      </c>
      <c r="X48" s="123">
        <f>Consolidated!$H66</f>
        <v>3168</v>
      </c>
      <c r="Y48" s="213">
        <f t="shared" si="10"/>
        <v>0</v>
      </c>
    </row>
    <row r="49" spans="1:25" ht="15.75" customHeight="1" thickBot="1" x14ac:dyDescent="0.3">
      <c r="A49" s="1019"/>
      <c r="B49" s="1019"/>
      <c r="C49" s="824">
        <f>SUMIFS('Surv2-3'!F:F,'Surv2-3'!$A:$A,$I$2,'Surv2-3'!$B:$B,$H49-140)</f>
        <v>7</v>
      </c>
      <c r="D49" s="824">
        <f>SUMIFS('Surv2-3'!M:M,'Surv2-3'!$H:$H,$I$2,'Surv2-3'!$I:$I,$H49-140)</f>
        <v>4.9700000000000006</v>
      </c>
      <c r="E49" s="1014">
        <f t="shared" si="8"/>
        <v>11.97</v>
      </c>
      <c r="F49" s="1014"/>
      <c r="G49" s="47" t="s">
        <v>61</v>
      </c>
      <c r="H49" s="37">
        <v>253</v>
      </c>
      <c r="I49" s="125">
        <f>Consolidated!$H67</f>
        <v>6685</v>
      </c>
      <c r="J49" s="46">
        <f t="shared" si="9"/>
        <v>80019.45</v>
      </c>
      <c r="M49" s="2"/>
      <c r="R49" s="958"/>
      <c r="S49" s="958"/>
      <c r="T49" s="971"/>
      <c r="U49" s="971"/>
      <c r="V49" s="171" t="s">
        <v>61</v>
      </c>
      <c r="W49" s="162">
        <v>253</v>
      </c>
      <c r="X49" s="123">
        <f>Consolidated!$H67</f>
        <v>6685</v>
      </c>
      <c r="Y49" s="213">
        <f t="shared" si="10"/>
        <v>0</v>
      </c>
    </row>
    <row r="50" spans="1:25" ht="15.75" customHeight="1" thickBot="1" x14ac:dyDescent="0.3">
      <c r="A50" s="970" t="s">
        <v>62</v>
      </c>
      <c r="B50" s="970"/>
      <c r="C50" s="825">
        <f>SUM(C41:C49)</f>
        <v>7</v>
      </c>
      <c r="D50" s="825">
        <f>SUM(D41:D49)</f>
        <v>4.9700000000000006</v>
      </c>
      <c r="E50" s="1015">
        <f>SUM(E41:E49)</f>
        <v>11.97</v>
      </c>
      <c r="F50" s="1015"/>
      <c r="G50" s="970" t="s">
        <v>63</v>
      </c>
      <c r="H50" s="970"/>
      <c r="I50" s="970"/>
      <c r="J50" s="220">
        <f>SUM(J41:J49)</f>
        <v>80019.45</v>
      </c>
      <c r="M50" s="2"/>
      <c r="R50" s="969" t="s">
        <v>62</v>
      </c>
      <c r="S50" s="969"/>
      <c r="T50" s="972">
        <f>SUM(T42:T49)</f>
        <v>0</v>
      </c>
      <c r="U50" s="972"/>
      <c r="V50" s="969" t="s">
        <v>63</v>
      </c>
      <c r="W50" s="969"/>
      <c r="X50" s="969"/>
      <c r="Y50" s="214">
        <f>SUM(Y41:Y49)</f>
        <v>0</v>
      </c>
    </row>
    <row r="51" spans="1:25" ht="15.75" customHeight="1" x14ac:dyDescent="0.25">
      <c r="A51" s="33"/>
      <c r="B51" s="33"/>
      <c r="C51" s="33"/>
      <c r="D51" s="33"/>
      <c r="E51" s="34"/>
      <c r="F51" s="34"/>
      <c r="G51" s="33"/>
      <c r="H51" s="33"/>
      <c r="I51" s="33"/>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51"/>
      <c r="D53" s="51"/>
      <c r="E53" s="48">
        <f>E28</f>
        <v>121.44</v>
      </c>
      <c r="F53" s="49" t="s">
        <v>66</v>
      </c>
      <c r="G53" s="3"/>
      <c r="H53" s="50" t="s">
        <v>67</v>
      </c>
      <c r="I53" s="1051">
        <f>Consolidated!H$71</f>
        <v>207716.69</v>
      </c>
      <c r="J53" s="1051"/>
      <c r="M53" s="2"/>
      <c r="R53" s="176"/>
      <c r="S53" s="177"/>
      <c r="T53" s="159"/>
      <c r="U53" s="159"/>
      <c r="V53" s="159"/>
      <c r="W53" s="178" t="s">
        <v>68</v>
      </c>
      <c r="X53" s="978">
        <f>ROUND(T52/X52,6)</f>
        <v>0</v>
      </c>
      <c r="Y53" s="978"/>
    </row>
    <row r="54" spans="1:25" ht="22.5" customHeight="1" x14ac:dyDescent="0.25">
      <c r="A54" s="51"/>
      <c r="B54" s="52"/>
      <c r="C54" s="52"/>
      <c r="D54" s="52"/>
      <c r="H54" s="53" t="s">
        <v>68</v>
      </c>
      <c r="I54" s="1004">
        <f>IFERROR(ROUND(E53/I53,6),0)</f>
        <v>5.8500000000000002E-4</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51"/>
      <c r="D56" s="51"/>
      <c r="E56" s="48">
        <f>G33</f>
        <v>121.81180000000001</v>
      </c>
      <c r="F56" s="49" t="s">
        <v>66</v>
      </c>
      <c r="G56" s="3"/>
      <c r="H56" s="50" t="s">
        <v>71</v>
      </c>
      <c r="I56" s="1051">
        <f>Consolidated!H$74</f>
        <v>221131.37000000002</v>
      </c>
      <c r="J56" s="1051"/>
      <c r="M56" s="2"/>
      <c r="R56" s="176"/>
      <c r="S56" s="159"/>
      <c r="T56" s="159"/>
      <c r="U56" s="159"/>
      <c r="V56" s="159"/>
      <c r="W56" s="178" t="s">
        <v>68</v>
      </c>
      <c r="X56" s="978">
        <f>ROUND(T55/X55,6)</f>
        <v>0</v>
      </c>
      <c r="Y56" s="978"/>
    </row>
    <row r="57" spans="1:25" ht="18.75" customHeight="1" x14ac:dyDescent="0.25">
      <c r="A57" s="51"/>
      <c r="H57" s="53" t="s">
        <v>68</v>
      </c>
      <c r="I57" s="1004">
        <f>IFERROR(ROUND(E56/I56,6),0)</f>
        <v>5.5099999999999995E-4</v>
      </c>
      <c r="J57" s="1004"/>
      <c r="M57" s="2"/>
      <c r="P57" s="42"/>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51"/>
      <c r="D59" s="51"/>
      <c r="E59" s="48">
        <f>E28</f>
        <v>121.44</v>
      </c>
      <c r="F59" s="49" t="s">
        <v>66</v>
      </c>
      <c r="G59" s="1046" t="s">
        <v>74</v>
      </c>
      <c r="H59" s="1046"/>
      <c r="I59" s="1051">
        <f>Consolidated!H$77</f>
        <v>178668.19</v>
      </c>
      <c r="J59" s="1051"/>
      <c r="M59" s="2"/>
      <c r="R59" s="176"/>
      <c r="S59" s="159"/>
      <c r="T59" s="159"/>
      <c r="U59" s="159"/>
      <c r="V59" s="159"/>
      <c r="W59" s="178" t="s">
        <v>68</v>
      </c>
      <c r="X59" s="978">
        <f>ROUND(T58/X58,6)</f>
        <v>0</v>
      </c>
      <c r="Y59" s="978"/>
    </row>
    <row r="60" spans="1:25" ht="18" customHeight="1" x14ac:dyDescent="0.25">
      <c r="A60" s="51"/>
      <c r="H60" s="53" t="s">
        <v>68</v>
      </c>
      <c r="I60" s="1004">
        <f>IFERROR(ROUND(E59/I59,6),0)</f>
        <v>6.8000000000000005E-4</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51"/>
      <c r="D62" s="51"/>
      <c r="E62" s="48">
        <f>E28</f>
        <v>121.44</v>
      </c>
      <c r="F62" s="49" t="s">
        <v>66</v>
      </c>
      <c r="G62" s="1046" t="s">
        <v>76</v>
      </c>
      <c r="H62" s="1046"/>
      <c r="I62" s="1051">
        <f>Consolidated!H$80</f>
        <v>207376.94</v>
      </c>
      <c r="J62" s="1051"/>
      <c r="M62" s="2"/>
      <c r="R62" s="176"/>
      <c r="S62" s="159"/>
      <c r="T62" s="159"/>
      <c r="U62" s="159"/>
      <c r="V62" s="159"/>
      <c r="W62" s="178" t="s">
        <v>68</v>
      </c>
      <c r="X62" s="978">
        <f>ROUND(T61/X61,6)</f>
        <v>0</v>
      </c>
      <c r="Y62" s="978"/>
    </row>
    <row r="63" spans="1:25" ht="19.5" customHeight="1" x14ac:dyDescent="0.25">
      <c r="A63" s="51"/>
      <c r="H63" s="53" t="s">
        <v>68</v>
      </c>
      <c r="I63" s="1004">
        <f>IFERROR(ROUND(E62/I62,6),0)</f>
        <v>5.8600000000000004E-4</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51"/>
      <c r="D65" s="51"/>
      <c r="E65" s="48">
        <f>E28</f>
        <v>121.44</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51"/>
      <c r="H66" s="53" t="s">
        <v>68</v>
      </c>
      <c r="I66" s="1004">
        <f>IFERROR(ROUND(E65/I65,6),0)</f>
        <v>6.8099999999999996E-4</v>
      </c>
      <c r="J66" s="100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158"/>
      <c r="V67" s="182">
        <f>G68</f>
        <v>45610484</v>
      </c>
      <c r="W67" s="162" t="s">
        <v>81</v>
      </c>
      <c r="X67" s="165">
        <f>X62</f>
        <v>0</v>
      </c>
      <c r="Y67" s="215">
        <f>ROUND(V67*X67,2)</f>
        <v>0</v>
      </c>
    </row>
    <row r="68" spans="1:26" ht="30.75" customHeight="1" x14ac:dyDescent="0.25">
      <c r="A68" s="1005" t="s">
        <v>79</v>
      </c>
      <c r="B68" s="1005"/>
      <c r="C68" s="1005"/>
      <c r="D68" s="1005"/>
      <c r="E68" s="1005"/>
      <c r="F68" s="36" t="s">
        <v>80</v>
      </c>
      <c r="G68" s="221">
        <f>Consolidated!F$86</f>
        <v>45610484</v>
      </c>
      <c r="H68" s="37" t="s">
        <v>81</v>
      </c>
      <c r="I68" s="41">
        <f>I63</f>
        <v>5.8600000000000004E-4</v>
      </c>
      <c r="J68" s="127">
        <f>ROUND(G68*I68,2)</f>
        <v>26727.74</v>
      </c>
      <c r="M68" s="2"/>
      <c r="R68" s="954" t="s">
        <v>82</v>
      </c>
      <c r="S68" s="954"/>
      <c r="T68" s="166"/>
      <c r="U68" s="158"/>
      <c r="V68" s="183"/>
      <c r="W68" s="162"/>
      <c r="X68" s="165"/>
      <c r="Y68" s="215"/>
    </row>
    <row r="69" spans="1:26" ht="30.75" customHeight="1" x14ac:dyDescent="0.25">
      <c r="A69" s="1006" t="s">
        <v>82</v>
      </c>
      <c r="B69" s="1006"/>
      <c r="C69" s="104"/>
      <c r="D69" s="104"/>
      <c r="E69" s="42"/>
      <c r="F69" s="36"/>
      <c r="G69" s="63"/>
      <c r="H69" s="37"/>
      <c r="I69" s="41"/>
      <c r="J69" s="62"/>
      <c r="M69" s="2"/>
      <c r="R69" s="981" t="s">
        <v>162</v>
      </c>
      <c r="S69" s="975"/>
      <c r="T69" s="975"/>
      <c r="U69" s="158"/>
      <c r="V69" s="184">
        <f>G70</f>
        <v>0</v>
      </c>
      <c r="W69" s="162" t="s">
        <v>81</v>
      </c>
      <c r="X69" s="165">
        <f>X53</f>
        <v>0</v>
      </c>
      <c r="Y69" s="212">
        <f t="shared" ref="Y69:Y71" si="11">ROUND(V69*X69,2)</f>
        <v>0</v>
      </c>
    </row>
    <row r="70" spans="1:26" ht="17.25" customHeight="1" x14ac:dyDescent="0.25">
      <c r="A70" s="1007" t="s">
        <v>83</v>
      </c>
      <c r="B70" s="1007"/>
      <c r="C70" s="1007"/>
      <c r="D70" s="1007"/>
      <c r="E70" s="1007"/>
      <c r="F70" s="36" t="s">
        <v>84</v>
      </c>
      <c r="G70" s="221">
        <f>Consolidated!F$89</f>
        <v>0</v>
      </c>
      <c r="H70" s="37" t="s">
        <v>81</v>
      </c>
      <c r="I70" s="41">
        <f>I54</f>
        <v>5.8500000000000002E-4</v>
      </c>
      <c r="J70" s="127">
        <f>ROUND(G70*I70,2)</f>
        <v>0</v>
      </c>
      <c r="M70" s="2"/>
      <c r="R70" s="955" t="s">
        <v>163</v>
      </c>
      <c r="S70" s="955"/>
      <c r="T70" s="955"/>
      <c r="U70" s="158"/>
      <c r="V70" s="182">
        <f>G71</f>
        <v>18959906</v>
      </c>
      <c r="W70" s="162" t="s">
        <v>81</v>
      </c>
      <c r="X70" s="165">
        <f>X65</f>
        <v>0</v>
      </c>
      <c r="Y70" s="212">
        <f t="shared" si="11"/>
        <v>0</v>
      </c>
    </row>
    <row r="71" spans="1:26" ht="19.5" customHeight="1" x14ac:dyDescent="0.25">
      <c r="A71" s="952" t="s">
        <v>85</v>
      </c>
      <c r="B71" s="952"/>
      <c r="C71" s="952"/>
      <c r="D71" s="952"/>
      <c r="E71" s="952"/>
      <c r="F71" s="36" t="s">
        <v>86</v>
      </c>
      <c r="G71" s="221">
        <f>Consolidated!F$91</f>
        <v>18959906</v>
      </c>
      <c r="H71" s="37" t="s">
        <v>81</v>
      </c>
      <c r="I71" s="41">
        <f>I66</f>
        <v>6.8099999999999996E-4</v>
      </c>
      <c r="J71" s="127">
        <f>ROUND(G71*I71,2)</f>
        <v>12911.7</v>
      </c>
      <c r="M71" s="2"/>
      <c r="R71" s="166" t="s">
        <v>164</v>
      </c>
      <c r="S71" s="166"/>
      <c r="T71" s="166"/>
      <c r="U71" s="158"/>
      <c r="V71" s="160">
        <f>G72</f>
        <v>11308391</v>
      </c>
      <c r="W71" s="162" t="s">
        <v>81</v>
      </c>
      <c r="X71" s="165">
        <f>X59</f>
        <v>0</v>
      </c>
      <c r="Y71" s="212">
        <f t="shared" si="11"/>
        <v>0</v>
      </c>
    </row>
    <row r="72" spans="1:26" ht="19.5" customHeight="1" x14ac:dyDescent="0.25">
      <c r="A72" s="42" t="s">
        <v>87</v>
      </c>
      <c r="B72" s="42"/>
      <c r="C72" s="42"/>
      <c r="D72" s="42"/>
      <c r="E72" s="42"/>
      <c r="F72" s="36" t="s">
        <v>88</v>
      </c>
      <c r="G72" s="221">
        <f>Consolidated!F$93</f>
        <v>11308391</v>
      </c>
      <c r="H72" s="37" t="s">
        <v>81</v>
      </c>
      <c r="I72" s="41">
        <f>I60</f>
        <v>6.8000000000000005E-4</v>
      </c>
      <c r="J72" s="127">
        <f>ROUND(G72*I72,2)</f>
        <v>7689.71</v>
      </c>
      <c r="M72" s="2"/>
      <c r="R72" s="166" t="s">
        <v>165</v>
      </c>
      <c r="S72" s="166"/>
      <c r="T72" s="166"/>
      <c r="U72" s="158"/>
      <c r="V72" s="185"/>
      <c r="W72" s="162"/>
      <c r="X72" s="165"/>
      <c r="Y72" s="167"/>
    </row>
    <row r="73" spans="1:26" ht="24.75" customHeight="1" x14ac:dyDescent="0.25">
      <c r="A73" s="42" t="s">
        <v>89</v>
      </c>
      <c r="B73" s="42"/>
      <c r="C73" s="42"/>
      <c r="D73" s="42"/>
      <c r="E73" s="42"/>
      <c r="F73" s="36" t="s">
        <v>90</v>
      </c>
      <c r="G73" s="64"/>
      <c r="H73" s="37"/>
      <c r="I73" s="41"/>
      <c r="J73" s="30"/>
      <c r="M73" s="2"/>
      <c r="R73" s="937" t="s">
        <v>91</v>
      </c>
      <c r="S73" s="937"/>
      <c r="T73" s="966" t="s">
        <v>166</v>
      </c>
      <c r="U73" s="967"/>
      <c r="V73" s="967"/>
      <c r="W73" s="967"/>
      <c r="X73" s="967"/>
      <c r="Y73" s="142"/>
    </row>
    <row r="74" spans="1:26" ht="63" customHeight="1" x14ac:dyDescent="0.25">
      <c r="A74" s="913" t="s">
        <v>91</v>
      </c>
      <c r="B74" s="913"/>
      <c r="C74" s="100"/>
      <c r="D74" s="100"/>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69"/>
      <c r="D75" s="69"/>
      <c r="E75" s="65"/>
      <c r="F75" s="65"/>
      <c r="G75" s="65"/>
      <c r="H75" s="65"/>
      <c r="I75" s="65"/>
      <c r="J75" s="118"/>
      <c r="L75" s="66"/>
      <c r="M75" s="2"/>
      <c r="O75" s="36"/>
      <c r="P75" s="36"/>
      <c r="R75" s="982" t="s">
        <v>94</v>
      </c>
      <c r="S75" s="982"/>
      <c r="T75" s="186"/>
      <c r="U75" s="186"/>
      <c r="V75" s="186"/>
      <c r="W75" s="186"/>
      <c r="X75" s="186"/>
      <c r="Y75" s="186"/>
    </row>
    <row r="76" spans="1:26" ht="18.75" customHeight="1" x14ac:dyDescent="0.25">
      <c r="A76" s="899" t="s">
        <v>94</v>
      </c>
      <c r="B76" s="899"/>
      <c r="C76" s="69"/>
      <c r="D76" s="69"/>
      <c r="E76" s="65"/>
      <c r="F76" s="65"/>
      <c r="G76" s="65"/>
      <c r="H76" s="65"/>
      <c r="I76" s="65"/>
      <c r="J76" s="118"/>
      <c r="L76" s="67"/>
      <c r="M76" s="2"/>
      <c r="O76" s="36"/>
      <c r="P76" s="36"/>
      <c r="R76" s="983" t="s">
        <v>95</v>
      </c>
      <c r="S76" s="983"/>
      <c r="T76" s="187"/>
      <c r="U76" s="187"/>
      <c r="V76" s="187"/>
      <c r="W76" s="187"/>
      <c r="X76" s="187"/>
      <c r="Y76" s="186"/>
    </row>
    <row r="77" spans="1:26" ht="18.75" customHeight="1" x14ac:dyDescent="0.25">
      <c r="A77" s="917" t="s">
        <v>95</v>
      </c>
      <c r="B77" s="917"/>
      <c r="C77" s="105"/>
      <c r="D77" s="105"/>
      <c r="E77" s="68"/>
      <c r="F77" s="68"/>
      <c r="G77" s="68"/>
      <c r="H77" s="68"/>
      <c r="I77" s="68"/>
      <c r="J77" s="117">
        <v>1.92</v>
      </c>
      <c r="L77" s="67"/>
      <c r="M77" s="2"/>
      <c r="O77" s="36"/>
      <c r="P77" s="36"/>
      <c r="R77" s="188" t="s">
        <v>96</v>
      </c>
      <c r="S77" s="188"/>
      <c r="T77" s="186"/>
      <c r="U77" s="186"/>
      <c r="V77" s="186"/>
      <c r="W77" s="186"/>
      <c r="X77" s="186"/>
      <c r="Y77" s="186"/>
    </row>
    <row r="78" spans="1:26" ht="20.25" customHeight="1" x14ac:dyDescent="0.25">
      <c r="A78" s="69" t="s">
        <v>96</v>
      </c>
      <c r="B78" s="69"/>
      <c r="C78" s="69"/>
      <c r="D78" s="69"/>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69"/>
      <c r="D79" s="69"/>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103"/>
      <c r="D80" s="103"/>
      <c r="E80" s="73"/>
      <c r="F80" s="73"/>
      <c r="G80" s="73"/>
      <c r="H80" s="73"/>
      <c r="I80" s="73"/>
      <c r="J80" s="118">
        <v>0</v>
      </c>
      <c r="K80" s="70"/>
      <c r="L80" s="70"/>
      <c r="M80" s="71"/>
      <c r="N80" s="70"/>
      <c r="O80" s="70"/>
      <c r="P80" s="70"/>
      <c r="Q80" s="70"/>
      <c r="R80" s="155"/>
      <c r="S80" s="155"/>
      <c r="T80" s="155"/>
      <c r="U80" s="155"/>
      <c r="V80" s="153"/>
      <c r="W80" s="156"/>
      <c r="X80" s="156" t="s">
        <v>99</v>
      </c>
      <c r="Y80" s="190">
        <f>SUM(Y74:Y79)</f>
        <v>0</v>
      </c>
      <c r="Z80" s="72"/>
    </row>
    <row r="81" spans="1:26" ht="17.25" customHeight="1" x14ac:dyDescent="0.25">
      <c r="A81" s="33"/>
      <c r="B81" s="33"/>
      <c r="C81" s="33"/>
      <c r="D81" s="33"/>
      <c r="E81" s="33"/>
      <c r="F81" s="33"/>
      <c r="G81" s="31"/>
      <c r="H81" s="34"/>
      <c r="I81" s="34" t="s">
        <v>99</v>
      </c>
      <c r="J81" s="74">
        <f>SUM(J75:J80)</f>
        <v>1.92</v>
      </c>
      <c r="K81" s="70"/>
      <c r="L81" s="70"/>
      <c r="M81" s="71"/>
      <c r="N81" s="70"/>
      <c r="O81" s="70"/>
      <c r="P81" s="70"/>
      <c r="Q81" s="70"/>
      <c r="R81" s="155"/>
      <c r="S81" s="155"/>
      <c r="T81" s="155"/>
      <c r="U81" s="155"/>
      <c r="V81" s="153"/>
      <c r="W81" s="156"/>
      <c r="X81" s="156" t="s">
        <v>100</v>
      </c>
      <c r="Y81" s="190">
        <f>J82</f>
        <v>12903.05</v>
      </c>
      <c r="Z81" s="72"/>
    </row>
    <row r="82" spans="1:26" ht="18.75" customHeight="1" x14ac:dyDescent="0.25">
      <c r="A82" s="33"/>
      <c r="B82" s="33"/>
      <c r="C82" s="33"/>
      <c r="D82" s="33"/>
      <c r="E82" s="33"/>
      <c r="F82" s="33"/>
      <c r="G82" s="31"/>
      <c r="H82" s="34"/>
      <c r="I82" s="34" t="s">
        <v>100</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946" t="s">
        <v>101</v>
      </c>
      <c r="S83" s="946"/>
      <c r="T83" s="159"/>
      <c r="U83" s="159"/>
      <c r="V83" s="160">
        <f>G84</f>
        <v>58502790</v>
      </c>
      <c r="W83" s="162" t="s">
        <v>81</v>
      </c>
      <c r="X83" s="165">
        <f>IFERROR(ROUND(Y80/Y81,6),0)</f>
        <v>0</v>
      </c>
      <c r="Y83" s="212">
        <f>ROUND(V83*X83,2)</f>
        <v>0</v>
      </c>
      <c r="Z83" s="72"/>
    </row>
    <row r="84" spans="1:26" ht="21" customHeight="1" x14ac:dyDescent="0.25">
      <c r="A84" s="916" t="s">
        <v>101</v>
      </c>
      <c r="B84" s="916"/>
      <c r="C84" s="52"/>
      <c r="D84" s="52"/>
      <c r="G84" s="112">
        <f>Consolidated!F$106</f>
        <v>58502790</v>
      </c>
      <c r="H84" s="37" t="s">
        <v>81</v>
      </c>
      <c r="I84" s="41">
        <f>IFERROR(ROUND(J81/J82,6),0)</f>
        <v>1.4899999999999999E-4</v>
      </c>
      <c r="J84" s="62">
        <f>ROUND(G84*I84,2)</f>
        <v>8716.92</v>
      </c>
      <c r="K84" s="70"/>
      <c r="L84" s="70"/>
      <c r="M84" s="71"/>
      <c r="N84" s="70"/>
      <c r="O84" s="70"/>
      <c r="P84" s="70"/>
      <c r="Q84" s="70"/>
      <c r="R84" s="955" t="s">
        <v>167</v>
      </c>
      <c r="S84" s="955"/>
      <c r="T84" s="955"/>
      <c r="U84" s="158"/>
      <c r="V84" s="218"/>
      <c r="W84" s="162"/>
      <c r="X84" s="165"/>
      <c r="Y84" s="212"/>
    </row>
    <row r="85" spans="1:26" ht="17.25" customHeight="1" x14ac:dyDescent="0.25">
      <c r="A85" s="952" t="s">
        <v>102</v>
      </c>
      <c r="B85" s="952"/>
      <c r="C85" s="952"/>
      <c r="D85" s="952"/>
      <c r="E85" s="952"/>
      <c r="F85" s="36" t="s">
        <v>103</v>
      </c>
      <c r="G85" s="112">
        <f>Consolidated!F$108</f>
        <v>268816278</v>
      </c>
      <c r="H85" s="37" t="s">
        <v>81</v>
      </c>
      <c r="I85" s="41">
        <f>I57</f>
        <v>5.5099999999999995E-4</v>
      </c>
      <c r="J85" s="127">
        <f>ROUND(G85*I85,2)</f>
        <v>148117.76999999999</v>
      </c>
      <c r="K85" s="70"/>
      <c r="L85" s="70"/>
      <c r="M85" s="71"/>
      <c r="N85" s="70"/>
      <c r="O85" s="70"/>
      <c r="P85" s="70"/>
      <c r="Q85" s="70"/>
      <c r="R85" s="955" t="s">
        <v>168</v>
      </c>
      <c r="S85" s="955"/>
      <c r="T85" s="955"/>
      <c r="U85" s="158"/>
      <c r="V85" s="160">
        <f>G85</f>
        <v>268816278</v>
      </c>
      <c r="W85" s="162" t="s">
        <v>81</v>
      </c>
      <c r="X85" s="165">
        <f>X56</f>
        <v>0</v>
      </c>
      <c r="Y85" s="212">
        <f t="shared" ref="Y85:Y87" si="12">ROUND(V85*X85,2)</f>
        <v>0</v>
      </c>
    </row>
    <row r="86" spans="1:26" ht="14.25" customHeight="1" x14ac:dyDescent="0.25">
      <c r="A86" s="952" t="s">
        <v>104</v>
      </c>
      <c r="B86" s="952"/>
      <c r="C86" s="952"/>
      <c r="D86" s="952"/>
      <c r="E86" s="952"/>
      <c r="F86" s="36" t="s">
        <v>103</v>
      </c>
      <c r="G86" s="128">
        <v>0</v>
      </c>
      <c r="H86" s="37" t="s">
        <v>81</v>
      </c>
      <c r="I86" s="41">
        <f>I57</f>
        <v>5.5099999999999995E-4</v>
      </c>
      <c r="J86" s="127">
        <f>ROUND(G86*I86,2)</f>
        <v>0</v>
      </c>
      <c r="K86" s="70"/>
      <c r="L86" s="71"/>
      <c r="M86" s="76"/>
      <c r="N86" s="76"/>
      <c r="O86" s="76"/>
      <c r="P86" s="76"/>
      <c r="Q86" s="70"/>
      <c r="R86" s="955" t="s">
        <v>169</v>
      </c>
      <c r="S86" s="955"/>
      <c r="T86" s="955"/>
      <c r="U86" s="158"/>
      <c r="V86" s="192">
        <f>G86</f>
        <v>0</v>
      </c>
      <c r="W86" s="162" t="s">
        <v>81</v>
      </c>
      <c r="X86" s="165">
        <f>X56</f>
        <v>0</v>
      </c>
      <c r="Y86" s="212">
        <f t="shared" si="12"/>
        <v>0</v>
      </c>
    </row>
    <row r="87" spans="1:26" ht="18" customHeight="1" x14ac:dyDescent="0.25">
      <c r="A87" s="952" t="s">
        <v>105</v>
      </c>
      <c r="B87" s="952"/>
      <c r="C87" s="952"/>
      <c r="D87" s="952"/>
      <c r="E87" s="952"/>
      <c r="F87" s="36" t="s">
        <v>84</v>
      </c>
      <c r="G87" s="128">
        <v>0</v>
      </c>
      <c r="H87" s="37" t="s">
        <v>81</v>
      </c>
      <c r="I87" s="41">
        <f>I54</f>
        <v>5.8500000000000002E-4</v>
      </c>
      <c r="J87" s="62">
        <f>ROUND(G87*I87,2)</f>
        <v>0</v>
      </c>
      <c r="K87" s="77"/>
      <c r="L87" s="70"/>
      <c r="M87" s="71"/>
      <c r="N87" s="70"/>
      <c r="O87" s="70"/>
      <c r="P87" s="70"/>
      <c r="Q87" s="70"/>
      <c r="R87" s="166" t="s">
        <v>170</v>
      </c>
      <c r="S87" s="166"/>
      <c r="T87" s="166"/>
      <c r="U87" s="158"/>
      <c r="V87" s="192">
        <f>G87</f>
        <v>0</v>
      </c>
      <c r="W87" s="162"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33" t="s">
        <v>110</v>
      </c>
      <c r="B90" s="80">
        <f>I12+I13+I18+I21+I24</f>
        <v>0</v>
      </c>
      <c r="C90" s="80"/>
      <c r="D90" s="921">
        <f>I6</f>
        <v>1.0355000000000001</v>
      </c>
      <c r="E90" s="921"/>
      <c r="F90" s="921"/>
      <c r="G90" s="113">
        <f>Consolidated!F$118</f>
        <v>958.42</v>
      </c>
      <c r="H90" s="47" t="s">
        <v>68</v>
      </c>
      <c r="I90" s="130">
        <f>ROUND(B90*D90*G90,2)</f>
        <v>0</v>
      </c>
      <c r="J90" s="81"/>
      <c r="K90" s="70"/>
      <c r="L90" s="70"/>
      <c r="M90" s="71"/>
      <c r="N90" s="70"/>
      <c r="O90" s="70"/>
      <c r="P90" s="70"/>
      <c r="Q90" s="70"/>
      <c r="R90" s="155" t="s">
        <v>110</v>
      </c>
      <c r="S90" s="193">
        <f>X12+X13+X18+X21+X24</f>
        <v>0</v>
      </c>
      <c r="T90" s="984">
        <f>X6</f>
        <v>1.0355000000000001</v>
      </c>
      <c r="U90" s="984"/>
      <c r="V90" s="113">
        <f>G90</f>
        <v>958.42</v>
      </c>
      <c r="W90" s="171" t="s">
        <v>68</v>
      </c>
      <c r="X90" s="216">
        <f>ROUND(S90*T90*V90,2)</f>
        <v>0</v>
      </c>
      <c r="Y90" s="194"/>
    </row>
    <row r="91" spans="1:26" ht="21" customHeight="1" x14ac:dyDescent="0.25">
      <c r="A91" s="82" t="s">
        <v>60</v>
      </c>
      <c r="B91" s="80">
        <f>I14+I15+I19+I22+I25</f>
        <v>0</v>
      </c>
      <c r="C91" s="80"/>
      <c r="D91" s="921">
        <f>I6</f>
        <v>1.0355000000000001</v>
      </c>
      <c r="E91" s="921"/>
      <c r="F91" s="921"/>
      <c r="G91" s="113">
        <f>Consolidated!F$119</f>
        <v>915.09</v>
      </c>
      <c r="H91" s="47" t="s">
        <v>68</v>
      </c>
      <c r="I91" s="129">
        <f>ROUND(B91*D91*G91,2)</f>
        <v>0</v>
      </c>
      <c r="K91" s="70"/>
      <c r="L91" s="70"/>
      <c r="M91" s="71"/>
      <c r="N91" s="70"/>
      <c r="O91" s="70"/>
      <c r="P91" s="70"/>
      <c r="Q91" s="70"/>
      <c r="R91" s="195" t="s">
        <v>60</v>
      </c>
      <c r="S91" s="193">
        <f>X14+X15+X19+X22+X25</f>
        <v>0</v>
      </c>
      <c r="T91" s="984">
        <f>X6</f>
        <v>1.0355000000000001</v>
      </c>
      <c r="U91" s="984"/>
      <c r="V91" s="113">
        <f>G91</f>
        <v>915.09</v>
      </c>
      <c r="W91" s="171" t="s">
        <v>68</v>
      </c>
      <c r="X91" s="216">
        <f>ROUND(S91*T91*V91,2)</f>
        <v>0</v>
      </c>
      <c r="Y91" s="159"/>
    </row>
    <row r="92" spans="1:26" ht="19.5" customHeight="1" thickBot="1" x14ac:dyDescent="0.3">
      <c r="A92" s="83" t="s">
        <v>61</v>
      </c>
      <c r="B92" s="80">
        <f>I16+I17+I20+I23+I26+I27</f>
        <v>121.81180000000001</v>
      </c>
      <c r="C92" s="80"/>
      <c r="D92" s="921">
        <f>I6</f>
        <v>1.0355000000000001</v>
      </c>
      <c r="E92" s="921"/>
      <c r="F92" s="921"/>
      <c r="G92" s="113">
        <f>Consolidated!F$120</f>
        <v>917.3</v>
      </c>
      <c r="H92" s="47" t="s">
        <v>68</v>
      </c>
      <c r="I92" s="537">
        <f>ROUND(B92*D92*G92,2)</f>
        <v>115704.66</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84" t="s">
        <v>111</v>
      </c>
      <c r="B93" s="80">
        <f>SUM(B90:B92)</f>
        <v>121.81180000000001</v>
      </c>
      <c r="C93" s="80"/>
      <c r="D93" s="80"/>
      <c r="E93" s="999" t="s">
        <v>112</v>
      </c>
      <c r="F93" s="999"/>
      <c r="G93" s="999"/>
      <c r="H93" s="999"/>
      <c r="I93" s="999"/>
      <c r="J93" s="116">
        <f>IF(A1=75,0,I92+I91+I90)</f>
        <v>115704.66</v>
      </c>
      <c r="K93" s="70"/>
      <c r="L93" s="70"/>
      <c r="M93" s="71"/>
      <c r="N93" s="70"/>
      <c r="O93" s="70"/>
      <c r="P93" s="70"/>
      <c r="Q93" s="70"/>
      <c r="R93" s="198"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36" t="s">
        <v>115</v>
      </c>
      <c r="G95" s="1001"/>
      <c r="H95" s="1001"/>
      <c r="I95" s="1001"/>
      <c r="J95" s="1001"/>
      <c r="K95" s="70"/>
      <c r="L95" s="70"/>
      <c r="M95" s="71"/>
      <c r="N95" s="70"/>
      <c r="O95" s="70"/>
      <c r="P95" s="70"/>
      <c r="Q95" s="70"/>
      <c r="R95" s="955" t="s">
        <v>173</v>
      </c>
      <c r="S95" s="955"/>
      <c r="T95" s="955"/>
      <c r="U95" s="158"/>
      <c r="V95" s="988"/>
      <c r="W95" s="988"/>
      <c r="X95" s="988"/>
      <c r="Y95" s="988"/>
    </row>
    <row r="96" spans="1:26" ht="15" customHeight="1" x14ac:dyDescent="0.25">
      <c r="B96" s="42"/>
      <c r="C96" s="114" t="s">
        <v>634</v>
      </c>
      <c r="D96" s="114" t="s">
        <v>635</v>
      </c>
      <c r="E96" s="924" t="s">
        <v>157</v>
      </c>
      <c r="F96" s="924"/>
      <c r="G96" s="924"/>
      <c r="H96" s="36"/>
      <c r="I96" s="36"/>
      <c r="J96" s="36"/>
      <c r="K96" s="70"/>
      <c r="L96" s="70"/>
      <c r="M96" s="71"/>
      <c r="N96" s="70"/>
      <c r="O96" s="70"/>
      <c r="P96" s="70"/>
      <c r="Q96" s="70"/>
      <c r="R96" s="989" t="s">
        <v>116</v>
      </c>
      <c r="S96" s="989"/>
      <c r="T96" s="990">
        <f>IF(I111=1,E97,0)</f>
        <v>0</v>
      </c>
      <c r="U96" s="990"/>
      <c r="V96" s="990"/>
      <c r="W96" s="200" t="s">
        <v>117</v>
      </c>
      <c r="X96" s="201">
        <f>I97</f>
        <v>578</v>
      </c>
      <c r="Y96" s="212">
        <f>ROUND(X96*T96,2)</f>
        <v>0</v>
      </c>
    </row>
    <row r="97" spans="1:25" ht="17.25" customHeight="1" x14ac:dyDescent="0.25">
      <c r="A97" s="970" t="s">
        <v>116</v>
      </c>
      <c r="B97" s="970"/>
      <c r="C97" s="800">
        <v>0</v>
      </c>
      <c r="D97" s="800">
        <v>1</v>
      </c>
      <c r="E97" s="1044">
        <f>IF(D97&gt;0,(C97+D97)/2,C97)</f>
        <v>0.5</v>
      </c>
      <c r="F97" s="922"/>
      <c r="G97" s="922"/>
      <c r="H97" s="85" t="s">
        <v>117</v>
      </c>
      <c r="I97" s="119">
        <f>Consolidated!G$127</f>
        <v>578</v>
      </c>
      <c r="J97" s="127">
        <f>ROUND(I97*E97,2)</f>
        <v>289</v>
      </c>
      <c r="K97" s="70"/>
      <c r="L97" s="70"/>
      <c r="M97" s="71"/>
      <c r="N97" s="70"/>
      <c r="O97" s="70"/>
      <c r="P97" s="70"/>
      <c r="Q97" s="70"/>
      <c r="R97" s="989" t="s">
        <v>118</v>
      </c>
      <c r="S97" s="989"/>
      <c r="T97" s="990">
        <f>IF(I112=1,E98,0)</f>
        <v>0</v>
      </c>
      <c r="U97" s="990"/>
      <c r="V97" s="990"/>
      <c r="W97" s="200" t="s">
        <v>117</v>
      </c>
      <c r="X97" s="201">
        <f>I98</f>
        <v>1794</v>
      </c>
      <c r="Y97" s="212">
        <f>ROUND(X97*T97,2)</f>
        <v>0</v>
      </c>
    </row>
    <row r="98" spans="1:25" ht="17.25" customHeight="1" x14ac:dyDescent="0.25">
      <c r="A98" s="970" t="s">
        <v>118</v>
      </c>
      <c r="B98" s="970"/>
      <c r="C98" s="223">
        <v>0</v>
      </c>
      <c r="D98" s="223">
        <v>0</v>
      </c>
      <c r="E98" s="1049">
        <f>(C98+D98)/2</f>
        <v>0</v>
      </c>
      <c r="F98" s="1049"/>
      <c r="G98" s="1049"/>
      <c r="H98" s="85" t="s">
        <v>117</v>
      </c>
      <c r="I98" s="119">
        <f>Consolidated!G$128</f>
        <v>1794</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952" t="s">
        <v>119</v>
      </c>
      <c r="B100" s="952"/>
      <c r="C100" s="952"/>
      <c r="D100" s="952"/>
      <c r="E100" s="952"/>
      <c r="F100" s="37" t="s">
        <v>120</v>
      </c>
      <c r="G100" s="920"/>
      <c r="H100" s="920"/>
      <c r="I100" s="920"/>
      <c r="J100" s="920"/>
      <c r="K100" s="70"/>
      <c r="L100" s="70"/>
      <c r="M100" s="71"/>
      <c r="N100" s="70"/>
      <c r="O100" s="70"/>
      <c r="P100" s="70"/>
      <c r="Q100" s="70"/>
      <c r="R100" s="955" t="s">
        <v>174</v>
      </c>
      <c r="S100" s="955"/>
      <c r="T100" s="955"/>
      <c r="U100" s="162"/>
      <c r="V100" s="928"/>
      <c r="W100" s="928"/>
      <c r="X100" s="928"/>
      <c r="Y100" s="928"/>
    </row>
    <row r="101" spans="1:25" ht="44.25" customHeight="1" x14ac:dyDescent="0.25">
      <c r="A101" s="1008" t="s">
        <v>121</v>
      </c>
      <c r="B101" s="1008"/>
      <c r="C101" s="87"/>
      <c r="D101" s="922" t="s">
        <v>122</v>
      </c>
      <c r="E101" s="922"/>
      <c r="F101" s="922"/>
      <c r="G101" s="1009" t="s">
        <v>123</v>
      </c>
      <c r="H101" s="1009"/>
      <c r="I101" s="45" t="s">
        <v>124</v>
      </c>
      <c r="J101" s="87" t="s">
        <v>125</v>
      </c>
      <c r="K101" s="70"/>
      <c r="L101" s="70"/>
      <c r="M101" s="70"/>
      <c r="N101" s="70"/>
      <c r="O101" s="70"/>
      <c r="P101" s="70"/>
      <c r="Q101" s="70"/>
      <c r="R101" s="996" t="s">
        <v>121</v>
      </c>
      <c r="S101" s="996"/>
      <c r="T101" s="997" t="s">
        <v>122</v>
      </c>
      <c r="U101" s="997"/>
      <c r="V101" s="998" t="s">
        <v>123</v>
      </c>
      <c r="W101" s="998"/>
      <c r="X101" s="169" t="s">
        <v>124</v>
      </c>
      <c r="Y101" s="202" t="s">
        <v>125</v>
      </c>
    </row>
    <row r="102" spans="1:25" ht="16.5" customHeight="1" x14ac:dyDescent="0.25">
      <c r="A102" s="916" t="s">
        <v>126</v>
      </c>
      <c r="B102" s="916"/>
      <c r="C102" s="52"/>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52"/>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103"/>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37"/>
      <c r="D105" s="37"/>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92" t="s">
        <v>130</v>
      </c>
      <c r="G106" s="974"/>
      <c r="H106" s="974"/>
      <c r="I106" s="974"/>
      <c r="J106" s="93"/>
      <c r="K106" s="94"/>
      <c r="L106" s="94"/>
      <c r="M106" s="94"/>
      <c r="N106" s="94"/>
      <c r="O106" s="94"/>
      <c r="P106" s="94"/>
      <c r="Q106" s="94"/>
      <c r="R106" s="955" t="s">
        <v>175</v>
      </c>
      <c r="S106" s="955"/>
      <c r="T106" s="955"/>
      <c r="U106" s="207"/>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1077855.8699999999</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1036732.5799999998</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544"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v>0</v>
      </c>
      <c r="J111" s="126">
        <f>Y109</f>
        <v>0</v>
      </c>
      <c r="R111" s="1011" t="s">
        <v>177</v>
      </c>
      <c r="S111" s="1011"/>
      <c r="T111" s="1011"/>
      <c r="U111" s="1011"/>
      <c r="V111" s="1011"/>
      <c r="W111" s="1011"/>
      <c r="X111" s="1011"/>
      <c r="Y111" s="1011"/>
    </row>
    <row r="112" spans="1:25" ht="15.75" customHeight="1" x14ac:dyDescent="0.25">
      <c r="A112" s="51"/>
      <c r="B112" s="51"/>
      <c r="C112" s="51"/>
      <c r="D112" s="51"/>
      <c r="E112" s="51"/>
      <c r="F112" s="51"/>
      <c r="G112" s="51"/>
      <c r="H112" s="51"/>
      <c r="I112" s="90"/>
      <c r="J112" s="72"/>
      <c r="R112" s="1012" t="s">
        <v>178</v>
      </c>
      <c r="S112" s="1012"/>
      <c r="T112" s="1012"/>
      <c r="U112" s="1012"/>
      <c r="V112" s="1012"/>
      <c r="W112" s="1012"/>
      <c r="X112" s="1012"/>
      <c r="Y112" s="1012"/>
    </row>
    <row r="113" spans="1:26" ht="16.5" customHeight="1" x14ac:dyDescent="0.25">
      <c r="A113" s="51"/>
      <c r="B113" s="51"/>
      <c r="C113" s="51"/>
      <c r="D113" s="51"/>
      <c r="E113" s="51"/>
      <c r="F113" s="51"/>
      <c r="G113" s="51"/>
      <c r="H113" s="232"/>
      <c r="I113" s="51"/>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I114" s="233">
        <f>IF(I111=1,J111,J109)</f>
        <v>1036732.5799999998</v>
      </c>
      <c r="J114" s="234">
        <f>ROUND(IF(E28=0,0,IF(E28&gt;250,-(((250/E28)*I114)*IF(H113="H",0.02,0.05)),IF(H113="H",-0.02*I114,-0.05*I114))),2)</f>
        <v>-51836.63</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1026019.2399999999</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Payments'!R123</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1026019.2399999999</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85501.6</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98" t="s">
        <v>146</v>
      </c>
      <c r="B138" s="98"/>
      <c r="C138" s="98"/>
      <c r="D138" s="98"/>
      <c r="E138" s="98"/>
      <c r="F138" s="98"/>
      <c r="G138" s="98"/>
      <c r="H138" s="98"/>
      <c r="I138" s="98"/>
      <c r="J138" s="98"/>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09666-6636-4621-ACE0-E7DEC34887ED}">
  <sheetPr>
    <tabColor theme="0" tint="-0.34998626667073579"/>
  </sheetPr>
  <dimension ref="A1:Z207"/>
  <sheetViews>
    <sheetView topLeftCell="A11" workbookViewId="0">
      <selection activeCell="A28" sqref="A28:B28"/>
    </sheetView>
  </sheetViews>
  <sheetFormatPr defaultRowHeight="15.75" x14ac:dyDescent="0.25"/>
  <cols>
    <col min="1" max="1" width="13" style="774"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29" t="s">
        <v>0</v>
      </c>
      <c r="C1" s="1030"/>
      <c r="D1" s="1030"/>
      <c r="E1" s="1030"/>
      <c r="F1" s="1030"/>
      <c r="G1" s="1030"/>
      <c r="H1" s="1030"/>
      <c r="I1" s="1030"/>
      <c r="J1" s="1030"/>
      <c r="L1" s="3"/>
      <c r="M1" s="2"/>
      <c r="Q1" s="4"/>
      <c r="R1" s="131">
        <v>50</v>
      </c>
      <c r="S1" s="925" t="s">
        <v>0</v>
      </c>
      <c r="T1" s="926"/>
      <c r="U1" s="926"/>
      <c r="V1" s="926"/>
      <c r="W1" s="926"/>
      <c r="X1" s="926"/>
      <c r="Y1" s="926"/>
    </row>
    <row r="2" spans="1:25" ht="21.75" customHeight="1" x14ac:dyDescent="0.3">
      <c r="A2" s="731" t="s">
        <v>660</v>
      </c>
      <c r="B2" s="101"/>
      <c r="C2" s="101"/>
      <c r="D2" s="101"/>
      <c r="E2" s="6"/>
      <c r="F2" s="6"/>
      <c r="G2" s="6"/>
      <c r="H2" s="6"/>
      <c r="I2" s="706" t="str">
        <f>RIGHT(A2,4)</f>
        <v>4141</v>
      </c>
      <c r="J2" s="6"/>
      <c r="K2" s="6"/>
      <c r="L2" s="6"/>
      <c r="M2" s="6"/>
      <c r="N2" s="6"/>
      <c r="O2" s="6"/>
      <c r="P2" s="6"/>
      <c r="Q2" s="6"/>
      <c r="R2" s="927" t="str">
        <f>Revenue_Estimate_Worksheet_for___________Charter_School</f>
        <v>Revenue Estimate Worksheet: Next Academy - 4141</v>
      </c>
      <c r="S2" s="927"/>
      <c r="T2" s="927"/>
      <c r="U2" s="927"/>
      <c r="V2" s="927"/>
      <c r="W2" s="927"/>
      <c r="X2" s="927"/>
      <c r="Y2" s="927"/>
    </row>
    <row r="3" spans="1:25" ht="18.75" x14ac:dyDescent="0.3">
      <c r="A3" s="882" t="s">
        <v>637</v>
      </c>
      <c r="B3" s="882"/>
      <c r="C3" s="882"/>
      <c r="D3" s="882"/>
      <c r="E3" s="882"/>
      <c r="F3" s="882"/>
      <c r="G3" s="882"/>
      <c r="H3" s="882"/>
      <c r="I3" s="882"/>
      <c r="J3" s="882"/>
      <c r="K3" s="7"/>
      <c r="L3" s="7"/>
      <c r="M3" s="7"/>
      <c r="N3" s="7"/>
      <c r="O3" s="7"/>
      <c r="P3" s="7"/>
      <c r="Q3" s="7"/>
      <c r="R3" s="928" t="s">
        <v>1</v>
      </c>
      <c r="S3" s="928"/>
      <c r="T3" s="928"/>
      <c r="U3" s="928"/>
      <c r="V3" s="928"/>
      <c r="W3" s="928"/>
      <c r="X3" s="928"/>
      <c r="Y3" s="928"/>
    </row>
    <row r="4" spans="1:25" ht="18.75" customHeight="1" x14ac:dyDescent="0.25">
      <c r="A4" s="1031" t="s">
        <v>2</v>
      </c>
      <c r="B4" s="1031"/>
      <c r="C4" s="796"/>
      <c r="D4" s="211" t="s">
        <v>179</v>
      </c>
      <c r="E4" s="211"/>
      <c r="H4" s="225">
        <f>Consolidated!H4</f>
        <v>46204</v>
      </c>
      <c r="I4" s="226"/>
      <c r="J4" s="8"/>
      <c r="K4" s="4"/>
      <c r="L4" s="4"/>
      <c r="M4" s="4"/>
      <c r="N4" s="4"/>
      <c r="O4" s="4"/>
      <c r="P4" s="4"/>
      <c r="Q4" s="4"/>
      <c r="R4" s="929" t="s">
        <v>2</v>
      </c>
      <c r="S4" s="929"/>
      <c r="T4" s="930" t="s">
        <v>179</v>
      </c>
      <c r="U4" s="930"/>
      <c r="V4" s="132"/>
      <c r="W4" s="132"/>
      <c r="X4" s="132"/>
      <c r="Y4" s="132"/>
    </row>
    <row r="5" spans="1:25" ht="21" customHeight="1" x14ac:dyDescent="0.25">
      <c r="A5" s="1032" t="s">
        <v>3</v>
      </c>
      <c r="B5" s="1032"/>
      <c r="C5" s="1032"/>
      <c r="D5" s="1032"/>
      <c r="E5" s="1032"/>
      <c r="F5" s="1032"/>
      <c r="G5" s="1032"/>
      <c r="H5" s="1032"/>
      <c r="I5" s="1032"/>
      <c r="J5" s="1032"/>
      <c r="K5" s="4"/>
      <c r="L5" s="4"/>
      <c r="M5" s="4"/>
      <c r="N5" s="4"/>
      <c r="O5" s="4"/>
      <c r="P5" s="4"/>
      <c r="Q5" s="4"/>
      <c r="R5" s="931" t="s">
        <v>3</v>
      </c>
      <c r="S5" s="931"/>
      <c r="T5" s="931"/>
      <c r="U5" s="931"/>
      <c r="V5" s="931"/>
      <c r="W5" s="931"/>
      <c r="X5" s="931"/>
      <c r="Y5" s="931"/>
    </row>
    <row r="6" spans="1:25" ht="18" customHeight="1" x14ac:dyDescent="0.25">
      <c r="A6" s="1038" t="s">
        <v>4</v>
      </c>
      <c r="B6" s="1038"/>
      <c r="C6" s="797"/>
      <c r="D6" s="797"/>
      <c r="E6" s="1039">
        <f>Consolidated!$C$8</f>
        <v>5372.6</v>
      </c>
      <c r="F6" s="1039"/>
      <c r="G6" s="1040" t="s">
        <v>5</v>
      </c>
      <c r="H6" s="1040"/>
      <c r="I6" s="227">
        <f>Consolidated!$H$8</f>
        <v>1.0355000000000001</v>
      </c>
      <c r="J6" s="102"/>
      <c r="L6" s="56"/>
      <c r="M6" s="2"/>
      <c r="R6" s="932" t="s">
        <v>4</v>
      </c>
      <c r="S6" s="932"/>
      <c r="T6" s="933">
        <f>E6</f>
        <v>5372.6</v>
      </c>
      <c r="U6" s="933"/>
      <c r="V6" s="934" t="s">
        <v>5</v>
      </c>
      <c r="W6" s="934"/>
      <c r="X6" s="935">
        <v>1.0355000000000001</v>
      </c>
      <c r="Y6" s="935"/>
    </row>
    <row r="7" spans="1:25" ht="18" customHeight="1" x14ac:dyDescent="0.25">
      <c r="A7" s="797"/>
      <c r="B7" s="797"/>
      <c r="C7" s="797"/>
      <c r="D7" s="797"/>
      <c r="E7" s="10"/>
      <c r="F7" s="10"/>
      <c r="G7" s="798" t="s">
        <v>6</v>
      </c>
      <c r="H7" s="798"/>
      <c r="I7" s="227">
        <f>Consolidated!$H$9</f>
        <v>1</v>
      </c>
      <c r="J7" s="12"/>
      <c r="M7" s="2"/>
      <c r="O7" s="2" t="str">
        <f>IF(AND(C13&gt;=C15, C13&gt;=C17), "E", "-")</f>
        <v>E</v>
      </c>
      <c r="R7" s="767"/>
      <c r="S7" s="767"/>
      <c r="T7" s="768"/>
      <c r="U7" s="768"/>
      <c r="V7" s="769" t="s">
        <v>6</v>
      </c>
      <c r="W7" s="769"/>
      <c r="X7" s="770">
        <v>1</v>
      </c>
      <c r="Y7" s="770"/>
    </row>
    <row r="8" spans="1:25" ht="18" customHeight="1" x14ac:dyDescent="0.25">
      <c r="A8" s="797"/>
      <c r="B8" s="797"/>
      <c r="C8" s="797"/>
      <c r="D8" s="797"/>
      <c r="E8" s="13"/>
      <c r="F8" s="13"/>
      <c r="G8" s="14"/>
      <c r="H8" s="14"/>
      <c r="I8" s="15"/>
      <c r="J8" s="16" t="s">
        <v>7</v>
      </c>
      <c r="M8" s="2"/>
      <c r="O8" s="2" t="str">
        <f>IF(AND(C15&gt;C17, C15&gt;C13), "M", "-")</f>
        <v>-</v>
      </c>
      <c r="R8" s="767"/>
      <c r="S8" s="767"/>
      <c r="T8" s="137"/>
      <c r="U8" s="137"/>
      <c r="V8" s="138"/>
      <c r="W8" s="138"/>
      <c r="X8" s="139"/>
      <c r="Y8" s="140" t="s">
        <v>7</v>
      </c>
    </row>
    <row r="9" spans="1:25" ht="15.75" customHeight="1" x14ac:dyDescent="0.25">
      <c r="A9" s="797"/>
      <c r="B9" s="797"/>
      <c r="C9" s="107" t="str">
        <f>Consolidated!C$11</f>
        <v>Oct 2025</v>
      </c>
      <c r="D9" s="108" t="str">
        <f>Consolidated!D$11</f>
        <v>Feb 2026</v>
      </c>
      <c r="E9" s="13"/>
      <c r="F9" s="13"/>
      <c r="G9" s="1041" t="s">
        <v>8</v>
      </c>
      <c r="H9" s="1041"/>
      <c r="I9" s="15" t="s">
        <v>9</v>
      </c>
      <c r="J9" s="16" t="s">
        <v>10</v>
      </c>
      <c r="M9" s="2"/>
      <c r="O9" s="2" t="str">
        <f>IF(AND(C17&gt;C15, C17&gt;C13), "H", "-")</f>
        <v>-</v>
      </c>
      <c r="R9" s="767"/>
      <c r="S9" s="767"/>
      <c r="T9" s="137"/>
      <c r="U9" s="137"/>
      <c r="V9" s="936" t="s">
        <v>8</v>
      </c>
      <c r="W9" s="936"/>
      <c r="X9" s="139" t="s">
        <v>9</v>
      </c>
      <c r="Y9" s="140" t="s">
        <v>10</v>
      </c>
    </row>
    <row r="10" spans="1:25" ht="15.75" customHeight="1" x14ac:dyDescent="0.25">
      <c r="A10" s="913" t="s">
        <v>8</v>
      </c>
      <c r="B10" s="913"/>
      <c r="C10" s="109" t="s">
        <v>54</v>
      </c>
      <c r="D10" s="109" t="s">
        <v>54</v>
      </c>
      <c r="E10" s="1042" t="s">
        <v>156</v>
      </c>
      <c r="F10" s="1042"/>
      <c r="G10" s="1043" t="s">
        <v>12</v>
      </c>
      <c r="H10" s="1043"/>
      <c r="I10" s="17" t="s">
        <v>13</v>
      </c>
      <c r="J10" s="18" t="s">
        <v>14</v>
      </c>
      <c r="M10" s="2"/>
      <c r="R10" s="937" t="s">
        <v>8</v>
      </c>
      <c r="S10" s="937"/>
      <c r="T10" s="938" t="s">
        <v>11</v>
      </c>
      <c r="U10" s="938"/>
      <c r="V10" s="939" t="s">
        <v>12</v>
      </c>
      <c r="W10" s="939"/>
      <c r="X10" s="141" t="s">
        <v>13</v>
      </c>
      <c r="Y10" s="142" t="s">
        <v>14</v>
      </c>
    </row>
    <row r="11" spans="1:25" ht="14.25" customHeight="1" x14ac:dyDescent="0.25">
      <c r="A11" s="1033" t="s">
        <v>15</v>
      </c>
      <c r="B11" s="1033"/>
      <c r="C11" s="110"/>
      <c r="D11" s="110"/>
      <c r="E11" s="1034" t="s">
        <v>16</v>
      </c>
      <c r="F11" s="1034"/>
      <c r="G11" s="1035" t="s">
        <v>17</v>
      </c>
      <c r="H11" s="1035"/>
      <c r="I11" s="19" t="s">
        <v>18</v>
      </c>
      <c r="J11" s="20" t="s">
        <v>19</v>
      </c>
      <c r="L11" s="21"/>
      <c r="M11" s="2"/>
      <c r="R11" s="940" t="s">
        <v>15</v>
      </c>
      <c r="S11" s="940"/>
      <c r="T11" s="941" t="s">
        <v>16</v>
      </c>
      <c r="U11" s="941"/>
      <c r="V11" s="942" t="s">
        <v>17</v>
      </c>
      <c r="W11" s="942"/>
      <c r="X11" s="143" t="s">
        <v>18</v>
      </c>
      <c r="Y11" s="144" t="s">
        <v>19</v>
      </c>
    </row>
    <row r="12" spans="1:25" x14ac:dyDescent="0.25">
      <c r="A12" s="1036" t="s">
        <v>20</v>
      </c>
      <c r="B12" s="1036"/>
      <c r="C12" s="392">
        <f>SUMIFS('Surv2-3'!D:D,'Surv2-3'!$A:$A,$I$2,'Surv2-3'!$B:$B,$O12)</f>
        <v>0</v>
      </c>
      <c r="D12" s="392">
        <f>SUMIFS('Surv2-3'!K:K,'Surv2-3'!$H:$H,$I$2,'Surv2-3'!$I:$I,$O12)</f>
        <v>0</v>
      </c>
      <c r="E12" s="1021">
        <f t="shared" ref="E12:E27" si="0">IF($D$28=0,C12*2,C12+D12)</f>
        <v>0</v>
      </c>
      <c r="F12" s="1021"/>
      <c r="G12" s="1037">
        <f>Consolidated!$F14</f>
        <v>1.1080000000000001</v>
      </c>
      <c r="H12" s="1037">
        <f>Consolidated!$H$9</f>
        <v>1</v>
      </c>
      <c r="I12" s="539">
        <f>ROUND(E12*G12,4)</f>
        <v>0</v>
      </c>
      <c r="J12" s="540">
        <f t="shared" ref="J12:J27" si="1">ROUND(ROUND(ROUND(I12*$E$6,4)*($I$6),2)*(MAX($I$7,1)),2)</f>
        <v>0</v>
      </c>
      <c r="L12" s="21"/>
      <c r="M12" s="2"/>
      <c r="O12" s="2" t="str">
        <f t="shared" ref="O12:O27" si="2">LEFT(R12,3)</f>
        <v>101</v>
      </c>
      <c r="R12" s="943" t="s">
        <v>20</v>
      </c>
      <c r="S12" s="943"/>
      <c r="T12" s="944">
        <f>IF($I$111=1,E12,0)</f>
        <v>0</v>
      </c>
      <c r="U12" s="944"/>
      <c r="V12" s="945">
        <v>1</v>
      </c>
      <c r="W12" s="945"/>
      <c r="X12" s="145">
        <f>ROUND(T12*V12,4)</f>
        <v>0</v>
      </c>
      <c r="Y12" s="212">
        <f>ROUND(ROUND(ROUND(X12*$E$6,4)*($I$6),2)*(MAX($I$7,1)),2)</f>
        <v>0</v>
      </c>
    </row>
    <row r="13" spans="1:25" x14ac:dyDescent="0.25">
      <c r="A13" s="916" t="s">
        <v>21</v>
      </c>
      <c r="B13" s="916"/>
      <c r="C13" s="392">
        <f>SUMIFS('Surv2-3'!D:D,'Surv2-3'!$A:$A,$I$2,'Surv2-3'!$B:$B,$O13)</f>
        <v>0</v>
      </c>
      <c r="D13" s="392">
        <f>SUMIFS('Surv2-3'!K:K,'Surv2-3'!$H:$H,$I$2,'Surv2-3'!$I:$I,$O13)</f>
        <v>0</v>
      </c>
      <c r="E13" s="1020">
        <f t="shared" si="0"/>
        <v>0</v>
      </c>
      <c r="F13" s="1020"/>
      <c r="G13" s="1026">
        <f>Consolidated!$F15</f>
        <v>1.1080000000000001</v>
      </c>
      <c r="H13" s="1026">
        <f>Consolidated!$H$9</f>
        <v>1</v>
      </c>
      <c r="I13" s="539">
        <f t="shared" ref="I13:I27" si="3">ROUND(E13*G13,4)</f>
        <v>0</v>
      </c>
      <c r="J13" s="540">
        <f t="shared" si="1"/>
        <v>0</v>
      </c>
      <c r="L13" s="21"/>
      <c r="M13" s="2"/>
      <c r="O13" s="2" t="str">
        <f t="shared" si="2"/>
        <v>111</v>
      </c>
      <c r="R13" s="946" t="s">
        <v>21</v>
      </c>
      <c r="S13" s="946"/>
      <c r="T13" s="944">
        <f t="shared" ref="T13:T27" si="4">IF($I$111=1,E13,0)</f>
        <v>0</v>
      </c>
      <c r="U13" s="944"/>
      <c r="V13" s="950">
        <v>1</v>
      </c>
      <c r="W13" s="950"/>
      <c r="X13" s="145">
        <f t="shared" ref="X13:X27" si="5">ROUND(T13*V13,4)</f>
        <v>0</v>
      </c>
      <c r="Y13" s="212">
        <f t="shared" ref="Y13" si="6">ROUND(ROUND(ROUND(X13*$E$6,4)*($I$6),2)*(MAX($I$7,1)),2)</f>
        <v>0</v>
      </c>
    </row>
    <row r="14" spans="1:25" x14ac:dyDescent="0.25">
      <c r="A14" s="916" t="s">
        <v>22</v>
      </c>
      <c r="B14" s="916"/>
      <c r="C14" s="392">
        <f>SUMIFS('Surv2-3'!E:E,'Surv2-3'!$A:$A,$I$2,'Surv2-3'!$B:$B,$O14)</f>
        <v>0</v>
      </c>
      <c r="D14" s="392">
        <f>SUMIFS('Surv2-3'!L:L,'Surv2-3'!$H:$H,$I$2,'Surv2-3'!$I:$I,$O14)</f>
        <v>0</v>
      </c>
      <c r="E14" s="1020">
        <f t="shared" si="0"/>
        <v>0</v>
      </c>
      <c r="F14" s="1020"/>
      <c r="G14" s="1026">
        <f>Consolidated!$F16</f>
        <v>1</v>
      </c>
      <c r="H14" s="1026">
        <f>Consolidated!$H$9</f>
        <v>1</v>
      </c>
      <c r="I14" s="539">
        <f t="shared" si="3"/>
        <v>0</v>
      </c>
      <c r="J14" s="540">
        <f>ROUND(ROUND(ROUND(I14*$E$6,4)*($I$6),2)*(MAX($I$7,1)),2)</f>
        <v>0</v>
      </c>
      <c r="L14" s="21"/>
      <c r="M14" s="2"/>
      <c r="O14" s="2" t="str">
        <f t="shared" si="2"/>
        <v>102</v>
      </c>
      <c r="R14" s="946" t="s">
        <v>22</v>
      </c>
      <c r="S14" s="946"/>
      <c r="T14" s="944">
        <f t="shared" si="4"/>
        <v>0</v>
      </c>
      <c r="U14" s="944"/>
      <c r="V14" s="950">
        <v>1</v>
      </c>
      <c r="W14" s="950"/>
      <c r="X14" s="145">
        <f t="shared" si="5"/>
        <v>0</v>
      </c>
      <c r="Y14" s="212">
        <f>ROUND(ROUND(ROUND(X14*$E$6,4)*($I$6),2)*(MAX($I$7,1)),2)</f>
        <v>0</v>
      </c>
    </row>
    <row r="15" spans="1:25" x14ac:dyDescent="0.25">
      <c r="A15" s="916" t="s">
        <v>23</v>
      </c>
      <c r="B15" s="916"/>
      <c r="C15" s="392">
        <f>SUMIFS('Surv2-3'!E:E,'Surv2-3'!$A:$A,$I$2,'Surv2-3'!$B:$B,$O15)</f>
        <v>0</v>
      </c>
      <c r="D15" s="392">
        <f>SUMIFS('Surv2-3'!L:L,'Surv2-3'!$H:$H,$I$2,'Surv2-3'!$I:$I,$O15)</f>
        <v>0</v>
      </c>
      <c r="E15" s="1020">
        <f t="shared" si="0"/>
        <v>0</v>
      </c>
      <c r="F15" s="1020"/>
      <c r="G15" s="1026">
        <f>Consolidated!$F17</f>
        <v>1</v>
      </c>
      <c r="H15" s="1026">
        <f>Consolidated!$H$9</f>
        <v>1</v>
      </c>
      <c r="I15" s="539">
        <f t="shared" si="3"/>
        <v>0</v>
      </c>
      <c r="J15" s="540">
        <f t="shared" si="1"/>
        <v>0</v>
      </c>
      <c r="M15" s="2"/>
      <c r="O15" s="2" t="str">
        <f t="shared" si="2"/>
        <v>112</v>
      </c>
      <c r="R15" s="946" t="s">
        <v>23</v>
      </c>
      <c r="S15" s="946"/>
      <c r="T15" s="944">
        <f t="shared" si="4"/>
        <v>0</v>
      </c>
      <c r="U15" s="944"/>
      <c r="V15" s="950">
        <v>1</v>
      </c>
      <c r="W15" s="950"/>
      <c r="X15" s="145">
        <f t="shared" si="5"/>
        <v>0</v>
      </c>
      <c r="Y15" s="212">
        <f t="shared" ref="Y15:Y27" si="7">ROUND(ROUND(ROUND(X15*$E$6,4)*($I$6),2)*(MAX($I$7,1)),2)</f>
        <v>0</v>
      </c>
    </row>
    <row r="16" spans="1:25" x14ac:dyDescent="0.25">
      <c r="A16" s="916" t="s">
        <v>24</v>
      </c>
      <c r="B16" s="916"/>
      <c r="C16" s="392">
        <f>SUMIFS('Surv2-3'!F:F,'Surv2-3'!$A:$A,$I$2,'Surv2-3'!$B:$B,$O16)</f>
        <v>0</v>
      </c>
      <c r="D16" s="392">
        <f>SUMIFS('Surv2-3'!M:M,'Surv2-3'!$H:$H,$I$2,'Surv2-3'!$I:$I,$O16)</f>
        <v>0</v>
      </c>
      <c r="E16" s="1020">
        <f t="shared" si="0"/>
        <v>0</v>
      </c>
      <c r="F16" s="1020"/>
      <c r="G16" s="1026">
        <f>Consolidated!$F18</f>
        <v>0.97199999999999998</v>
      </c>
      <c r="H16" s="1026">
        <f>Consolidated!$H$9</f>
        <v>1</v>
      </c>
      <c r="I16" s="539">
        <f t="shared" si="3"/>
        <v>0</v>
      </c>
      <c r="J16" s="540">
        <f t="shared" si="1"/>
        <v>0</v>
      </c>
      <c r="M16" s="2"/>
      <c r="O16" s="2" t="str">
        <f t="shared" si="2"/>
        <v>103</v>
      </c>
      <c r="R16" s="946" t="s">
        <v>24</v>
      </c>
      <c r="S16" s="946"/>
      <c r="T16" s="944">
        <f t="shared" si="4"/>
        <v>0</v>
      </c>
      <c r="U16" s="944"/>
      <c r="V16" s="950">
        <v>1</v>
      </c>
      <c r="W16" s="950"/>
      <c r="X16" s="145">
        <f t="shared" si="5"/>
        <v>0</v>
      </c>
      <c r="Y16" s="212">
        <f t="shared" si="7"/>
        <v>0</v>
      </c>
    </row>
    <row r="17" spans="1:25" x14ac:dyDescent="0.25">
      <c r="A17" s="916" t="s">
        <v>25</v>
      </c>
      <c r="B17" s="916"/>
      <c r="C17" s="392">
        <f>SUMIFS('Surv2-3'!F:F,'Surv2-3'!$A:$A,$I$2,'Surv2-3'!$B:$B,$O17)</f>
        <v>0</v>
      </c>
      <c r="D17" s="392">
        <f>SUMIFS('Surv2-3'!M:M,'Surv2-3'!$H:$H,$I$2,'Surv2-3'!$I:$I,$O17)</f>
        <v>0</v>
      </c>
      <c r="E17" s="1020">
        <f t="shared" si="0"/>
        <v>0</v>
      </c>
      <c r="F17" s="1020"/>
      <c r="G17" s="1026">
        <f>Consolidated!$F19</f>
        <v>0.97199999999999998</v>
      </c>
      <c r="H17" s="1026">
        <f>Consolidated!$H$9</f>
        <v>1</v>
      </c>
      <c r="I17" s="539">
        <f t="shared" si="3"/>
        <v>0</v>
      </c>
      <c r="J17" s="540">
        <f t="shared" si="1"/>
        <v>0</v>
      </c>
      <c r="M17" s="2"/>
      <c r="O17" s="2" t="str">
        <f t="shared" si="2"/>
        <v>113</v>
      </c>
      <c r="R17" s="946" t="s">
        <v>25</v>
      </c>
      <c r="S17" s="946"/>
      <c r="T17" s="944">
        <f t="shared" si="4"/>
        <v>0</v>
      </c>
      <c r="U17" s="944"/>
      <c r="V17" s="950">
        <v>1</v>
      </c>
      <c r="W17" s="950"/>
      <c r="X17" s="145">
        <f t="shared" si="5"/>
        <v>0</v>
      </c>
      <c r="Y17" s="212">
        <f t="shared" si="7"/>
        <v>0</v>
      </c>
    </row>
    <row r="18" spans="1:25" x14ac:dyDescent="0.25">
      <c r="A18" s="916" t="s">
        <v>26</v>
      </c>
      <c r="B18" s="916"/>
      <c r="C18" s="392">
        <f>SUMIFS('Surv2-3'!D:D,'Surv2-3'!$A:$A,$I$2,'Surv2-3'!$B:$B,$O18)</f>
        <v>0</v>
      </c>
      <c r="D18" s="392">
        <f>SUMIFS('Surv2-3'!K:K,'Surv2-3'!$H:$H,$I$2,'Surv2-3'!$I:$I,$O18)</f>
        <v>0</v>
      </c>
      <c r="E18" s="1020">
        <f t="shared" si="0"/>
        <v>0</v>
      </c>
      <c r="F18" s="1020"/>
      <c r="G18" s="1026">
        <f>Consolidated!$F20</f>
        <v>3.609</v>
      </c>
      <c r="H18" s="1026">
        <f>Consolidated!$H$9</f>
        <v>1</v>
      </c>
      <c r="I18" s="539">
        <f t="shared" si="3"/>
        <v>0</v>
      </c>
      <c r="J18" s="540">
        <f t="shared" si="1"/>
        <v>0</v>
      </c>
      <c r="M18" s="2"/>
      <c r="O18" s="2" t="str">
        <f t="shared" si="2"/>
        <v>254</v>
      </c>
      <c r="R18" s="946" t="s">
        <v>26</v>
      </c>
      <c r="S18" s="946"/>
      <c r="T18" s="944">
        <f t="shared" si="4"/>
        <v>0</v>
      </c>
      <c r="U18" s="944"/>
      <c r="V18" s="950">
        <v>1</v>
      </c>
      <c r="W18" s="950"/>
      <c r="X18" s="145">
        <f t="shared" si="5"/>
        <v>0</v>
      </c>
      <c r="Y18" s="212">
        <f t="shared" si="7"/>
        <v>0</v>
      </c>
    </row>
    <row r="19" spans="1:25" x14ac:dyDescent="0.25">
      <c r="A19" s="916" t="s">
        <v>27</v>
      </c>
      <c r="B19" s="916"/>
      <c r="C19" s="392">
        <f>SUMIFS('Surv2-3'!E:E,'Surv2-3'!$A:$A,$I$2,'Surv2-3'!$B:$B,$O19)</f>
        <v>0</v>
      </c>
      <c r="D19" s="392">
        <f>SUMIFS('Surv2-3'!L:L,'Surv2-3'!$H:$H,$I$2,'Surv2-3'!$I:$I,$O19)</f>
        <v>0</v>
      </c>
      <c r="E19" s="1020">
        <f t="shared" si="0"/>
        <v>0</v>
      </c>
      <c r="F19" s="1020"/>
      <c r="G19" s="1026">
        <f>Consolidated!$F21</f>
        <v>3.609</v>
      </c>
      <c r="H19" s="1026">
        <f>Consolidated!$H$9</f>
        <v>1</v>
      </c>
      <c r="I19" s="539">
        <f t="shared" si="3"/>
        <v>0</v>
      </c>
      <c r="J19" s="540">
        <f t="shared" si="1"/>
        <v>0</v>
      </c>
      <c r="M19" s="2"/>
      <c r="O19" s="2" t="str">
        <f t="shared" si="2"/>
        <v>254</v>
      </c>
      <c r="R19" s="946" t="s">
        <v>27</v>
      </c>
      <c r="S19" s="946"/>
      <c r="T19" s="944">
        <f t="shared" si="4"/>
        <v>0</v>
      </c>
      <c r="U19" s="944"/>
      <c r="V19" s="950">
        <v>1</v>
      </c>
      <c r="W19" s="950"/>
      <c r="X19" s="145">
        <f t="shared" si="5"/>
        <v>0</v>
      </c>
      <c r="Y19" s="212">
        <f t="shared" si="7"/>
        <v>0</v>
      </c>
    </row>
    <row r="20" spans="1:25" x14ac:dyDescent="0.25">
      <c r="A20" s="916" t="s">
        <v>28</v>
      </c>
      <c r="B20" s="916"/>
      <c r="C20" s="392">
        <f>SUMIFS('Surv2-3'!F:F,'Surv2-3'!$A:$A,$I$2,'Surv2-3'!$B:$B,$O20)</f>
        <v>0</v>
      </c>
      <c r="D20" s="392">
        <f>SUMIFS('Surv2-3'!M:M,'Surv2-3'!$H:$H,$I$2,'Surv2-3'!$I:$I,$O20)</f>
        <v>0</v>
      </c>
      <c r="E20" s="1020">
        <f t="shared" si="0"/>
        <v>0</v>
      </c>
      <c r="F20" s="1020"/>
      <c r="G20" s="1026">
        <f>Consolidated!$F22</f>
        <v>3.609</v>
      </c>
      <c r="H20" s="1026">
        <f>Consolidated!$H$9</f>
        <v>1</v>
      </c>
      <c r="I20" s="539">
        <f t="shared" si="3"/>
        <v>0</v>
      </c>
      <c r="J20" s="540">
        <f t="shared" si="1"/>
        <v>0</v>
      </c>
      <c r="M20" s="2"/>
      <c r="O20" s="2" t="str">
        <f t="shared" si="2"/>
        <v>254</v>
      </c>
      <c r="R20" s="946" t="s">
        <v>28</v>
      </c>
      <c r="S20" s="946"/>
      <c r="T20" s="944">
        <f t="shared" si="4"/>
        <v>0</v>
      </c>
      <c r="U20" s="944"/>
      <c r="V20" s="950">
        <v>1</v>
      </c>
      <c r="W20" s="950"/>
      <c r="X20" s="145">
        <f t="shared" si="5"/>
        <v>0</v>
      </c>
      <c r="Y20" s="212">
        <f t="shared" si="7"/>
        <v>0</v>
      </c>
    </row>
    <row r="21" spans="1:25" ht="15" customHeight="1" x14ac:dyDescent="0.25">
      <c r="A21" s="916" t="s">
        <v>29</v>
      </c>
      <c r="B21" s="916"/>
      <c r="C21" s="392">
        <f>SUMIFS('Surv2-3'!D:D,'Surv2-3'!$A:$A,$I$2,'Surv2-3'!$B:$B,$O21)</f>
        <v>0</v>
      </c>
      <c r="D21" s="392">
        <f>SUMIFS('Surv2-3'!K:K,'Surv2-3'!$H:$H,$I$2,'Surv2-3'!$I:$I,$O21)</f>
        <v>0</v>
      </c>
      <c r="E21" s="1020">
        <f t="shared" si="0"/>
        <v>0</v>
      </c>
      <c r="F21" s="1020"/>
      <c r="G21" s="1026">
        <f>Consolidated!$F23</f>
        <v>6.0640000000000001</v>
      </c>
      <c r="H21" s="1026">
        <f>Consolidated!$H$9</f>
        <v>1</v>
      </c>
      <c r="I21" s="539">
        <f t="shared" si="3"/>
        <v>0</v>
      </c>
      <c r="J21" s="540">
        <f t="shared" si="1"/>
        <v>0</v>
      </c>
      <c r="M21" s="2"/>
      <c r="O21" s="2" t="str">
        <f t="shared" si="2"/>
        <v>255</v>
      </c>
      <c r="R21" s="946" t="s">
        <v>29</v>
      </c>
      <c r="S21" s="946"/>
      <c r="T21" s="944">
        <f t="shared" si="4"/>
        <v>0</v>
      </c>
      <c r="U21" s="944"/>
      <c r="V21" s="950">
        <v>1</v>
      </c>
      <c r="W21" s="950"/>
      <c r="X21" s="145">
        <f t="shared" si="5"/>
        <v>0</v>
      </c>
      <c r="Y21" s="212">
        <f t="shared" si="7"/>
        <v>0</v>
      </c>
    </row>
    <row r="22" spans="1:25" ht="15" customHeight="1" x14ac:dyDescent="0.25">
      <c r="A22" s="916" t="s">
        <v>30</v>
      </c>
      <c r="B22" s="916"/>
      <c r="C22" s="392">
        <f>SUMIFS('Surv2-3'!E:E,'Surv2-3'!$A:$A,$I$2,'Surv2-3'!$B:$B,$O22)</f>
        <v>0</v>
      </c>
      <c r="D22" s="392">
        <f>SUMIFS('Surv2-3'!L:L,'Surv2-3'!$H:$H,$I$2,'Surv2-3'!$I:$I,$O22)</f>
        <v>0</v>
      </c>
      <c r="E22" s="1020">
        <f t="shared" si="0"/>
        <v>0</v>
      </c>
      <c r="F22" s="1020"/>
      <c r="G22" s="1026">
        <f>Consolidated!$F24</f>
        <v>6.0640000000000001</v>
      </c>
      <c r="H22" s="1026">
        <f>Consolidated!$H$9</f>
        <v>1</v>
      </c>
      <c r="I22" s="539">
        <f t="shared" si="3"/>
        <v>0</v>
      </c>
      <c r="J22" s="540">
        <f t="shared" si="1"/>
        <v>0</v>
      </c>
      <c r="M22" s="2"/>
      <c r="O22" s="2" t="str">
        <f t="shared" si="2"/>
        <v>255</v>
      </c>
      <c r="R22" s="946" t="s">
        <v>30</v>
      </c>
      <c r="S22" s="946"/>
      <c r="T22" s="944">
        <f t="shared" si="4"/>
        <v>0</v>
      </c>
      <c r="U22" s="944"/>
      <c r="V22" s="950">
        <v>1</v>
      </c>
      <c r="W22" s="950"/>
      <c r="X22" s="145">
        <f t="shared" si="5"/>
        <v>0</v>
      </c>
      <c r="Y22" s="212">
        <f t="shared" si="7"/>
        <v>0</v>
      </c>
    </row>
    <row r="23" spans="1:25" ht="15" customHeight="1" x14ac:dyDescent="0.25">
      <c r="A23" s="916" t="s">
        <v>31</v>
      </c>
      <c r="B23" s="916"/>
      <c r="C23" s="392">
        <f>SUMIFS('Surv2-3'!F:F,'Surv2-3'!$A:$A,$I$2,'Surv2-3'!$B:$B,$O23)</f>
        <v>0</v>
      </c>
      <c r="D23" s="392">
        <f>SUMIFS('Surv2-3'!M:M,'Surv2-3'!$H:$H,$I$2,'Surv2-3'!$I:$I,$O23)</f>
        <v>0</v>
      </c>
      <c r="E23" s="1020">
        <f t="shared" si="0"/>
        <v>0</v>
      </c>
      <c r="F23" s="1020"/>
      <c r="G23" s="1026">
        <f>Consolidated!$F25</f>
        <v>6.0640000000000001</v>
      </c>
      <c r="H23" s="1026">
        <f>Consolidated!$H$9</f>
        <v>1</v>
      </c>
      <c r="I23" s="539">
        <f t="shared" si="3"/>
        <v>0</v>
      </c>
      <c r="J23" s="540">
        <f t="shared" si="1"/>
        <v>0</v>
      </c>
      <c r="M23" s="2"/>
      <c r="O23" s="2" t="str">
        <f t="shared" si="2"/>
        <v>255</v>
      </c>
      <c r="R23" s="946" t="s">
        <v>31</v>
      </c>
      <c r="S23" s="946"/>
      <c r="T23" s="944">
        <f t="shared" si="4"/>
        <v>0</v>
      </c>
      <c r="U23" s="944"/>
      <c r="V23" s="950">
        <v>1</v>
      </c>
      <c r="W23" s="950"/>
      <c r="X23" s="145">
        <f t="shared" si="5"/>
        <v>0</v>
      </c>
      <c r="Y23" s="212">
        <f t="shared" si="7"/>
        <v>0</v>
      </c>
    </row>
    <row r="24" spans="1:25" x14ac:dyDescent="0.25">
      <c r="A24" s="916" t="s">
        <v>32</v>
      </c>
      <c r="B24" s="916"/>
      <c r="C24" s="392">
        <f>SUMIFS('Surv2-3'!D:D,'Surv2-3'!$A:$A,$I$2,'Surv2-3'!$B:$B,$O24)</f>
        <v>0</v>
      </c>
      <c r="D24" s="392">
        <f>SUMIFS('Surv2-3'!K:K,'Surv2-3'!$H:$H,$I$2,'Surv2-3'!$I:$I,$O24)</f>
        <v>0</v>
      </c>
      <c r="E24" s="1020">
        <f t="shared" si="0"/>
        <v>0</v>
      </c>
      <c r="F24" s="1020"/>
      <c r="G24" s="1026">
        <f>Consolidated!$F26</f>
        <v>1.165</v>
      </c>
      <c r="H24" s="1026">
        <f>Consolidated!$H$9</f>
        <v>1</v>
      </c>
      <c r="I24" s="539">
        <f t="shared" si="3"/>
        <v>0</v>
      </c>
      <c r="J24" s="540">
        <f t="shared" si="1"/>
        <v>0</v>
      </c>
      <c r="M24" s="2"/>
      <c r="O24" s="2" t="str">
        <f t="shared" si="2"/>
        <v>130</v>
      </c>
      <c r="R24" s="946" t="s">
        <v>32</v>
      </c>
      <c r="S24" s="946"/>
      <c r="T24" s="944">
        <f t="shared" si="4"/>
        <v>0</v>
      </c>
      <c r="U24" s="944"/>
      <c r="V24" s="950">
        <v>1</v>
      </c>
      <c r="W24" s="950"/>
      <c r="X24" s="145">
        <f t="shared" si="5"/>
        <v>0</v>
      </c>
      <c r="Y24" s="212">
        <f t="shared" si="7"/>
        <v>0</v>
      </c>
    </row>
    <row r="25" spans="1:25" x14ac:dyDescent="0.25">
      <c r="A25" s="916" t="s">
        <v>33</v>
      </c>
      <c r="B25" s="916"/>
      <c r="C25" s="392">
        <f>SUMIFS('Surv2-3'!E:E,'Surv2-3'!$A:$A,$I$2,'Surv2-3'!$B:$B,$O25)</f>
        <v>0</v>
      </c>
      <c r="D25" s="392">
        <f>SUMIFS('Surv2-3'!L:L,'Surv2-3'!$H:$H,$I$2,'Surv2-3'!$I:$I,$O25)</f>
        <v>0</v>
      </c>
      <c r="E25" s="1020">
        <f t="shared" si="0"/>
        <v>0</v>
      </c>
      <c r="F25" s="1020"/>
      <c r="G25" s="1026">
        <f>Consolidated!$F27</f>
        <v>1.165</v>
      </c>
      <c r="H25" s="1026">
        <f>Consolidated!$H$9</f>
        <v>1</v>
      </c>
      <c r="I25" s="539">
        <f t="shared" si="3"/>
        <v>0</v>
      </c>
      <c r="J25" s="540">
        <f t="shared" si="1"/>
        <v>0</v>
      </c>
      <c r="M25" s="2"/>
      <c r="O25" s="2" t="str">
        <f t="shared" si="2"/>
        <v>130</v>
      </c>
      <c r="R25" s="946" t="s">
        <v>33</v>
      </c>
      <c r="S25" s="946"/>
      <c r="T25" s="944">
        <f t="shared" si="4"/>
        <v>0</v>
      </c>
      <c r="U25" s="944"/>
      <c r="V25" s="950">
        <v>1</v>
      </c>
      <c r="W25" s="950"/>
      <c r="X25" s="145">
        <f t="shared" si="5"/>
        <v>0</v>
      </c>
      <c r="Y25" s="212">
        <f t="shared" si="7"/>
        <v>0</v>
      </c>
    </row>
    <row r="26" spans="1:25" x14ac:dyDescent="0.25">
      <c r="A26" s="916" t="s">
        <v>34</v>
      </c>
      <c r="B26" s="916"/>
      <c r="C26" s="392">
        <f>SUMIFS('Surv2-3'!F:F,'Surv2-3'!$A:$A,$I$2,'Surv2-3'!$B:$B,$O26)</f>
        <v>0</v>
      </c>
      <c r="D26" s="392">
        <f>SUMIFS('Surv2-3'!M:M,'Surv2-3'!$H:$H,$I$2,'Surv2-3'!$I:$I,$O26)</f>
        <v>0</v>
      </c>
      <c r="E26" s="1020">
        <f t="shared" si="0"/>
        <v>0</v>
      </c>
      <c r="F26" s="1020"/>
      <c r="G26" s="1026">
        <f>Consolidated!$F28</f>
        <v>1.165</v>
      </c>
      <c r="H26" s="1026">
        <f>Consolidated!$H$9</f>
        <v>1</v>
      </c>
      <c r="I26" s="539">
        <f t="shared" si="3"/>
        <v>0</v>
      </c>
      <c r="J26" s="540">
        <f t="shared" si="1"/>
        <v>0</v>
      </c>
      <c r="M26" s="2"/>
      <c r="O26" s="2" t="str">
        <f t="shared" si="2"/>
        <v>130</v>
      </c>
      <c r="R26" s="946" t="s">
        <v>34</v>
      </c>
      <c r="S26" s="946"/>
      <c r="T26" s="944">
        <f t="shared" si="4"/>
        <v>0</v>
      </c>
      <c r="U26" s="944"/>
      <c r="V26" s="950">
        <v>1</v>
      </c>
      <c r="W26" s="950"/>
      <c r="X26" s="145">
        <f t="shared" si="5"/>
        <v>0</v>
      </c>
      <c r="Y26" s="212">
        <f t="shared" si="7"/>
        <v>0</v>
      </c>
    </row>
    <row r="27" spans="1:25" x14ac:dyDescent="0.25">
      <c r="A27" s="918" t="s">
        <v>35</v>
      </c>
      <c r="B27" s="918"/>
      <c r="C27" s="393">
        <f>SUMIFS('Surv2-3'!C:C,'Surv2-3'!$A:$A,$I$2,'Surv2-3'!$B:$B,$O27)</f>
        <v>0</v>
      </c>
      <c r="D27" s="393">
        <f>SUMIFS('Surv2-3'!J:J,'Surv2-3'!$H:$H,$I$2,'Surv2-3'!$I:$I,$O27)</f>
        <v>0</v>
      </c>
      <c r="E27" s="1022">
        <f t="shared" si="0"/>
        <v>0</v>
      </c>
      <c r="F27" s="1022"/>
      <c r="G27" s="1023">
        <f>Consolidated!$F29</f>
        <v>1.081</v>
      </c>
      <c r="H27" s="1023">
        <f>Consolidated!$H$9</f>
        <v>1</v>
      </c>
      <c r="I27" s="22">
        <f t="shared" si="3"/>
        <v>0</v>
      </c>
      <c r="J27" s="116">
        <f t="shared" si="1"/>
        <v>0</v>
      </c>
      <c r="M27" s="2"/>
      <c r="O27" s="2" t="str">
        <f t="shared" si="2"/>
        <v>300</v>
      </c>
      <c r="R27" s="961" t="s">
        <v>35</v>
      </c>
      <c r="S27" s="961"/>
      <c r="T27" s="944">
        <f t="shared" si="4"/>
        <v>0</v>
      </c>
      <c r="U27" s="944"/>
      <c r="V27" s="962">
        <v>1</v>
      </c>
      <c r="W27" s="962"/>
      <c r="X27" s="145">
        <f t="shared" si="5"/>
        <v>0</v>
      </c>
      <c r="Y27" s="212">
        <f t="shared" si="7"/>
        <v>0</v>
      </c>
    </row>
    <row r="28" spans="1:25" ht="20.25" customHeight="1" x14ac:dyDescent="0.25">
      <c r="A28" s="1024" t="s">
        <v>36</v>
      </c>
      <c r="B28" s="1024"/>
      <c r="C28" s="821">
        <f>SUM(C12:C27)</f>
        <v>0</v>
      </c>
      <c r="D28" s="822">
        <f>SUM(D12:D27)</f>
        <v>0</v>
      </c>
      <c r="E28" s="1025">
        <f>SUM(E12:E27)</f>
        <v>0</v>
      </c>
      <c r="F28" s="1025"/>
      <c r="G28" s="1020"/>
      <c r="H28" s="1020"/>
      <c r="I28" s="23">
        <f>SUM(I12:I27)</f>
        <v>0</v>
      </c>
      <c r="J28" s="116">
        <f>SUM(J12:J27)</f>
        <v>0</v>
      </c>
      <c r="M28" s="2"/>
      <c r="R28" s="963" t="s">
        <v>36</v>
      </c>
      <c r="S28" s="963"/>
      <c r="T28" s="964">
        <f>SUM(T12:T27)</f>
        <v>0</v>
      </c>
      <c r="U28" s="964"/>
      <c r="V28" s="965"/>
      <c r="W28" s="965"/>
      <c r="X28" s="147">
        <f>SUM(X12:X27)</f>
        <v>0</v>
      </c>
      <c r="Y28" s="212">
        <f>SUM(Y12:Y27)</f>
        <v>0</v>
      </c>
    </row>
    <row r="29" spans="1:25" ht="36" hidden="1" customHeight="1" x14ac:dyDescent="0.25">
      <c r="A29" s="920" t="s">
        <v>37</v>
      </c>
      <c r="B29" s="920"/>
      <c r="C29" s="920"/>
      <c r="D29" s="920"/>
      <c r="E29" s="920"/>
      <c r="F29" s="920"/>
      <c r="G29" s="920"/>
      <c r="H29" s="920"/>
      <c r="I29" s="920"/>
      <c r="J29" s="24"/>
      <c r="M29" s="2"/>
      <c r="R29" s="928" t="s">
        <v>37</v>
      </c>
      <c r="S29" s="928"/>
      <c r="T29" s="928"/>
      <c r="U29" s="928"/>
      <c r="V29" s="928"/>
      <c r="W29" s="928"/>
      <c r="X29" s="928"/>
      <c r="Y29" s="148"/>
    </row>
    <row r="30" spans="1:25" ht="56.25" hidden="1" customHeight="1" x14ac:dyDescent="0.25">
      <c r="A30" s="913" t="s">
        <v>38</v>
      </c>
      <c r="B30" s="913"/>
      <c r="C30" s="758"/>
      <c r="D30" s="758"/>
      <c r="E30" s="914" t="s">
        <v>39</v>
      </c>
      <c r="F30" s="915"/>
      <c r="G30" s="915"/>
      <c r="H30" s="915"/>
      <c r="I30" s="915"/>
      <c r="J30" s="18" t="s">
        <v>40</v>
      </c>
      <c r="L30" s="25"/>
      <c r="M30" s="25"/>
      <c r="R30" s="771" t="s">
        <v>38</v>
      </c>
      <c r="S30" s="771"/>
      <c r="T30" s="966" t="s">
        <v>158</v>
      </c>
      <c r="U30" s="967"/>
      <c r="V30" s="967"/>
      <c r="W30" s="967"/>
      <c r="X30" s="967"/>
      <c r="Y30" s="142" t="s">
        <v>40</v>
      </c>
    </row>
    <row r="31" spans="1:25" ht="20.25" hidden="1" customHeight="1" x14ac:dyDescent="0.25">
      <c r="A31" s="899" t="s">
        <v>41</v>
      </c>
      <c r="B31" s="899"/>
      <c r="C31" s="757"/>
      <c r="D31" s="757"/>
      <c r="E31" s="26"/>
      <c r="F31" s="26"/>
      <c r="G31" s="26"/>
      <c r="H31" s="26"/>
      <c r="I31" s="27"/>
      <c r="J31" s="28">
        <f>ROUND(ROUND(ROUND(I31*$E$6,4)*($I$6),0)*(MAX($I$7,1)),0)</f>
        <v>0</v>
      </c>
      <c r="M31" s="2"/>
      <c r="R31" s="946" t="s">
        <v>41</v>
      </c>
      <c r="S31" s="946"/>
      <c r="T31" s="968"/>
      <c r="U31" s="968"/>
      <c r="V31" s="968"/>
      <c r="W31" s="968"/>
      <c r="X31" s="968"/>
      <c r="Y31" s="150">
        <f>J31</f>
        <v>0</v>
      </c>
    </row>
    <row r="32" spans="1:25" ht="20.25" hidden="1" customHeight="1" thickBot="1" x14ac:dyDescent="0.3">
      <c r="A32" s="970" t="s">
        <v>42</v>
      </c>
      <c r="B32" s="970"/>
      <c r="C32" s="970"/>
      <c r="D32" s="970"/>
      <c r="E32" s="970"/>
      <c r="F32" s="970"/>
      <c r="G32" s="29">
        <f>SUM(I31:I31)</f>
        <v>0</v>
      </c>
      <c r="H32" s="1021" t="s">
        <v>43</v>
      </c>
      <c r="I32" s="1021"/>
      <c r="J32" s="30">
        <f>SUM(J31:J31)</f>
        <v>0</v>
      </c>
      <c r="M32" s="2"/>
      <c r="R32" s="969" t="s">
        <v>42</v>
      </c>
      <c r="S32" s="969"/>
      <c r="T32" s="969"/>
      <c r="U32" s="969"/>
      <c r="V32" s="151">
        <f>SUM(T31:V31)</f>
        <v>0</v>
      </c>
      <c r="W32" s="965" t="s">
        <v>43</v>
      </c>
      <c r="X32" s="965"/>
      <c r="Y32" s="152">
        <f>SUM(Y31:Y31)</f>
        <v>0</v>
      </c>
    </row>
    <row r="33" spans="1:25" ht="20.25" hidden="1" customHeight="1" thickBot="1" x14ac:dyDescent="0.3">
      <c r="A33" s="970" t="s">
        <v>44</v>
      </c>
      <c r="B33" s="970"/>
      <c r="C33" s="970"/>
      <c r="D33" s="970"/>
      <c r="E33" s="970"/>
      <c r="F33" s="970"/>
      <c r="G33" s="31">
        <f>G32+I28</f>
        <v>0</v>
      </c>
      <c r="H33" s="1020" t="s">
        <v>45</v>
      </c>
      <c r="I33" s="1020"/>
      <c r="J33" s="32">
        <f>SUM(J32,J28)</f>
        <v>0</v>
      </c>
      <c r="M33" s="2"/>
      <c r="R33" s="969" t="s">
        <v>44</v>
      </c>
      <c r="S33" s="969"/>
      <c r="T33" s="969"/>
      <c r="U33" s="969"/>
      <c r="V33" s="153">
        <f>V32+X28</f>
        <v>0</v>
      </c>
      <c r="W33" s="965" t="s">
        <v>45</v>
      </c>
      <c r="X33" s="965"/>
      <c r="Y33" s="154">
        <f>SUM(Y32,Y28)</f>
        <v>0</v>
      </c>
    </row>
    <row r="34" spans="1:25" ht="20.25" customHeight="1" x14ac:dyDescent="0.25">
      <c r="A34" s="779"/>
      <c r="B34" s="779"/>
      <c r="C34" s="779"/>
      <c r="D34" s="779"/>
      <c r="E34" s="779"/>
      <c r="F34" s="779"/>
      <c r="G34" s="31"/>
      <c r="H34" s="795"/>
      <c r="I34" s="795"/>
      <c r="J34" s="35"/>
      <c r="M34" s="2"/>
      <c r="R34" s="778"/>
      <c r="S34" s="778"/>
      <c r="T34" s="778"/>
      <c r="U34" s="778"/>
      <c r="V34" s="153"/>
      <c r="W34" s="777"/>
      <c r="X34" s="777"/>
      <c r="Y34" s="157"/>
    </row>
    <row r="35" spans="1:25" ht="66.75" customHeight="1" x14ac:dyDescent="0.25">
      <c r="A35" s="1006" t="s">
        <v>46</v>
      </c>
      <c r="B35" s="1006"/>
      <c r="C35" s="1006"/>
      <c r="D35" s="1006"/>
      <c r="E35" s="1006"/>
      <c r="F35" s="1006"/>
      <c r="G35" s="790"/>
      <c r="J35" s="40"/>
      <c r="M35" s="2"/>
      <c r="R35" s="954" t="s">
        <v>46</v>
      </c>
      <c r="S35" s="955"/>
      <c r="T35" s="955"/>
      <c r="U35" s="955"/>
      <c r="V35" s="785"/>
      <c r="W35" s="159"/>
      <c r="X35" s="159"/>
      <c r="Y35" s="164"/>
    </row>
    <row r="36" spans="1:25" ht="20.25" customHeight="1" x14ac:dyDescent="0.25">
      <c r="A36" s="916" t="s">
        <v>47</v>
      </c>
      <c r="B36" s="916"/>
      <c r="C36" s="916"/>
      <c r="D36" s="916"/>
      <c r="E36" s="916"/>
      <c r="F36" s="790" t="s">
        <v>48</v>
      </c>
      <c r="G36" s="430">
        <v>0</v>
      </c>
      <c r="H36" s="762" t="s">
        <v>49</v>
      </c>
      <c r="I36" s="38">
        <v>6.6699999999999995E-2</v>
      </c>
      <c r="J36" s="120">
        <f>ROUND(G36*I36,2)</f>
        <v>0</v>
      </c>
      <c r="K36" s="39"/>
      <c r="L36" s="779"/>
      <c r="M36" s="779"/>
      <c r="N36" s="779"/>
      <c r="O36" s="31"/>
      <c r="P36" s="795"/>
      <c r="Q36" s="795"/>
      <c r="R36" s="946" t="s">
        <v>47</v>
      </c>
      <c r="S36" s="946"/>
      <c r="T36" s="946"/>
      <c r="U36" s="785"/>
      <c r="V36" s="161">
        <v>0</v>
      </c>
      <c r="W36" s="765" t="s">
        <v>49</v>
      </c>
      <c r="X36" s="163">
        <v>6.6699999999999995E-2</v>
      </c>
      <c r="Y36" s="212">
        <f>ROUND(V36*X36,2)</f>
        <v>0</v>
      </c>
    </row>
    <row r="37" spans="1:25" ht="20.25" customHeight="1" x14ac:dyDescent="0.25">
      <c r="A37" s="916" t="s">
        <v>50</v>
      </c>
      <c r="B37" s="916"/>
      <c r="C37" s="916"/>
      <c r="D37" s="916"/>
      <c r="E37" s="916"/>
      <c r="F37" s="790" t="s">
        <v>48</v>
      </c>
      <c r="G37" s="430">
        <v>0</v>
      </c>
      <c r="H37" s="762" t="s">
        <v>49</v>
      </c>
      <c r="I37" s="38">
        <v>5.4000000000000003E-3</v>
      </c>
      <c r="J37" s="120">
        <f>ROUND(G37*I37,2)</f>
        <v>0</v>
      </c>
      <c r="K37" s="39"/>
      <c r="L37" s="779"/>
      <c r="M37" s="779"/>
      <c r="N37" s="779"/>
      <c r="O37" s="31"/>
      <c r="P37" s="795"/>
      <c r="Q37" s="795"/>
      <c r="R37" s="946" t="s">
        <v>50</v>
      </c>
      <c r="S37" s="946"/>
      <c r="T37" s="946"/>
      <c r="U37" s="785"/>
      <c r="V37" s="161">
        <v>0</v>
      </c>
      <c r="W37" s="765" t="s">
        <v>49</v>
      </c>
      <c r="X37" s="163">
        <v>5.4000000000000003E-3</v>
      </c>
      <c r="Y37" s="212">
        <f>ROUND(V37*X37,2)</f>
        <v>0</v>
      </c>
    </row>
    <row r="38" spans="1:25" ht="20.25" customHeight="1" x14ac:dyDescent="0.25">
      <c r="A38" s="952" t="s">
        <v>51</v>
      </c>
      <c r="B38" s="952"/>
      <c r="C38" s="952"/>
      <c r="D38" s="952"/>
      <c r="E38" s="952"/>
      <c r="F38" s="790" t="s">
        <v>52</v>
      </c>
      <c r="G38" s="40"/>
      <c r="H38" s="762"/>
      <c r="I38" s="41"/>
      <c r="J38" s="120">
        <f>SUM(J36:J37)</f>
        <v>0</v>
      </c>
      <c r="K38" s="39"/>
      <c r="L38" s="779"/>
      <c r="M38" s="779"/>
      <c r="N38" s="779"/>
      <c r="O38" s="31"/>
      <c r="P38" s="795"/>
      <c r="Q38" s="795"/>
      <c r="R38" s="955" t="s">
        <v>51</v>
      </c>
      <c r="S38" s="955"/>
      <c r="T38" s="955"/>
      <c r="U38" s="785" t="s">
        <v>52</v>
      </c>
      <c r="V38" s="164"/>
      <c r="W38" s="765"/>
      <c r="X38" s="165"/>
      <c r="Y38" s="146">
        <f>Y36+Y37</f>
        <v>0</v>
      </c>
    </row>
    <row r="39" spans="1:25" ht="20.25" customHeight="1" x14ac:dyDescent="0.25">
      <c r="B39" s="774"/>
      <c r="C39" s="774"/>
      <c r="D39" s="774"/>
      <c r="E39" s="774"/>
      <c r="F39" s="790"/>
      <c r="G39" s="40"/>
      <c r="H39" s="762"/>
      <c r="I39" s="41"/>
      <c r="J39" s="43"/>
      <c r="K39" s="39"/>
      <c r="L39" s="779"/>
      <c r="M39" s="779"/>
      <c r="N39" s="779"/>
      <c r="O39" s="31"/>
      <c r="P39" s="795"/>
      <c r="Q39" s="795"/>
      <c r="R39" s="776"/>
      <c r="S39" s="776"/>
      <c r="T39" s="776"/>
      <c r="U39" s="785"/>
      <c r="V39" s="164"/>
      <c r="W39" s="765"/>
      <c r="X39" s="165"/>
      <c r="Y39" s="167"/>
    </row>
    <row r="40" spans="1:25" ht="45.75" customHeight="1" x14ac:dyDescent="0.25">
      <c r="A40" s="1016" t="s">
        <v>53</v>
      </c>
      <c r="B40" s="1016"/>
      <c r="C40" s="111" t="s">
        <v>634</v>
      </c>
      <c r="D40" s="111" t="s">
        <v>635</v>
      </c>
      <c r="E40" s="1017" t="s">
        <v>156</v>
      </c>
      <c r="F40" s="1017"/>
      <c r="G40" s="44" t="s">
        <v>55</v>
      </c>
      <c r="H40" s="794" t="s">
        <v>56</v>
      </c>
      <c r="I40" s="124" t="s">
        <v>57</v>
      </c>
      <c r="J40" s="44"/>
      <c r="K40" s="39"/>
      <c r="L40" s="779"/>
      <c r="M40" s="779"/>
      <c r="N40" s="779"/>
      <c r="O40" s="31"/>
      <c r="P40" s="795"/>
      <c r="Q40" s="795"/>
      <c r="R40" s="956" t="s">
        <v>53</v>
      </c>
      <c r="S40" s="956"/>
      <c r="T40" s="957" t="s">
        <v>54</v>
      </c>
      <c r="U40" s="957"/>
      <c r="V40" s="168" t="s">
        <v>55</v>
      </c>
      <c r="W40" s="788" t="s">
        <v>56</v>
      </c>
      <c r="X40" s="170" t="s">
        <v>57</v>
      </c>
      <c r="Y40" s="168"/>
    </row>
    <row r="41" spans="1:25" ht="17.25" customHeight="1" x14ac:dyDescent="0.25">
      <c r="A41" s="1018" t="s">
        <v>58</v>
      </c>
      <c r="B41" s="1018"/>
      <c r="C41" s="737">
        <f>SUMIFS('Surv2-3'!D:D,'Surv2-3'!$A:$A,$I$2,'Surv2-3'!$B:$B,$H41-140)</f>
        <v>0</v>
      </c>
      <c r="D41" s="737">
        <f>SUMIFS('Surv2-3'!K:K,'Surv2-3'!$H:$H,$I$2,'Surv2-3'!$I:$I,$H41-140)</f>
        <v>0</v>
      </c>
      <c r="E41" s="1013">
        <f t="shared" ref="E41:E49" si="8">IF($D$50=0,C41*2,C41+D41)</f>
        <v>0</v>
      </c>
      <c r="F41" s="1013"/>
      <c r="G41" s="762" t="s">
        <v>59</v>
      </c>
      <c r="H41" s="762">
        <v>251</v>
      </c>
      <c r="I41" s="125">
        <f>Consolidated!$H59</f>
        <v>1047</v>
      </c>
      <c r="J41" s="46">
        <f t="shared" ref="J41:J49" si="9">ROUND(E41*I41,2)</f>
        <v>0</v>
      </c>
      <c r="L41" s="3"/>
      <c r="M41" s="2"/>
      <c r="Q41" s="4"/>
      <c r="R41" s="958" t="s">
        <v>159</v>
      </c>
      <c r="S41" s="958"/>
      <c r="T41" s="919"/>
      <c r="U41" s="919"/>
      <c r="V41" s="765" t="s">
        <v>59</v>
      </c>
      <c r="W41" s="765">
        <v>251</v>
      </c>
      <c r="X41" s="123">
        <f>Consolidated!$H59</f>
        <v>1047</v>
      </c>
      <c r="Y41" s="213">
        <f>ROUND(T41*X41,2)</f>
        <v>0</v>
      </c>
    </row>
    <row r="42" spans="1:25" x14ac:dyDescent="0.25">
      <c r="A42" s="1019"/>
      <c r="B42" s="1019"/>
      <c r="C42" s="824">
        <f>SUMIFS('Surv2-3'!D:D,'Surv2-3'!$A:$A,$I$2,'Surv2-3'!$B:$B,$H42-140)</f>
        <v>0</v>
      </c>
      <c r="D42" s="824">
        <f>SUMIFS('Surv2-3'!K:K,'Surv2-3'!$H:$H,$I$2,'Surv2-3'!$I:$I,$H42-140)</f>
        <v>0</v>
      </c>
      <c r="E42" s="1013">
        <f t="shared" si="8"/>
        <v>0</v>
      </c>
      <c r="F42" s="1013"/>
      <c r="G42" s="762" t="s">
        <v>59</v>
      </c>
      <c r="H42" s="762">
        <v>252</v>
      </c>
      <c r="I42" s="125">
        <f>Consolidated!$H60</f>
        <v>3380</v>
      </c>
      <c r="J42" s="46">
        <f t="shared" si="9"/>
        <v>0</v>
      </c>
      <c r="M42" s="2"/>
      <c r="R42" s="958"/>
      <c r="S42" s="958"/>
      <c r="T42" s="959"/>
      <c r="U42" s="959"/>
      <c r="V42" s="765" t="s">
        <v>59</v>
      </c>
      <c r="W42" s="765">
        <v>252</v>
      </c>
      <c r="X42" s="123">
        <f>Consolidated!$H60</f>
        <v>3380</v>
      </c>
      <c r="Y42" s="213">
        <f t="shared" ref="Y42:Y49" si="10">ROUND(T42*X42,2)</f>
        <v>0</v>
      </c>
    </row>
    <row r="43" spans="1:25" x14ac:dyDescent="0.25">
      <c r="A43" s="1019"/>
      <c r="B43" s="1019"/>
      <c r="C43" s="824">
        <f>SUMIFS('Surv2-3'!D:D,'Surv2-3'!$A:$A,$I$2,'Surv2-3'!$B:$B,$H43-140)</f>
        <v>0</v>
      </c>
      <c r="D43" s="824">
        <f>SUMIFS('Surv2-3'!K:K,'Surv2-3'!$H:$H,$I$2,'Surv2-3'!$I:$I,$H43-140)</f>
        <v>0</v>
      </c>
      <c r="E43" s="1013">
        <f t="shared" si="8"/>
        <v>0</v>
      </c>
      <c r="F43" s="1013"/>
      <c r="G43" s="762" t="s">
        <v>59</v>
      </c>
      <c r="H43" s="762">
        <v>253</v>
      </c>
      <c r="I43" s="125">
        <f>Consolidated!$H61</f>
        <v>6896</v>
      </c>
      <c r="J43" s="46">
        <f t="shared" si="9"/>
        <v>0</v>
      </c>
      <c r="M43" s="2"/>
      <c r="R43" s="958"/>
      <c r="S43" s="958"/>
      <c r="T43" s="960"/>
      <c r="U43" s="960"/>
      <c r="V43" s="765" t="s">
        <v>59</v>
      </c>
      <c r="W43" s="765">
        <v>253</v>
      </c>
      <c r="X43" s="123">
        <f>Consolidated!$H61</f>
        <v>6896</v>
      </c>
      <c r="Y43" s="213">
        <f t="shared" si="10"/>
        <v>0</v>
      </c>
    </row>
    <row r="44" spans="1:25" x14ac:dyDescent="0.25">
      <c r="A44" s="1019"/>
      <c r="B44" s="1019"/>
      <c r="C44" s="824">
        <f>SUMIFS('Surv2-3'!E:E,'Surv2-3'!$A:$A,$I$2,'Surv2-3'!$B:$B,$H44-140)</f>
        <v>0</v>
      </c>
      <c r="D44" s="824">
        <f>SUMIFS('Surv2-3'!L:L,'Surv2-3'!$H:$H,$I$2,'Surv2-3'!$I:$I,$H44-140)</f>
        <v>0</v>
      </c>
      <c r="E44" s="1013">
        <f t="shared" si="8"/>
        <v>0</v>
      </c>
      <c r="F44" s="1013"/>
      <c r="G44" s="47" t="s">
        <v>60</v>
      </c>
      <c r="H44" s="762">
        <v>251</v>
      </c>
      <c r="I44" s="125">
        <f>Consolidated!$H62</f>
        <v>1173</v>
      </c>
      <c r="J44" s="126">
        <f t="shared" si="9"/>
        <v>0</v>
      </c>
      <c r="L44" s="3"/>
      <c r="M44" s="2"/>
      <c r="Q44" s="4"/>
      <c r="R44" s="958"/>
      <c r="S44" s="958"/>
      <c r="T44" s="960"/>
      <c r="U44" s="960"/>
      <c r="V44" s="171" t="s">
        <v>60</v>
      </c>
      <c r="W44" s="765">
        <v>251</v>
      </c>
      <c r="X44" s="123">
        <f>Consolidated!$H62</f>
        <v>1173</v>
      </c>
      <c r="Y44" s="213">
        <f t="shared" si="10"/>
        <v>0</v>
      </c>
    </row>
    <row r="45" spans="1:25" x14ac:dyDescent="0.25">
      <c r="A45" s="1019"/>
      <c r="B45" s="1019"/>
      <c r="C45" s="824">
        <f>SUMIFS('Surv2-3'!E:E,'Surv2-3'!$A:$A,$I$2,'Surv2-3'!$B:$B,$H45-140)</f>
        <v>0</v>
      </c>
      <c r="D45" s="824">
        <f>SUMIFS('Surv2-3'!L:L,'Surv2-3'!$H:$H,$I$2,'Surv2-3'!$I:$I,$H45-140)</f>
        <v>0</v>
      </c>
      <c r="E45" s="1013">
        <f t="shared" si="8"/>
        <v>0</v>
      </c>
      <c r="F45" s="1013"/>
      <c r="G45" s="47" t="s">
        <v>60</v>
      </c>
      <c r="H45" s="762">
        <v>252</v>
      </c>
      <c r="I45" s="125">
        <f>Consolidated!$H63</f>
        <v>3506</v>
      </c>
      <c r="J45" s="46">
        <f t="shared" si="9"/>
        <v>0</v>
      </c>
      <c r="M45" s="2"/>
      <c r="R45" s="958"/>
      <c r="S45" s="958"/>
      <c r="T45" s="960"/>
      <c r="U45" s="960"/>
      <c r="V45" s="171" t="s">
        <v>60</v>
      </c>
      <c r="W45" s="765">
        <v>252</v>
      </c>
      <c r="X45" s="123">
        <f>Consolidated!$H63</f>
        <v>3506</v>
      </c>
      <c r="Y45" s="213">
        <f t="shared" si="10"/>
        <v>0</v>
      </c>
    </row>
    <row r="46" spans="1:25" x14ac:dyDescent="0.25">
      <c r="A46" s="1019"/>
      <c r="B46" s="1019"/>
      <c r="C46" s="824">
        <f>SUMIFS('Surv2-3'!E:E,'Surv2-3'!$A:$A,$I$2,'Surv2-3'!$B:$B,$H46-140)</f>
        <v>0</v>
      </c>
      <c r="D46" s="824">
        <f>SUMIFS('Surv2-3'!L:L,'Surv2-3'!$H:$H,$I$2,'Surv2-3'!$I:$I,$H46-140)</f>
        <v>0</v>
      </c>
      <c r="E46" s="1013">
        <f t="shared" si="8"/>
        <v>0</v>
      </c>
      <c r="F46" s="1013"/>
      <c r="G46" s="47" t="s">
        <v>60</v>
      </c>
      <c r="H46" s="762">
        <v>253</v>
      </c>
      <c r="I46" s="125">
        <f>Consolidated!$H64</f>
        <v>7023</v>
      </c>
      <c r="J46" s="46">
        <f t="shared" si="9"/>
        <v>0</v>
      </c>
      <c r="M46" s="2"/>
      <c r="R46" s="958"/>
      <c r="S46" s="958"/>
      <c r="T46" s="960"/>
      <c r="U46" s="960"/>
      <c r="V46" s="171" t="s">
        <v>60</v>
      </c>
      <c r="W46" s="765">
        <v>253</v>
      </c>
      <c r="X46" s="123">
        <f>Consolidated!$H64</f>
        <v>7023</v>
      </c>
      <c r="Y46" s="213">
        <f t="shared" si="10"/>
        <v>0</v>
      </c>
    </row>
    <row r="47" spans="1:25" ht="16.5" customHeight="1" x14ac:dyDescent="0.25">
      <c r="A47" s="1019"/>
      <c r="B47" s="1019"/>
      <c r="C47" s="824">
        <f>SUMIFS('Surv2-3'!F:F,'Surv2-3'!$A:$A,$I$2,'Surv2-3'!$B:$B,$H47-140)</f>
        <v>0</v>
      </c>
      <c r="D47" s="824">
        <f>SUMIFS('Surv2-3'!M:M,'Surv2-3'!$H:$H,$I$2,'Surv2-3'!$I:$I,$H47-140)</f>
        <v>0</v>
      </c>
      <c r="E47" s="1013">
        <f t="shared" si="8"/>
        <v>0</v>
      </c>
      <c r="F47" s="1013"/>
      <c r="G47" s="47" t="s">
        <v>61</v>
      </c>
      <c r="H47" s="762">
        <v>251</v>
      </c>
      <c r="I47" s="125">
        <f>Consolidated!$H65</f>
        <v>835</v>
      </c>
      <c r="J47" s="46">
        <f t="shared" si="9"/>
        <v>0</v>
      </c>
      <c r="M47" s="2"/>
      <c r="R47" s="958"/>
      <c r="S47" s="958"/>
      <c r="T47" s="960"/>
      <c r="U47" s="960"/>
      <c r="V47" s="171" t="s">
        <v>61</v>
      </c>
      <c r="W47" s="765">
        <v>251</v>
      </c>
      <c r="X47" s="123">
        <f>Consolidated!$H65</f>
        <v>835</v>
      </c>
      <c r="Y47" s="213">
        <f t="shared" si="10"/>
        <v>0</v>
      </c>
    </row>
    <row r="48" spans="1:25" ht="15.75" customHeight="1" x14ac:dyDescent="0.25">
      <c r="A48" s="1019"/>
      <c r="B48" s="1019"/>
      <c r="C48" s="824">
        <f>SUMIFS('Surv2-3'!F:F,'Surv2-3'!$A:$A,$I$2,'Surv2-3'!$B:$B,$H48-140)</f>
        <v>0</v>
      </c>
      <c r="D48" s="824">
        <f>SUMIFS('Surv2-3'!M:M,'Surv2-3'!$H:$H,$I$2,'Surv2-3'!$I:$I,$H48-140)</f>
        <v>0</v>
      </c>
      <c r="E48" s="1013">
        <f t="shared" si="8"/>
        <v>0</v>
      </c>
      <c r="F48" s="1013"/>
      <c r="G48" s="47" t="s">
        <v>61</v>
      </c>
      <c r="H48" s="762">
        <v>252</v>
      </c>
      <c r="I48" s="125">
        <f>Consolidated!$H66</f>
        <v>3168</v>
      </c>
      <c r="J48" s="46">
        <f t="shared" si="9"/>
        <v>0</v>
      </c>
      <c r="M48" s="2"/>
      <c r="R48" s="958"/>
      <c r="S48" s="958"/>
      <c r="T48" s="960"/>
      <c r="U48" s="960"/>
      <c r="V48" s="171" t="s">
        <v>61</v>
      </c>
      <c r="W48" s="765">
        <v>252</v>
      </c>
      <c r="X48" s="123">
        <f>Consolidated!$H66</f>
        <v>3168</v>
      </c>
      <c r="Y48" s="213">
        <f t="shared" si="10"/>
        <v>0</v>
      </c>
    </row>
    <row r="49" spans="1:25" ht="15.75" customHeight="1" thickBot="1" x14ac:dyDescent="0.3">
      <c r="A49" s="1019"/>
      <c r="B49" s="1019"/>
      <c r="C49" s="824">
        <f>SUMIFS('Surv2-3'!F:F,'Surv2-3'!$A:$A,$I$2,'Surv2-3'!$B:$B,$H49-140)</f>
        <v>0</v>
      </c>
      <c r="D49" s="824">
        <f>SUMIFS('Surv2-3'!M:M,'Surv2-3'!$H:$H,$I$2,'Surv2-3'!$I:$I,$H49-140)</f>
        <v>0</v>
      </c>
      <c r="E49" s="1014">
        <f t="shared" si="8"/>
        <v>0</v>
      </c>
      <c r="F49" s="1014"/>
      <c r="G49" s="47" t="s">
        <v>61</v>
      </c>
      <c r="H49" s="762">
        <v>253</v>
      </c>
      <c r="I49" s="125">
        <f>Consolidated!$H67</f>
        <v>6685</v>
      </c>
      <c r="J49" s="46">
        <f t="shared" si="9"/>
        <v>0</v>
      </c>
      <c r="M49" s="2"/>
      <c r="R49" s="958"/>
      <c r="S49" s="958"/>
      <c r="T49" s="971"/>
      <c r="U49" s="971"/>
      <c r="V49" s="171" t="s">
        <v>61</v>
      </c>
      <c r="W49" s="765">
        <v>253</v>
      </c>
      <c r="X49" s="123">
        <f>Consolidated!$H67</f>
        <v>6685</v>
      </c>
      <c r="Y49" s="213">
        <f t="shared" si="10"/>
        <v>0</v>
      </c>
    </row>
    <row r="50" spans="1:25" ht="15.75" customHeight="1" thickBot="1" x14ac:dyDescent="0.3">
      <c r="A50" s="970" t="s">
        <v>62</v>
      </c>
      <c r="B50" s="970"/>
      <c r="C50" s="825">
        <f>SUM(C41:C49)</f>
        <v>0</v>
      </c>
      <c r="D50" s="825">
        <f>SUM(D41:D49)</f>
        <v>0</v>
      </c>
      <c r="E50" s="1015">
        <f>SUM(E41:E49)</f>
        <v>0</v>
      </c>
      <c r="F50" s="1015"/>
      <c r="G50" s="970" t="s">
        <v>63</v>
      </c>
      <c r="H50" s="970"/>
      <c r="I50" s="970"/>
      <c r="J50" s="220">
        <f>SUM(J41:J49)</f>
        <v>0</v>
      </c>
      <c r="M50" s="2"/>
      <c r="R50" s="969" t="s">
        <v>62</v>
      </c>
      <c r="S50" s="969"/>
      <c r="T50" s="972">
        <f>SUM(T42:T49)</f>
        <v>0</v>
      </c>
      <c r="U50" s="972"/>
      <c r="V50" s="969" t="s">
        <v>63</v>
      </c>
      <c r="W50" s="969"/>
      <c r="X50" s="969"/>
      <c r="Y50" s="214">
        <f>SUM(Y41:Y49)</f>
        <v>0</v>
      </c>
    </row>
    <row r="51" spans="1:25" ht="15.75" customHeight="1" x14ac:dyDescent="0.25">
      <c r="A51" s="779"/>
      <c r="B51" s="779"/>
      <c r="C51" s="779"/>
      <c r="D51" s="779"/>
      <c r="E51" s="795"/>
      <c r="F51" s="795"/>
      <c r="G51" s="779"/>
      <c r="H51" s="779"/>
      <c r="I51" s="779"/>
      <c r="J51" s="35"/>
      <c r="M51" s="2"/>
      <c r="R51" s="955" t="s">
        <v>64</v>
      </c>
      <c r="S51" s="955"/>
      <c r="T51" s="955"/>
      <c r="U51" s="955"/>
      <c r="V51" s="955"/>
      <c r="W51" s="955"/>
      <c r="X51" s="955"/>
      <c r="Y51" s="955"/>
    </row>
    <row r="52" spans="1:25" ht="29.25" customHeight="1" x14ac:dyDescent="0.25">
      <c r="A52" s="952" t="s">
        <v>64</v>
      </c>
      <c r="B52" s="952"/>
      <c r="C52" s="952"/>
      <c r="D52" s="952"/>
      <c r="E52" s="952"/>
      <c r="F52" s="952"/>
      <c r="G52" s="952"/>
      <c r="H52" s="952"/>
      <c r="I52" s="952"/>
      <c r="J52" s="952"/>
      <c r="M52" s="2"/>
      <c r="R52" s="975" t="s">
        <v>65</v>
      </c>
      <c r="S52" s="975"/>
      <c r="T52" s="172">
        <f>T28</f>
        <v>0</v>
      </c>
      <c r="U52" s="173" t="s">
        <v>66</v>
      </c>
      <c r="V52" s="174"/>
      <c r="W52" s="175" t="s">
        <v>67</v>
      </c>
      <c r="X52" s="977">
        <f>I53</f>
        <v>207716.69</v>
      </c>
      <c r="Y52" s="977"/>
    </row>
    <row r="53" spans="1:25" ht="16.5" customHeight="1" x14ac:dyDescent="0.25">
      <c r="A53" s="953" t="s">
        <v>65</v>
      </c>
      <c r="B53" s="953"/>
      <c r="C53" s="775"/>
      <c r="D53" s="775"/>
      <c r="E53" s="48">
        <f>E28</f>
        <v>0</v>
      </c>
      <c r="F53" s="49" t="s">
        <v>66</v>
      </c>
      <c r="G53" s="3"/>
      <c r="H53" s="50" t="s">
        <v>67</v>
      </c>
      <c r="I53" s="1051">
        <f>Consolidated!H$71</f>
        <v>207716.69</v>
      </c>
      <c r="J53" s="1051"/>
      <c r="M53" s="2"/>
      <c r="R53" s="781"/>
      <c r="S53" s="772"/>
      <c r="T53" s="159"/>
      <c r="U53" s="159"/>
      <c r="V53" s="159"/>
      <c r="W53" s="178" t="s">
        <v>68</v>
      </c>
      <c r="X53" s="978">
        <f>ROUND(T52/X52,6)</f>
        <v>0</v>
      </c>
      <c r="Y53" s="978"/>
    </row>
    <row r="54" spans="1:25" ht="22.5" customHeight="1" x14ac:dyDescent="0.25">
      <c r="A54" s="775"/>
      <c r="B54" s="759"/>
      <c r="C54" s="759"/>
      <c r="D54" s="759"/>
      <c r="H54" s="53" t="s">
        <v>68</v>
      </c>
      <c r="I54" s="1004">
        <f>IFERROR(ROUND(E53/I53,6),0)</f>
        <v>0</v>
      </c>
      <c r="J54" s="1004"/>
      <c r="M54" s="2"/>
      <c r="R54" s="955" t="s">
        <v>160</v>
      </c>
      <c r="S54" s="955"/>
      <c r="T54" s="955"/>
      <c r="U54" s="955"/>
      <c r="V54" s="955"/>
      <c r="W54" s="955"/>
      <c r="X54" s="955"/>
      <c r="Y54" s="955"/>
    </row>
    <row r="55" spans="1:25" ht="15" customHeight="1" x14ac:dyDescent="0.25">
      <c r="A55" s="952" t="s">
        <v>69</v>
      </c>
      <c r="B55" s="952"/>
      <c r="C55" s="952"/>
      <c r="D55" s="952"/>
      <c r="E55" s="952"/>
      <c r="F55" s="952"/>
      <c r="G55" s="952"/>
      <c r="H55" s="952"/>
      <c r="I55" s="952"/>
      <c r="J55" s="952"/>
      <c r="M55" s="2"/>
      <c r="R55" s="975" t="s">
        <v>70</v>
      </c>
      <c r="S55" s="975"/>
      <c r="T55" s="172">
        <f>X28</f>
        <v>0</v>
      </c>
      <c r="U55" s="173" t="s">
        <v>66</v>
      </c>
      <c r="V55" s="174"/>
      <c r="W55" s="175" t="s">
        <v>71</v>
      </c>
      <c r="X55" s="977">
        <f>I56</f>
        <v>221131.37000000002</v>
      </c>
      <c r="Y55" s="977"/>
    </row>
    <row r="56" spans="1:25" ht="16.5" customHeight="1" x14ac:dyDescent="0.25">
      <c r="A56" s="953" t="s">
        <v>70</v>
      </c>
      <c r="B56" s="953"/>
      <c r="C56" s="775"/>
      <c r="D56" s="775"/>
      <c r="E56" s="48">
        <f>G33</f>
        <v>0</v>
      </c>
      <c r="F56" s="49" t="s">
        <v>66</v>
      </c>
      <c r="G56" s="3"/>
      <c r="H56" s="50" t="s">
        <v>71</v>
      </c>
      <c r="I56" s="1051">
        <f>Consolidated!H$74</f>
        <v>221131.37000000002</v>
      </c>
      <c r="J56" s="1051"/>
      <c r="M56" s="2"/>
      <c r="R56" s="781"/>
      <c r="S56" s="159"/>
      <c r="T56" s="159"/>
      <c r="U56" s="159"/>
      <c r="V56" s="159"/>
      <c r="W56" s="178" t="s">
        <v>68</v>
      </c>
      <c r="X56" s="978">
        <f>ROUND(T55/X55,6)</f>
        <v>0</v>
      </c>
      <c r="Y56" s="978"/>
    </row>
    <row r="57" spans="1:25" ht="18.75" customHeight="1" x14ac:dyDescent="0.25">
      <c r="A57" s="775"/>
      <c r="H57" s="53" t="s">
        <v>68</v>
      </c>
      <c r="I57" s="1004">
        <f>IFERROR(ROUND(E56/I56,6),0)</f>
        <v>0</v>
      </c>
      <c r="J57" s="1004"/>
      <c r="M57" s="2"/>
      <c r="P57" s="774"/>
      <c r="Q57" s="54"/>
      <c r="R57" s="955" t="s">
        <v>72</v>
      </c>
      <c r="S57" s="955"/>
      <c r="T57" s="955"/>
      <c r="U57" s="955"/>
      <c r="V57" s="955"/>
      <c r="W57" s="955"/>
      <c r="X57" s="955"/>
      <c r="Y57" s="955"/>
    </row>
    <row r="58" spans="1:25" ht="18.75" customHeight="1" x14ac:dyDescent="0.25">
      <c r="A58" s="952" t="s">
        <v>72</v>
      </c>
      <c r="B58" s="952"/>
      <c r="C58" s="952"/>
      <c r="D58" s="952"/>
      <c r="E58" s="952"/>
      <c r="F58" s="952"/>
      <c r="G58" s="952"/>
      <c r="H58" s="952"/>
      <c r="I58" s="952"/>
      <c r="J58" s="952"/>
      <c r="M58" s="2"/>
      <c r="R58" s="975" t="s">
        <v>73</v>
      </c>
      <c r="S58" s="975"/>
      <c r="T58" s="172">
        <f>T28</f>
        <v>0</v>
      </c>
      <c r="U58" s="173" t="s">
        <v>66</v>
      </c>
      <c r="V58" s="976" t="s">
        <v>74</v>
      </c>
      <c r="W58" s="976"/>
      <c r="X58" s="977">
        <f>I59</f>
        <v>178668.19</v>
      </c>
      <c r="Y58" s="977"/>
    </row>
    <row r="59" spans="1:25" ht="18.75" customHeight="1" x14ac:dyDescent="0.25">
      <c r="A59" s="953" t="s">
        <v>73</v>
      </c>
      <c r="B59" s="953"/>
      <c r="C59" s="775"/>
      <c r="D59" s="775"/>
      <c r="E59" s="48">
        <f>E28</f>
        <v>0</v>
      </c>
      <c r="F59" s="49" t="s">
        <v>66</v>
      </c>
      <c r="G59" s="1046" t="s">
        <v>74</v>
      </c>
      <c r="H59" s="1046"/>
      <c r="I59" s="1051">
        <f>Consolidated!H$77</f>
        <v>178668.19</v>
      </c>
      <c r="J59" s="1051"/>
      <c r="M59" s="2"/>
      <c r="R59" s="781"/>
      <c r="S59" s="159"/>
      <c r="T59" s="159"/>
      <c r="U59" s="159"/>
      <c r="V59" s="159"/>
      <c r="W59" s="178" t="s">
        <v>68</v>
      </c>
      <c r="X59" s="978">
        <f>ROUND(T58/X58,6)</f>
        <v>0</v>
      </c>
      <c r="Y59" s="978"/>
    </row>
    <row r="60" spans="1:25" ht="18" customHeight="1" x14ac:dyDescent="0.25">
      <c r="A60" s="775"/>
      <c r="H60" s="53" t="s">
        <v>68</v>
      </c>
      <c r="I60" s="1004">
        <f>IFERROR(ROUND(E59/I59,6),0)</f>
        <v>0</v>
      </c>
      <c r="J60" s="1004"/>
      <c r="M60" s="2"/>
      <c r="R60" s="955" t="s">
        <v>75</v>
      </c>
      <c r="S60" s="955"/>
      <c r="T60" s="955"/>
      <c r="U60" s="955"/>
      <c r="V60" s="955"/>
      <c r="W60" s="955"/>
      <c r="X60" s="955"/>
      <c r="Y60" s="955"/>
    </row>
    <row r="61" spans="1:25" ht="19.5" customHeight="1" x14ac:dyDescent="0.25">
      <c r="A61" s="952" t="s">
        <v>75</v>
      </c>
      <c r="B61" s="952"/>
      <c r="C61" s="952"/>
      <c r="D61" s="952"/>
      <c r="E61" s="952"/>
      <c r="F61" s="952"/>
      <c r="G61" s="952"/>
      <c r="H61" s="952"/>
      <c r="I61" s="952"/>
      <c r="J61" s="952"/>
      <c r="M61" s="2"/>
      <c r="R61" s="975" t="s">
        <v>73</v>
      </c>
      <c r="S61" s="975"/>
      <c r="T61" s="172">
        <f>T28</f>
        <v>0</v>
      </c>
      <c r="U61" s="173" t="s">
        <v>66</v>
      </c>
      <c r="V61" s="976" t="s">
        <v>76</v>
      </c>
      <c r="W61" s="976"/>
      <c r="X61" s="977">
        <f>I62</f>
        <v>207376.94</v>
      </c>
      <c r="Y61" s="977"/>
    </row>
    <row r="62" spans="1:25" ht="30.75" customHeight="1" x14ac:dyDescent="0.25">
      <c r="A62" s="953" t="s">
        <v>73</v>
      </c>
      <c r="B62" s="953"/>
      <c r="C62" s="775"/>
      <c r="D62" s="775"/>
      <c r="E62" s="48">
        <f>E28</f>
        <v>0</v>
      </c>
      <c r="F62" s="49" t="s">
        <v>66</v>
      </c>
      <c r="G62" s="1046" t="s">
        <v>76</v>
      </c>
      <c r="H62" s="1046"/>
      <c r="I62" s="1051">
        <f>Consolidated!H$80</f>
        <v>207376.94</v>
      </c>
      <c r="J62" s="1051"/>
      <c r="M62" s="2"/>
      <c r="R62" s="781"/>
      <c r="S62" s="159"/>
      <c r="T62" s="159"/>
      <c r="U62" s="159"/>
      <c r="V62" s="159"/>
      <c r="W62" s="178" t="s">
        <v>68</v>
      </c>
      <c r="X62" s="978">
        <f>ROUND(T61/X61,6)</f>
        <v>0</v>
      </c>
      <c r="Y62" s="978"/>
    </row>
    <row r="63" spans="1:25" ht="19.5" customHeight="1" x14ac:dyDescent="0.25">
      <c r="A63" s="775"/>
      <c r="H63" s="53" t="s">
        <v>68</v>
      </c>
      <c r="I63" s="1004">
        <f>IFERROR(ROUND(E62/I62,6),0)</f>
        <v>0</v>
      </c>
      <c r="J63" s="1004"/>
      <c r="L63" s="55"/>
      <c r="M63" s="56"/>
      <c r="O63" s="57"/>
      <c r="P63" s="58"/>
      <c r="R63" s="955" t="s">
        <v>77</v>
      </c>
      <c r="S63" s="955"/>
      <c r="T63" s="955"/>
      <c r="U63" s="955"/>
      <c r="V63" s="955"/>
      <c r="W63" s="955"/>
      <c r="X63" s="955"/>
      <c r="Y63" s="955"/>
    </row>
    <row r="64" spans="1:25" ht="15" customHeight="1" x14ac:dyDescent="0.25">
      <c r="A64" s="952" t="s">
        <v>77</v>
      </c>
      <c r="B64" s="952"/>
      <c r="C64" s="952"/>
      <c r="D64" s="952"/>
      <c r="E64" s="952"/>
      <c r="F64" s="952"/>
      <c r="G64" s="952"/>
      <c r="H64" s="952"/>
      <c r="I64" s="952"/>
      <c r="J64" s="952"/>
      <c r="M64" s="2"/>
      <c r="R64" s="975" t="s">
        <v>73</v>
      </c>
      <c r="S64" s="975"/>
      <c r="T64" s="172">
        <f>T28</f>
        <v>0</v>
      </c>
      <c r="U64" s="173" t="s">
        <v>66</v>
      </c>
      <c r="V64" s="976" t="s">
        <v>161</v>
      </c>
      <c r="W64" s="976"/>
      <c r="X64" s="977">
        <f>I65</f>
        <v>178328.44</v>
      </c>
      <c r="Y64" s="977"/>
    </row>
    <row r="65" spans="1:26" ht="49.5" customHeight="1" x14ac:dyDescent="0.25">
      <c r="A65" s="953" t="s">
        <v>73</v>
      </c>
      <c r="B65" s="953"/>
      <c r="C65" s="775"/>
      <c r="D65" s="775"/>
      <c r="E65" s="48">
        <f>E28</f>
        <v>0</v>
      </c>
      <c r="F65" s="49" t="s">
        <v>66</v>
      </c>
      <c r="G65" s="1046" t="s">
        <v>78</v>
      </c>
      <c r="H65" s="1046"/>
      <c r="I65" s="1051">
        <f>Consolidated!H$83</f>
        <v>178328.44</v>
      </c>
      <c r="J65" s="1051"/>
      <c r="M65" s="2"/>
      <c r="R65" s="179"/>
      <c r="S65" s="159"/>
      <c r="T65" s="159"/>
      <c r="U65" s="159"/>
      <c r="V65" s="159"/>
      <c r="W65" s="178" t="s">
        <v>68</v>
      </c>
      <c r="X65" s="978">
        <f>ROUND(T64/X64,6)</f>
        <v>0</v>
      </c>
      <c r="Y65" s="978"/>
    </row>
    <row r="66" spans="1:26" ht="19.5" customHeight="1" x14ac:dyDescent="0.25">
      <c r="A66" s="775"/>
      <c r="H66" s="53" t="s">
        <v>68</v>
      </c>
      <c r="I66" s="1004">
        <f>IFERROR(ROUND(E65/I65,6),0)</f>
        <v>0</v>
      </c>
      <c r="J66" s="1004"/>
      <c r="M66" s="2"/>
      <c r="R66" s="781"/>
      <c r="S66" s="168"/>
      <c r="T66" s="168"/>
      <c r="U66" s="168"/>
      <c r="V66" s="168"/>
      <c r="W66" s="180"/>
      <c r="X66" s="181"/>
      <c r="Y66" s="181"/>
    </row>
    <row r="67" spans="1:26" ht="21" customHeight="1" x14ac:dyDescent="0.25">
      <c r="A67" s="59"/>
      <c r="B67" s="44"/>
      <c r="C67" s="44"/>
      <c r="D67" s="44"/>
      <c r="E67" s="44"/>
      <c r="F67" s="44"/>
      <c r="G67" s="44"/>
      <c r="H67" s="60"/>
      <c r="I67" s="61"/>
      <c r="J67" s="61"/>
      <c r="M67" s="2"/>
      <c r="R67" s="955" t="s">
        <v>79</v>
      </c>
      <c r="S67" s="955"/>
      <c r="T67" s="955"/>
      <c r="U67" s="785"/>
      <c r="V67" s="182">
        <f>G68</f>
        <v>45610484</v>
      </c>
      <c r="W67" s="765" t="s">
        <v>81</v>
      </c>
      <c r="X67" s="165">
        <f>X62</f>
        <v>0</v>
      </c>
      <c r="Y67" s="215">
        <f>ROUND(V67*X67,2)</f>
        <v>0</v>
      </c>
    </row>
    <row r="68" spans="1:26" ht="30.75" customHeight="1" x14ac:dyDescent="0.25">
      <c r="A68" s="1005" t="s">
        <v>79</v>
      </c>
      <c r="B68" s="1005"/>
      <c r="C68" s="1005"/>
      <c r="D68" s="1005"/>
      <c r="E68" s="1005"/>
      <c r="F68" s="790" t="s">
        <v>80</v>
      </c>
      <c r="G68" s="221">
        <f>Consolidated!F$86</f>
        <v>45610484</v>
      </c>
      <c r="H68" s="762" t="s">
        <v>81</v>
      </c>
      <c r="I68" s="41">
        <f>I63</f>
        <v>0</v>
      </c>
      <c r="J68" s="127">
        <f>ROUND(G68*I68,2)</f>
        <v>0</v>
      </c>
      <c r="M68" s="2"/>
      <c r="R68" s="954" t="s">
        <v>82</v>
      </c>
      <c r="S68" s="954"/>
      <c r="T68" s="776"/>
      <c r="U68" s="785"/>
      <c r="V68" s="183"/>
      <c r="W68" s="765"/>
      <c r="X68" s="165"/>
      <c r="Y68" s="215"/>
    </row>
    <row r="69" spans="1:26" ht="30.75" customHeight="1" x14ac:dyDescent="0.25">
      <c r="A69" s="1006" t="s">
        <v>82</v>
      </c>
      <c r="B69" s="1006"/>
      <c r="C69" s="792"/>
      <c r="D69" s="792"/>
      <c r="E69" s="774"/>
      <c r="F69" s="790"/>
      <c r="G69" s="63"/>
      <c r="H69" s="762"/>
      <c r="I69" s="41"/>
      <c r="J69" s="62"/>
      <c r="M69" s="2"/>
      <c r="R69" s="981" t="s">
        <v>162</v>
      </c>
      <c r="S69" s="975"/>
      <c r="T69" s="975"/>
      <c r="U69" s="785"/>
      <c r="V69" s="184">
        <f>G70</f>
        <v>0</v>
      </c>
      <c r="W69" s="765" t="s">
        <v>81</v>
      </c>
      <c r="X69" s="165">
        <f>X53</f>
        <v>0</v>
      </c>
      <c r="Y69" s="212">
        <f t="shared" ref="Y69:Y71" si="11">ROUND(V69*X69,2)</f>
        <v>0</v>
      </c>
    </row>
    <row r="70" spans="1:26" ht="17.25" customHeight="1" x14ac:dyDescent="0.25">
      <c r="A70" s="1007" t="s">
        <v>83</v>
      </c>
      <c r="B70" s="1007"/>
      <c r="C70" s="1007"/>
      <c r="D70" s="1007"/>
      <c r="E70" s="1007"/>
      <c r="F70" s="790" t="s">
        <v>84</v>
      </c>
      <c r="G70" s="221">
        <f>Consolidated!F$89</f>
        <v>0</v>
      </c>
      <c r="H70" s="762" t="s">
        <v>81</v>
      </c>
      <c r="I70" s="41">
        <f>I54</f>
        <v>0</v>
      </c>
      <c r="J70" s="127">
        <f>ROUND(G70*I70,2)</f>
        <v>0</v>
      </c>
      <c r="M70" s="2"/>
      <c r="R70" s="955" t="s">
        <v>163</v>
      </c>
      <c r="S70" s="955"/>
      <c r="T70" s="955"/>
      <c r="U70" s="785"/>
      <c r="V70" s="182">
        <f>G71</f>
        <v>18959906</v>
      </c>
      <c r="W70" s="765" t="s">
        <v>81</v>
      </c>
      <c r="X70" s="165">
        <f>X65</f>
        <v>0</v>
      </c>
      <c r="Y70" s="212">
        <f t="shared" si="11"/>
        <v>0</v>
      </c>
    </row>
    <row r="71" spans="1:26" ht="19.5" customHeight="1" x14ac:dyDescent="0.25">
      <c r="A71" s="952" t="s">
        <v>85</v>
      </c>
      <c r="B71" s="952"/>
      <c r="C71" s="952"/>
      <c r="D71" s="952"/>
      <c r="E71" s="952"/>
      <c r="F71" s="790" t="s">
        <v>86</v>
      </c>
      <c r="G71" s="221">
        <f>Consolidated!F$91</f>
        <v>18959906</v>
      </c>
      <c r="H71" s="762" t="s">
        <v>81</v>
      </c>
      <c r="I71" s="41">
        <f>I66</f>
        <v>0</v>
      </c>
      <c r="J71" s="127">
        <f>ROUND(G71*I71,2)</f>
        <v>0</v>
      </c>
      <c r="M71" s="2"/>
      <c r="R71" s="776" t="s">
        <v>164</v>
      </c>
      <c r="S71" s="776"/>
      <c r="T71" s="776"/>
      <c r="U71" s="785"/>
      <c r="V71" s="160">
        <f>G72</f>
        <v>11308391</v>
      </c>
      <c r="W71" s="765" t="s">
        <v>81</v>
      </c>
      <c r="X71" s="165">
        <f>X59</f>
        <v>0</v>
      </c>
      <c r="Y71" s="212">
        <f t="shared" si="11"/>
        <v>0</v>
      </c>
    </row>
    <row r="72" spans="1:26" ht="19.5" customHeight="1" x14ac:dyDescent="0.25">
      <c r="A72" s="774" t="s">
        <v>87</v>
      </c>
      <c r="B72" s="774"/>
      <c r="C72" s="774"/>
      <c r="D72" s="774"/>
      <c r="E72" s="774"/>
      <c r="F72" s="790" t="s">
        <v>88</v>
      </c>
      <c r="G72" s="221">
        <f>Consolidated!F$93</f>
        <v>11308391</v>
      </c>
      <c r="H72" s="762" t="s">
        <v>81</v>
      </c>
      <c r="I72" s="41">
        <f>I60</f>
        <v>0</v>
      </c>
      <c r="J72" s="127">
        <f>ROUND(G72*I72,2)</f>
        <v>0</v>
      </c>
      <c r="M72" s="2"/>
      <c r="R72" s="776" t="s">
        <v>165</v>
      </c>
      <c r="S72" s="776"/>
      <c r="T72" s="776"/>
      <c r="U72" s="785"/>
      <c r="V72" s="185"/>
      <c r="W72" s="765"/>
      <c r="X72" s="165"/>
      <c r="Y72" s="167"/>
    </row>
    <row r="73" spans="1:26" ht="24.75" customHeight="1" x14ac:dyDescent="0.25">
      <c r="A73" s="774" t="s">
        <v>89</v>
      </c>
      <c r="B73" s="774"/>
      <c r="C73" s="774"/>
      <c r="D73" s="774"/>
      <c r="E73" s="774"/>
      <c r="F73" s="790" t="s">
        <v>90</v>
      </c>
      <c r="G73" s="64"/>
      <c r="H73" s="762"/>
      <c r="I73" s="41"/>
      <c r="J73" s="30"/>
      <c r="M73" s="2"/>
      <c r="R73" s="937" t="s">
        <v>91</v>
      </c>
      <c r="S73" s="937"/>
      <c r="T73" s="966" t="s">
        <v>166</v>
      </c>
      <c r="U73" s="967"/>
      <c r="V73" s="967"/>
      <c r="W73" s="967"/>
      <c r="X73" s="967"/>
      <c r="Y73" s="142"/>
    </row>
    <row r="74" spans="1:26" ht="63" customHeight="1" x14ac:dyDescent="0.25">
      <c r="A74" s="913" t="s">
        <v>91</v>
      </c>
      <c r="B74" s="913"/>
      <c r="C74" s="758"/>
      <c r="D74" s="758"/>
      <c r="E74" s="914" t="s">
        <v>92</v>
      </c>
      <c r="F74" s="915"/>
      <c r="G74" s="915"/>
      <c r="H74" s="915"/>
      <c r="I74" s="915"/>
      <c r="J74" s="18"/>
      <c r="M74" s="2"/>
      <c r="R74" s="982" t="s">
        <v>93</v>
      </c>
      <c r="S74" s="982"/>
      <c r="T74" s="186"/>
      <c r="U74" s="186"/>
      <c r="V74" s="186"/>
      <c r="W74" s="186"/>
      <c r="X74" s="186"/>
      <c r="Y74" s="186"/>
    </row>
    <row r="75" spans="1:26" ht="22.5" customHeight="1" x14ac:dyDescent="0.25">
      <c r="A75" s="899" t="s">
        <v>93</v>
      </c>
      <c r="B75" s="899"/>
      <c r="C75" s="757"/>
      <c r="D75" s="757"/>
      <c r="E75" s="65"/>
      <c r="F75" s="65"/>
      <c r="G75" s="65"/>
      <c r="H75" s="65"/>
      <c r="I75" s="65"/>
      <c r="J75" s="118"/>
      <c r="L75" s="66"/>
      <c r="M75" s="2"/>
      <c r="O75" s="790"/>
      <c r="P75" s="790"/>
      <c r="R75" s="982" t="s">
        <v>94</v>
      </c>
      <c r="S75" s="982"/>
      <c r="T75" s="186"/>
      <c r="U75" s="186"/>
      <c r="V75" s="186"/>
      <c r="W75" s="186"/>
      <c r="X75" s="186"/>
      <c r="Y75" s="186"/>
    </row>
    <row r="76" spans="1:26" ht="18.75" customHeight="1" x14ac:dyDescent="0.25">
      <c r="A76" s="899" t="s">
        <v>94</v>
      </c>
      <c r="B76" s="899"/>
      <c r="C76" s="757"/>
      <c r="D76" s="757"/>
      <c r="E76" s="65"/>
      <c r="F76" s="65"/>
      <c r="G76" s="65"/>
      <c r="H76" s="65"/>
      <c r="I76" s="65"/>
      <c r="J76" s="118"/>
      <c r="L76" s="67"/>
      <c r="M76" s="2"/>
      <c r="O76" s="790"/>
      <c r="P76" s="790"/>
      <c r="R76" s="983" t="s">
        <v>95</v>
      </c>
      <c r="S76" s="983"/>
      <c r="T76" s="187"/>
      <c r="U76" s="187"/>
      <c r="V76" s="187"/>
      <c r="W76" s="187"/>
      <c r="X76" s="187"/>
      <c r="Y76" s="186"/>
    </row>
    <row r="77" spans="1:26" ht="18.75" customHeight="1" x14ac:dyDescent="0.25">
      <c r="A77" s="917" t="s">
        <v>95</v>
      </c>
      <c r="B77" s="917"/>
      <c r="C77" s="760"/>
      <c r="D77" s="760"/>
      <c r="E77" s="68"/>
      <c r="F77" s="68"/>
      <c r="G77" s="68"/>
      <c r="H77" s="68"/>
      <c r="I77" s="68"/>
      <c r="J77" s="117"/>
      <c r="L77" s="67"/>
      <c r="M77" s="2"/>
      <c r="O77" s="790"/>
      <c r="P77" s="790"/>
      <c r="R77" s="782" t="s">
        <v>96</v>
      </c>
      <c r="S77" s="782"/>
      <c r="T77" s="186"/>
      <c r="U77" s="186"/>
      <c r="V77" s="186"/>
      <c r="W77" s="186"/>
      <c r="X77" s="186"/>
      <c r="Y77" s="186"/>
    </row>
    <row r="78" spans="1:26" ht="20.25" customHeight="1" x14ac:dyDescent="0.25">
      <c r="A78" s="757" t="s">
        <v>96</v>
      </c>
      <c r="B78" s="757"/>
      <c r="C78" s="757"/>
      <c r="D78" s="757"/>
      <c r="E78" s="65"/>
      <c r="F78" s="65"/>
      <c r="G78" s="65"/>
      <c r="H78" s="65"/>
      <c r="I78" s="65"/>
      <c r="J78" s="118"/>
      <c r="K78" s="70"/>
      <c r="L78" s="70"/>
      <c r="M78" s="71"/>
      <c r="N78" s="70"/>
      <c r="O78" s="70"/>
      <c r="P78" s="70"/>
      <c r="Q78" s="70"/>
      <c r="R78" s="982" t="s">
        <v>97</v>
      </c>
      <c r="S78" s="982"/>
      <c r="T78" s="186"/>
      <c r="U78" s="186"/>
      <c r="V78" s="186"/>
      <c r="W78" s="186"/>
      <c r="X78" s="186"/>
      <c r="Y78" s="186"/>
      <c r="Z78" s="72"/>
    </row>
    <row r="79" spans="1:26" ht="18.75" customHeight="1" x14ac:dyDescent="0.25">
      <c r="A79" s="899" t="s">
        <v>97</v>
      </c>
      <c r="B79" s="899"/>
      <c r="C79" s="757"/>
      <c r="D79" s="757"/>
      <c r="E79" s="65"/>
      <c r="F79" s="65"/>
      <c r="G79" s="65"/>
      <c r="H79" s="65"/>
      <c r="I79" s="65"/>
      <c r="J79" s="118"/>
      <c r="K79" s="70"/>
      <c r="L79" s="70"/>
      <c r="M79" s="71"/>
      <c r="N79" s="70"/>
      <c r="O79" s="70"/>
      <c r="P79" s="70"/>
      <c r="Q79" s="70"/>
      <c r="R79" s="961" t="s">
        <v>98</v>
      </c>
      <c r="S79" s="961"/>
      <c r="T79" s="189"/>
      <c r="U79" s="189"/>
      <c r="V79" s="189"/>
      <c r="W79" s="189"/>
      <c r="X79" s="189"/>
      <c r="Y79" s="186"/>
      <c r="Z79" s="72"/>
    </row>
    <row r="80" spans="1:26" ht="17.25" customHeight="1" x14ac:dyDescent="0.25">
      <c r="A80" s="918" t="s">
        <v>98</v>
      </c>
      <c r="B80" s="918"/>
      <c r="C80" s="761"/>
      <c r="D80" s="761"/>
      <c r="E80" s="73"/>
      <c r="F80" s="73"/>
      <c r="G80" s="73"/>
      <c r="H80" s="73"/>
      <c r="I80" s="73"/>
      <c r="J80" s="118">
        <v>0</v>
      </c>
      <c r="K80" s="70"/>
      <c r="L80" s="70"/>
      <c r="M80" s="71"/>
      <c r="N80" s="70"/>
      <c r="O80" s="70"/>
      <c r="P80" s="70"/>
      <c r="Q80" s="70"/>
      <c r="R80" s="778"/>
      <c r="S80" s="778"/>
      <c r="T80" s="778"/>
      <c r="U80" s="778"/>
      <c r="V80" s="153"/>
      <c r="W80" s="777"/>
      <c r="X80" s="777" t="s">
        <v>99</v>
      </c>
      <c r="Y80" s="190">
        <f>SUM(Y74:Y79)</f>
        <v>0</v>
      </c>
      <c r="Z80" s="72"/>
    </row>
    <row r="81" spans="1:26" ht="17.25" customHeight="1" x14ac:dyDescent="0.25">
      <c r="A81" s="779"/>
      <c r="B81" s="779"/>
      <c r="C81" s="779"/>
      <c r="D81" s="779"/>
      <c r="E81" s="779"/>
      <c r="F81" s="779"/>
      <c r="G81" s="31"/>
      <c r="H81" s="795"/>
      <c r="I81" s="795" t="s">
        <v>99</v>
      </c>
      <c r="J81" s="74">
        <f>SUM(J75:J80)</f>
        <v>0</v>
      </c>
      <c r="K81" s="70"/>
      <c r="L81" s="70"/>
      <c r="M81" s="71"/>
      <c r="N81" s="70"/>
      <c r="O81" s="70"/>
      <c r="P81" s="70"/>
      <c r="Q81" s="70"/>
      <c r="R81" s="778"/>
      <c r="S81" s="778"/>
      <c r="T81" s="778"/>
      <c r="U81" s="778"/>
      <c r="V81" s="153"/>
      <c r="W81" s="777"/>
      <c r="X81" s="777" t="s">
        <v>100</v>
      </c>
      <c r="Y81" s="190">
        <f>J82</f>
        <v>12903.05</v>
      </c>
      <c r="Z81" s="72"/>
    </row>
    <row r="82" spans="1:26" ht="18.75" customHeight="1" x14ac:dyDescent="0.25">
      <c r="A82" s="779"/>
      <c r="B82" s="779"/>
      <c r="C82" s="779"/>
      <c r="D82" s="779"/>
      <c r="E82" s="779"/>
      <c r="F82" s="779"/>
      <c r="G82" s="31"/>
      <c r="H82" s="795"/>
      <c r="I82" s="795" t="s">
        <v>100</v>
      </c>
      <c r="J82" s="74">
        <f>Consolidated!J$104</f>
        <v>12903.05</v>
      </c>
      <c r="K82" s="70"/>
      <c r="L82" s="70"/>
      <c r="M82" s="71"/>
      <c r="N82" s="70"/>
      <c r="O82" s="70"/>
      <c r="P82" s="70"/>
      <c r="Q82" s="70"/>
      <c r="R82" s="778"/>
      <c r="S82" s="778"/>
      <c r="T82" s="778"/>
      <c r="U82" s="778"/>
      <c r="V82" s="153"/>
      <c r="W82" s="777"/>
      <c r="X82" s="777"/>
      <c r="Y82" s="191"/>
      <c r="Z82" s="72"/>
    </row>
    <row r="83" spans="1:26" ht="15.75" customHeight="1" x14ac:dyDescent="0.25">
      <c r="A83" s="779"/>
      <c r="B83" s="779"/>
      <c r="C83" s="779"/>
      <c r="D83" s="779"/>
      <c r="E83" s="779"/>
      <c r="F83" s="779"/>
      <c r="G83" s="31"/>
      <c r="H83" s="795"/>
      <c r="I83" s="795"/>
      <c r="J83" s="75"/>
      <c r="K83" s="70"/>
      <c r="L83" s="70"/>
      <c r="M83" s="71"/>
      <c r="N83" s="70"/>
      <c r="O83" s="70"/>
      <c r="P83" s="70"/>
      <c r="Q83" s="70"/>
      <c r="R83" s="946" t="s">
        <v>101</v>
      </c>
      <c r="S83" s="946"/>
      <c r="T83" s="159"/>
      <c r="U83" s="159"/>
      <c r="V83" s="160">
        <f>G84</f>
        <v>58502790</v>
      </c>
      <c r="W83" s="765" t="s">
        <v>81</v>
      </c>
      <c r="X83" s="165">
        <f>IFERROR(ROUND(Y80/Y81,6),0)</f>
        <v>0</v>
      </c>
      <c r="Y83" s="212">
        <f>ROUND(V83*X83,2)</f>
        <v>0</v>
      </c>
      <c r="Z83" s="72"/>
    </row>
    <row r="84" spans="1:26" ht="21" customHeight="1" x14ac:dyDescent="0.25">
      <c r="A84" s="916" t="s">
        <v>101</v>
      </c>
      <c r="B84" s="916"/>
      <c r="C84" s="759"/>
      <c r="D84" s="759"/>
      <c r="G84" s="112">
        <f>Consolidated!F$106</f>
        <v>58502790</v>
      </c>
      <c r="H84" s="762" t="s">
        <v>81</v>
      </c>
      <c r="I84" s="41">
        <f>IFERROR(ROUND(J81/J82,6),0)</f>
        <v>0</v>
      </c>
      <c r="J84" s="62">
        <f>ROUND(G84*I84,2)</f>
        <v>0</v>
      </c>
      <c r="K84" s="70"/>
      <c r="L84" s="70"/>
      <c r="M84" s="71"/>
      <c r="N84" s="70"/>
      <c r="O84" s="70"/>
      <c r="P84" s="70"/>
      <c r="Q84" s="70"/>
      <c r="R84" s="955" t="s">
        <v>167</v>
      </c>
      <c r="S84" s="955"/>
      <c r="T84" s="955"/>
      <c r="U84" s="785"/>
      <c r="V84" s="218"/>
      <c r="W84" s="765"/>
      <c r="X84" s="165"/>
      <c r="Y84" s="212"/>
    </row>
    <row r="85" spans="1:26" ht="17.25" customHeight="1" x14ac:dyDescent="0.25">
      <c r="A85" s="952" t="s">
        <v>102</v>
      </c>
      <c r="B85" s="952"/>
      <c r="C85" s="952"/>
      <c r="D85" s="952"/>
      <c r="E85" s="952"/>
      <c r="F85" s="790" t="s">
        <v>103</v>
      </c>
      <c r="G85" s="112">
        <f>Consolidated!F$108</f>
        <v>268816278</v>
      </c>
      <c r="H85" s="762" t="s">
        <v>81</v>
      </c>
      <c r="I85" s="41">
        <f>I57</f>
        <v>0</v>
      </c>
      <c r="J85" s="127">
        <f>ROUND(G85*I85,2)</f>
        <v>0</v>
      </c>
      <c r="K85" s="70"/>
      <c r="L85" s="70"/>
      <c r="M85" s="71"/>
      <c r="N85" s="70"/>
      <c r="O85" s="70"/>
      <c r="P85" s="70"/>
      <c r="Q85" s="70"/>
      <c r="R85" s="955" t="s">
        <v>168</v>
      </c>
      <c r="S85" s="955"/>
      <c r="T85" s="955"/>
      <c r="U85" s="785"/>
      <c r="V85" s="160">
        <f>G85</f>
        <v>268816278</v>
      </c>
      <c r="W85" s="765" t="s">
        <v>81</v>
      </c>
      <c r="X85" s="165">
        <f>X56</f>
        <v>0</v>
      </c>
      <c r="Y85" s="212">
        <f t="shared" ref="Y85:Y87" si="12">ROUND(V85*X85,2)</f>
        <v>0</v>
      </c>
    </row>
    <row r="86" spans="1:26" ht="14.25" customHeight="1" x14ac:dyDescent="0.25">
      <c r="A86" s="952" t="s">
        <v>104</v>
      </c>
      <c r="B86" s="952"/>
      <c r="C86" s="952"/>
      <c r="D86" s="952"/>
      <c r="E86" s="952"/>
      <c r="F86" s="790" t="s">
        <v>103</v>
      </c>
      <c r="G86" s="128">
        <v>0</v>
      </c>
      <c r="H86" s="762" t="s">
        <v>81</v>
      </c>
      <c r="I86" s="41">
        <f>I57</f>
        <v>0</v>
      </c>
      <c r="J86" s="127">
        <f>ROUND(G86*I86,2)</f>
        <v>0</v>
      </c>
      <c r="K86" s="70"/>
      <c r="L86" s="71"/>
      <c r="M86" s="76"/>
      <c r="N86" s="76"/>
      <c r="O86" s="76"/>
      <c r="P86" s="76"/>
      <c r="Q86" s="70"/>
      <c r="R86" s="955" t="s">
        <v>169</v>
      </c>
      <c r="S86" s="955"/>
      <c r="T86" s="955"/>
      <c r="U86" s="785"/>
      <c r="V86" s="192">
        <f>G86</f>
        <v>0</v>
      </c>
      <c r="W86" s="765" t="s">
        <v>81</v>
      </c>
      <c r="X86" s="165">
        <f>X56</f>
        <v>0</v>
      </c>
      <c r="Y86" s="212">
        <f t="shared" si="12"/>
        <v>0</v>
      </c>
    </row>
    <row r="87" spans="1:26" ht="18" customHeight="1" x14ac:dyDescent="0.25">
      <c r="A87" s="952" t="s">
        <v>105</v>
      </c>
      <c r="B87" s="952"/>
      <c r="C87" s="952"/>
      <c r="D87" s="952"/>
      <c r="E87" s="952"/>
      <c r="F87" s="790" t="s">
        <v>84</v>
      </c>
      <c r="G87" s="128">
        <v>0</v>
      </c>
      <c r="H87" s="762" t="s">
        <v>81</v>
      </c>
      <c r="I87" s="41">
        <f>I54</f>
        <v>0</v>
      </c>
      <c r="J87" s="62">
        <f>ROUND(G87*I87,2)</f>
        <v>0</v>
      </c>
      <c r="K87" s="77"/>
      <c r="L87" s="70"/>
      <c r="M87" s="71"/>
      <c r="N87" s="70"/>
      <c r="O87" s="70"/>
      <c r="P87" s="70"/>
      <c r="Q87" s="70"/>
      <c r="R87" s="776" t="s">
        <v>170</v>
      </c>
      <c r="S87" s="776"/>
      <c r="T87" s="776"/>
      <c r="U87" s="785"/>
      <c r="V87" s="192">
        <f>G87</f>
        <v>0</v>
      </c>
      <c r="W87" s="765" t="s">
        <v>81</v>
      </c>
      <c r="X87" s="165">
        <f>X53</f>
        <v>0</v>
      </c>
      <c r="Y87" s="212">
        <f t="shared" si="12"/>
        <v>0</v>
      </c>
    </row>
    <row r="88" spans="1:26" ht="17.25" customHeight="1" x14ac:dyDescent="0.25">
      <c r="A88" s="952" t="s">
        <v>106</v>
      </c>
      <c r="B88" s="952"/>
      <c r="C88" s="952"/>
      <c r="D88" s="952"/>
      <c r="E88" s="952"/>
      <c r="F88" s="952"/>
      <c r="G88" s="952"/>
      <c r="H88" s="952"/>
      <c r="I88" s="952"/>
      <c r="J88" s="952"/>
      <c r="K88" s="70"/>
      <c r="L88" s="70"/>
      <c r="M88" s="71"/>
      <c r="N88" s="70"/>
      <c r="O88" s="70"/>
      <c r="P88" s="70"/>
      <c r="Q88" s="70"/>
      <c r="R88" s="955" t="s">
        <v>171</v>
      </c>
      <c r="S88" s="955"/>
      <c r="T88" s="955"/>
      <c r="U88" s="955"/>
      <c r="V88" s="955"/>
      <c r="W88" s="955"/>
      <c r="X88" s="955"/>
      <c r="Y88" s="955"/>
    </row>
    <row r="89" spans="1:26" ht="15.75" customHeight="1" x14ac:dyDescent="0.25">
      <c r="A89" s="78"/>
      <c r="B89" s="79" t="s">
        <v>107</v>
      </c>
      <c r="C89" s="79"/>
      <c r="D89" s="920" t="s">
        <v>108</v>
      </c>
      <c r="E89" s="920"/>
      <c r="F89" s="920"/>
      <c r="G89" s="1045" t="s">
        <v>109</v>
      </c>
      <c r="H89" s="1045"/>
      <c r="I89" s="1045"/>
      <c r="J89" s="1045"/>
      <c r="K89" s="70"/>
      <c r="L89" s="70"/>
      <c r="M89" s="71"/>
      <c r="N89" s="70"/>
      <c r="O89" s="70"/>
      <c r="P89" s="70"/>
      <c r="Q89" s="70"/>
      <c r="R89" s="991" t="s">
        <v>107</v>
      </c>
      <c r="S89" s="991"/>
      <c r="T89" s="928" t="s">
        <v>172</v>
      </c>
      <c r="U89" s="992"/>
      <c r="V89" s="993" t="s">
        <v>109</v>
      </c>
      <c r="W89" s="993"/>
      <c r="X89" s="993"/>
      <c r="Y89" s="993"/>
    </row>
    <row r="90" spans="1:26" ht="18.75" customHeight="1" x14ac:dyDescent="0.25">
      <c r="A90" s="779" t="s">
        <v>110</v>
      </c>
      <c r="B90" s="763">
        <f>I12+I13+I18+I21+I24</f>
        <v>0</v>
      </c>
      <c r="C90" s="763"/>
      <c r="D90" s="921">
        <f>I6</f>
        <v>1.0355000000000001</v>
      </c>
      <c r="E90" s="921"/>
      <c r="F90" s="921"/>
      <c r="G90" s="113">
        <f>Consolidated!F$118</f>
        <v>958.42</v>
      </c>
      <c r="H90" s="47" t="s">
        <v>68</v>
      </c>
      <c r="I90" s="130">
        <f>ROUND(B90*D90*G90,2)</f>
        <v>0</v>
      </c>
      <c r="J90" s="81"/>
      <c r="K90" s="70"/>
      <c r="L90" s="70"/>
      <c r="M90" s="71"/>
      <c r="N90" s="70"/>
      <c r="O90" s="70"/>
      <c r="P90" s="70"/>
      <c r="Q90" s="70"/>
      <c r="R90" s="778" t="s">
        <v>110</v>
      </c>
      <c r="S90" s="783">
        <f>X12+X13+X18+X21+X24</f>
        <v>0</v>
      </c>
      <c r="T90" s="984">
        <f>X6</f>
        <v>1.0355000000000001</v>
      </c>
      <c r="U90" s="984"/>
      <c r="V90" s="113">
        <f>G90</f>
        <v>958.42</v>
      </c>
      <c r="W90" s="171" t="s">
        <v>68</v>
      </c>
      <c r="X90" s="216">
        <f>ROUND(S90*T90*V90,2)</f>
        <v>0</v>
      </c>
      <c r="Y90" s="194"/>
    </row>
    <row r="91" spans="1:26" ht="21" customHeight="1" x14ac:dyDescent="0.25">
      <c r="A91" s="82" t="s">
        <v>60</v>
      </c>
      <c r="B91" s="763">
        <f>I14+I15+I19+I22+I25</f>
        <v>0</v>
      </c>
      <c r="C91" s="763"/>
      <c r="D91" s="921">
        <f>I6</f>
        <v>1.0355000000000001</v>
      </c>
      <c r="E91" s="921"/>
      <c r="F91" s="921"/>
      <c r="G91" s="113">
        <f>Consolidated!F$119</f>
        <v>915.09</v>
      </c>
      <c r="H91" s="47" t="s">
        <v>68</v>
      </c>
      <c r="I91" s="129">
        <f>ROUND(B91*D91*G91,2)</f>
        <v>0</v>
      </c>
      <c r="K91" s="70"/>
      <c r="L91" s="70"/>
      <c r="M91" s="71"/>
      <c r="N91" s="70"/>
      <c r="O91" s="70"/>
      <c r="P91" s="70"/>
      <c r="Q91" s="70"/>
      <c r="R91" s="195" t="s">
        <v>60</v>
      </c>
      <c r="S91" s="783">
        <f>X14+X15+X19+X22+X25</f>
        <v>0</v>
      </c>
      <c r="T91" s="984">
        <f>X6</f>
        <v>1.0355000000000001</v>
      </c>
      <c r="U91" s="984"/>
      <c r="V91" s="113">
        <f>G91</f>
        <v>915.09</v>
      </c>
      <c r="W91" s="171" t="s">
        <v>68</v>
      </c>
      <c r="X91" s="216">
        <f>ROUND(S91*T91*V91,2)</f>
        <v>0</v>
      </c>
      <c r="Y91" s="159"/>
    </row>
    <row r="92" spans="1:26" ht="19.5" customHeight="1" thickBot="1" x14ac:dyDescent="0.3">
      <c r="A92" s="83" t="s">
        <v>61</v>
      </c>
      <c r="B92" s="763">
        <f>I16+I17+I20+I23+I26+I27</f>
        <v>0</v>
      </c>
      <c r="C92" s="763"/>
      <c r="D92" s="921">
        <f>I6</f>
        <v>1.0355000000000001</v>
      </c>
      <c r="E92" s="921"/>
      <c r="F92" s="921"/>
      <c r="G92" s="113">
        <f>Consolidated!F$120</f>
        <v>917.3</v>
      </c>
      <c r="H92" s="47" t="s">
        <v>68</v>
      </c>
      <c r="I92" s="537">
        <f>ROUND(B92*D92*G92,2)</f>
        <v>0</v>
      </c>
      <c r="K92" s="70"/>
      <c r="L92" s="70"/>
      <c r="M92" s="71"/>
      <c r="N92" s="70"/>
      <c r="O92" s="70"/>
      <c r="P92" s="70"/>
      <c r="Q92" s="70"/>
      <c r="R92" s="196" t="s">
        <v>61</v>
      </c>
      <c r="S92" s="197">
        <f>X16+X17+X20+X23+X26+X27</f>
        <v>0</v>
      </c>
      <c r="T92" s="984">
        <f>X6</f>
        <v>1.0355000000000001</v>
      </c>
      <c r="U92" s="984"/>
      <c r="V92" s="113">
        <f>G92</f>
        <v>917.3</v>
      </c>
      <c r="W92" s="171" t="s">
        <v>68</v>
      </c>
      <c r="X92" s="216">
        <f>ROUND(S92*T92*V92,2)</f>
        <v>0</v>
      </c>
      <c r="Y92" s="159"/>
    </row>
    <row r="93" spans="1:26" ht="18.75" customHeight="1" thickBot="1" x14ac:dyDescent="0.3">
      <c r="A93" s="789" t="s">
        <v>111</v>
      </c>
      <c r="B93" s="763">
        <f>SUM(B90:B92)</f>
        <v>0</v>
      </c>
      <c r="C93" s="763"/>
      <c r="D93" s="763"/>
      <c r="E93" s="999" t="s">
        <v>112</v>
      </c>
      <c r="F93" s="999"/>
      <c r="G93" s="999"/>
      <c r="H93" s="999"/>
      <c r="I93" s="999"/>
      <c r="J93" s="116">
        <f>IF(A1=75,0,I92+I91+I90)</f>
        <v>0</v>
      </c>
      <c r="K93" s="70"/>
      <c r="L93" s="70"/>
      <c r="M93" s="71"/>
      <c r="N93" s="70"/>
      <c r="O93" s="70"/>
      <c r="P93" s="70"/>
      <c r="Q93" s="70"/>
      <c r="R93" s="784" t="s">
        <v>111</v>
      </c>
      <c r="S93" s="199">
        <f>SUM(S90:S92)</f>
        <v>0</v>
      </c>
      <c r="T93" s="985" t="s">
        <v>112</v>
      </c>
      <c r="U93" s="986"/>
      <c r="V93" s="986"/>
      <c r="W93" s="986"/>
      <c r="X93" s="986"/>
      <c r="Y93" s="212">
        <f>IF(R1=75,0,X92+X91+X90)</f>
        <v>0</v>
      </c>
    </row>
    <row r="94" spans="1:26" ht="18" customHeight="1" x14ac:dyDescent="0.25">
      <c r="A94" s="1000" t="s">
        <v>113</v>
      </c>
      <c r="B94" s="1000"/>
      <c r="C94" s="1000"/>
      <c r="D94" s="1000"/>
      <c r="E94" s="1000"/>
      <c r="F94" s="1000"/>
      <c r="G94" s="1000"/>
      <c r="H94" s="1000"/>
      <c r="I94" s="1000"/>
      <c r="J94" s="1000"/>
      <c r="K94" s="70"/>
      <c r="L94" s="70"/>
      <c r="M94" s="71"/>
      <c r="N94" s="70"/>
      <c r="O94" s="70"/>
      <c r="P94" s="70"/>
      <c r="Q94" s="70"/>
      <c r="R94" s="987" t="s">
        <v>113</v>
      </c>
      <c r="S94" s="987"/>
      <c r="T94" s="987"/>
      <c r="U94" s="987"/>
      <c r="V94" s="987"/>
      <c r="W94" s="987"/>
      <c r="X94" s="987"/>
      <c r="Y94" s="987"/>
    </row>
    <row r="95" spans="1:26" ht="17.25" customHeight="1" x14ac:dyDescent="0.25">
      <c r="A95" s="952" t="s">
        <v>114</v>
      </c>
      <c r="B95" s="952"/>
      <c r="C95" s="952"/>
      <c r="D95" s="952"/>
      <c r="E95" s="952"/>
      <c r="F95" s="790" t="s">
        <v>115</v>
      </c>
      <c r="G95" s="1001"/>
      <c r="H95" s="1001"/>
      <c r="I95" s="1001"/>
      <c r="J95" s="1001"/>
      <c r="K95" s="70"/>
      <c r="L95" s="70"/>
      <c r="M95" s="71"/>
      <c r="N95" s="70"/>
      <c r="O95" s="70"/>
      <c r="P95" s="70"/>
      <c r="Q95" s="70"/>
      <c r="R95" s="955" t="s">
        <v>173</v>
      </c>
      <c r="S95" s="955"/>
      <c r="T95" s="955"/>
      <c r="U95" s="785"/>
      <c r="V95" s="988"/>
      <c r="W95" s="988"/>
      <c r="X95" s="988"/>
      <c r="Y95" s="988"/>
    </row>
    <row r="96" spans="1:26" ht="15" customHeight="1" x14ac:dyDescent="0.25">
      <c r="B96" s="774"/>
      <c r="C96" s="114" t="s">
        <v>634</v>
      </c>
      <c r="D96" s="114" t="s">
        <v>635</v>
      </c>
      <c r="E96" s="924" t="s">
        <v>157</v>
      </c>
      <c r="F96" s="924"/>
      <c r="G96" s="924"/>
      <c r="H96" s="790"/>
      <c r="I96" s="790"/>
      <c r="J96" s="790"/>
      <c r="K96" s="70"/>
      <c r="L96" s="70"/>
      <c r="M96" s="71"/>
      <c r="N96" s="70"/>
      <c r="O96" s="70"/>
      <c r="P96" s="70"/>
      <c r="Q96" s="70"/>
      <c r="R96" s="989" t="s">
        <v>116</v>
      </c>
      <c r="S96" s="989"/>
      <c r="T96" s="990">
        <f>IF(I111=1,E97,0)</f>
        <v>0</v>
      </c>
      <c r="U96" s="990"/>
      <c r="V96" s="990"/>
      <c r="W96" s="766" t="s">
        <v>117</v>
      </c>
      <c r="X96" s="201">
        <f>I97</f>
        <v>578</v>
      </c>
      <c r="Y96" s="212">
        <f>ROUND(X96*T96,2)</f>
        <v>0</v>
      </c>
    </row>
    <row r="97" spans="1:25" ht="17.25" customHeight="1" x14ac:dyDescent="0.25">
      <c r="A97" s="970" t="s">
        <v>116</v>
      </c>
      <c r="B97" s="970"/>
      <c r="C97" s="800">
        <v>0</v>
      </c>
      <c r="D97" s="800">
        <v>0</v>
      </c>
      <c r="E97" s="1044">
        <f>IF(D97&gt;0,(C97+D97)/2,C97)</f>
        <v>0</v>
      </c>
      <c r="F97" s="922"/>
      <c r="G97" s="922"/>
      <c r="H97" s="796" t="s">
        <v>117</v>
      </c>
      <c r="I97" s="119">
        <f>Consolidated!G$127</f>
        <v>578</v>
      </c>
      <c r="J97" s="127">
        <f>ROUND(I97*E97,2)</f>
        <v>0</v>
      </c>
      <c r="K97" s="70"/>
      <c r="L97" s="70"/>
      <c r="M97" s="71"/>
      <c r="N97" s="70"/>
      <c r="O97" s="70"/>
      <c r="P97" s="70"/>
      <c r="Q97" s="70"/>
      <c r="R97" s="989" t="s">
        <v>118</v>
      </c>
      <c r="S97" s="989"/>
      <c r="T97" s="990">
        <f>IF(I112=1,E98,0)</f>
        <v>0</v>
      </c>
      <c r="U97" s="990"/>
      <c r="V97" s="990"/>
      <c r="W97" s="766" t="s">
        <v>117</v>
      </c>
      <c r="X97" s="201">
        <f>I98</f>
        <v>1794</v>
      </c>
      <c r="Y97" s="212">
        <f>ROUND(X97*T97,2)</f>
        <v>0</v>
      </c>
    </row>
    <row r="98" spans="1:25" ht="17.25" customHeight="1" x14ac:dyDescent="0.25">
      <c r="A98" s="970" t="s">
        <v>118</v>
      </c>
      <c r="B98" s="970"/>
      <c r="C98" s="223">
        <v>0</v>
      </c>
      <c r="D98" s="223">
        <v>0</v>
      </c>
      <c r="E98" s="1049">
        <f>(C98+D98)/2</f>
        <v>0</v>
      </c>
      <c r="F98" s="1049"/>
      <c r="G98" s="1049"/>
      <c r="H98" s="796" t="s">
        <v>117</v>
      </c>
      <c r="I98" s="119">
        <f>Consolidated!G$128</f>
        <v>1794</v>
      </c>
      <c r="J98" s="62">
        <f>ROUND(I98*E98,2)</f>
        <v>0</v>
      </c>
      <c r="K98" s="70"/>
      <c r="L98" s="70"/>
      <c r="M98" s="71"/>
      <c r="N98" s="70"/>
      <c r="O98" s="70"/>
      <c r="P98" s="70"/>
      <c r="Q98" s="70"/>
      <c r="R98" s="786"/>
      <c r="S98" s="786"/>
      <c r="T98" s="219"/>
      <c r="U98" s="219"/>
      <c r="V98" s="219"/>
      <c r="W98" s="766"/>
      <c r="X98" s="201"/>
      <c r="Y98" s="215"/>
    </row>
    <row r="99" spans="1:25" ht="27.75" customHeight="1" x14ac:dyDescent="0.25">
      <c r="A99" s="779"/>
      <c r="B99" s="779"/>
      <c r="C99" s="106"/>
      <c r="D99" s="106"/>
      <c r="E99" s="764"/>
      <c r="F99" s="764"/>
      <c r="G99" s="764"/>
      <c r="H99" s="796"/>
      <c r="I99" s="86"/>
      <c r="J99" s="30"/>
      <c r="K99" s="70"/>
      <c r="L99" s="70"/>
      <c r="M99" s="71"/>
      <c r="N99" s="70"/>
      <c r="O99" s="70"/>
      <c r="P99" s="70"/>
      <c r="Q99" s="70"/>
      <c r="R99" s="786"/>
      <c r="S99" s="786"/>
      <c r="T99" s="219"/>
      <c r="U99" s="219"/>
      <c r="V99" s="219"/>
      <c r="W99" s="766"/>
      <c r="X99" s="201"/>
      <c r="Y99" s="215"/>
    </row>
    <row r="100" spans="1:25" ht="14.25" customHeight="1" x14ac:dyDescent="0.25">
      <c r="A100" s="952" t="s">
        <v>119</v>
      </c>
      <c r="B100" s="952"/>
      <c r="C100" s="952"/>
      <c r="D100" s="952"/>
      <c r="E100" s="952"/>
      <c r="F100" s="762" t="s">
        <v>120</v>
      </c>
      <c r="G100" s="920"/>
      <c r="H100" s="920"/>
      <c r="I100" s="920"/>
      <c r="J100" s="920"/>
      <c r="K100" s="70"/>
      <c r="L100" s="70"/>
      <c r="M100" s="71"/>
      <c r="N100" s="70"/>
      <c r="O100" s="70"/>
      <c r="P100" s="70"/>
      <c r="Q100" s="70"/>
      <c r="R100" s="955" t="s">
        <v>174</v>
      </c>
      <c r="S100" s="955"/>
      <c r="T100" s="955"/>
      <c r="U100" s="765"/>
      <c r="V100" s="928"/>
      <c r="W100" s="928"/>
      <c r="X100" s="928"/>
      <c r="Y100" s="928"/>
    </row>
    <row r="101" spans="1:25" ht="44.25" customHeight="1" x14ac:dyDescent="0.25">
      <c r="A101" s="1008" t="s">
        <v>121</v>
      </c>
      <c r="B101" s="1008"/>
      <c r="C101" s="793"/>
      <c r="D101" s="922" t="s">
        <v>122</v>
      </c>
      <c r="E101" s="922"/>
      <c r="F101" s="922"/>
      <c r="G101" s="1009" t="s">
        <v>123</v>
      </c>
      <c r="H101" s="1009"/>
      <c r="I101" s="794" t="s">
        <v>124</v>
      </c>
      <c r="J101" s="793" t="s">
        <v>125</v>
      </c>
      <c r="K101" s="70"/>
      <c r="L101" s="70"/>
      <c r="M101" s="70"/>
      <c r="N101" s="70"/>
      <c r="O101" s="70"/>
      <c r="P101" s="70"/>
      <c r="Q101" s="70"/>
      <c r="R101" s="996" t="s">
        <v>121</v>
      </c>
      <c r="S101" s="996"/>
      <c r="T101" s="997" t="s">
        <v>122</v>
      </c>
      <c r="U101" s="997"/>
      <c r="V101" s="998" t="s">
        <v>123</v>
      </c>
      <c r="W101" s="998"/>
      <c r="X101" s="788" t="s">
        <v>124</v>
      </c>
      <c r="Y101" s="787" t="s">
        <v>125</v>
      </c>
    </row>
    <row r="102" spans="1:25" ht="16.5" customHeight="1" x14ac:dyDescent="0.25">
      <c r="A102" s="916" t="s">
        <v>126</v>
      </c>
      <c r="B102" s="916"/>
      <c r="C102" s="759"/>
      <c r="D102" s="217"/>
      <c r="E102" s="217"/>
      <c r="F102" s="217"/>
      <c r="G102" s="979">
        <v>0</v>
      </c>
      <c r="H102" s="979"/>
      <c r="I102" s="88">
        <v>0</v>
      </c>
      <c r="J102" s="62">
        <f>ROUND((I102+G102)*E102,0)</f>
        <v>0</v>
      </c>
      <c r="L102" s="3"/>
      <c r="M102" s="2"/>
      <c r="Q102" s="4"/>
      <c r="R102" s="946" t="s">
        <v>126</v>
      </c>
      <c r="S102" s="946"/>
      <c r="T102" s="994">
        <v>0</v>
      </c>
      <c r="U102" s="994"/>
      <c r="V102" s="995">
        <v>0</v>
      </c>
      <c r="W102" s="995"/>
      <c r="X102" s="203">
        <v>0</v>
      </c>
      <c r="Y102" s="146">
        <f>ROUND((X102+V102)*T102,0)</f>
        <v>0</v>
      </c>
    </row>
    <row r="103" spans="1:25" ht="15.75" customHeight="1" x14ac:dyDescent="0.25">
      <c r="A103" s="916" t="s">
        <v>127</v>
      </c>
      <c r="B103" s="916"/>
      <c r="C103" s="759"/>
      <c r="D103" s="217"/>
      <c r="E103" s="217"/>
      <c r="F103" s="217"/>
      <c r="G103" s="980">
        <f>ROUND(G102/2,2)</f>
        <v>0</v>
      </c>
      <c r="H103" s="980"/>
      <c r="I103" s="88">
        <v>0</v>
      </c>
      <c r="J103" s="62">
        <f>ROUND((I103+G103)*E103,0)</f>
        <v>0</v>
      </c>
      <c r="R103" s="946" t="s">
        <v>127</v>
      </c>
      <c r="S103" s="946"/>
      <c r="T103" s="994">
        <v>0</v>
      </c>
      <c r="U103" s="994"/>
      <c r="V103" s="1010">
        <f>ROUND(V102/2,2)</f>
        <v>0</v>
      </c>
      <c r="W103" s="1010"/>
      <c r="X103" s="203">
        <v>0</v>
      </c>
      <c r="Y103" s="146">
        <f>ROUND((X103+V103)*T103,0)</f>
        <v>0</v>
      </c>
    </row>
    <row r="104" spans="1:25" ht="15.75" customHeight="1" thickBot="1" x14ac:dyDescent="0.3">
      <c r="A104" s="918" t="s">
        <v>128</v>
      </c>
      <c r="B104" s="918"/>
      <c r="C104" s="761"/>
      <c r="D104" s="222"/>
      <c r="E104" s="222"/>
      <c r="F104" s="222"/>
      <c r="G104" s="973"/>
      <c r="H104" s="973"/>
      <c r="I104" s="89">
        <v>0</v>
      </c>
      <c r="J104" s="30">
        <f>ROUND(I104*E104,0)</f>
        <v>0</v>
      </c>
      <c r="R104" s="961" t="s">
        <v>128</v>
      </c>
      <c r="S104" s="961"/>
      <c r="T104" s="994">
        <v>0</v>
      </c>
      <c r="U104" s="994"/>
      <c r="V104" s="996"/>
      <c r="W104" s="996"/>
      <c r="X104" s="204">
        <v>0</v>
      </c>
      <c r="Y104" s="152">
        <f>ROUND(X104*T104,0)</f>
        <v>0</v>
      </c>
    </row>
    <row r="105" spans="1:25" ht="24.75" customHeight="1" thickBot="1" x14ac:dyDescent="0.3">
      <c r="A105" s="920" t="s">
        <v>125</v>
      </c>
      <c r="B105" s="920"/>
      <c r="C105" s="762"/>
      <c r="D105" s="762"/>
      <c r="E105" s="90"/>
      <c r="F105" s="90"/>
      <c r="G105" s="90"/>
      <c r="H105" s="90"/>
      <c r="I105" s="90"/>
      <c r="J105" s="91">
        <f>SUM(J102:J104)</f>
        <v>0</v>
      </c>
      <c r="R105" s="928" t="s">
        <v>125</v>
      </c>
      <c r="S105" s="928"/>
      <c r="T105" s="205"/>
      <c r="U105" s="205"/>
      <c r="V105" s="205"/>
      <c r="W105" s="205"/>
      <c r="X105" s="205"/>
      <c r="Y105" s="206">
        <f>SUM(Y102:Y104)</f>
        <v>0</v>
      </c>
    </row>
    <row r="106" spans="1:25" ht="26.25" customHeight="1" x14ac:dyDescent="0.25">
      <c r="A106" s="952" t="s">
        <v>129</v>
      </c>
      <c r="B106" s="952"/>
      <c r="C106" s="952"/>
      <c r="D106" s="952"/>
      <c r="E106" s="952"/>
      <c r="F106" s="780" t="s">
        <v>130</v>
      </c>
      <c r="G106" s="974"/>
      <c r="H106" s="974"/>
      <c r="I106" s="974"/>
      <c r="J106" s="93"/>
      <c r="K106" s="94"/>
      <c r="L106" s="94"/>
      <c r="M106" s="94"/>
      <c r="N106" s="94"/>
      <c r="O106" s="94"/>
      <c r="P106" s="94"/>
      <c r="Q106" s="94"/>
      <c r="R106" s="955" t="s">
        <v>175</v>
      </c>
      <c r="S106" s="955"/>
      <c r="T106" s="955"/>
      <c r="U106" s="791"/>
      <c r="V106" s="1003"/>
      <c r="W106" s="1003"/>
      <c r="X106" s="1003"/>
      <c r="Y106" s="146">
        <v>0</v>
      </c>
    </row>
    <row r="107" spans="1:25" ht="30" customHeight="1" thickBot="1" x14ac:dyDescent="0.3">
      <c r="A107" s="1054" t="s">
        <v>125</v>
      </c>
      <c r="B107" s="1054"/>
      <c r="C107" s="1054"/>
      <c r="D107" s="1054"/>
      <c r="E107" s="1054"/>
      <c r="F107" s="1054"/>
      <c r="G107" s="1054"/>
      <c r="H107" s="1054"/>
      <c r="I107" s="1054"/>
      <c r="J107" s="541">
        <f>SUM(J106,J105,J98,J97,J93,J86,J85,J71,J70,J68,J33,J72,J50,J87,J84)</f>
        <v>0</v>
      </c>
      <c r="L107" s="538"/>
      <c r="R107" s="955" t="s">
        <v>125</v>
      </c>
      <c r="S107" s="955"/>
      <c r="T107" s="955"/>
      <c r="U107" s="955"/>
      <c r="V107" s="955"/>
      <c r="W107" s="955"/>
      <c r="X107" s="955"/>
      <c r="Y107" s="208">
        <f>SUM(Y106,Y105,Y97,Y96,Y93,Y86,Y85,Y84,Y70,Y69,Y67,Y33,Y71,Y50,Y87,Y83)</f>
        <v>0</v>
      </c>
    </row>
    <row r="108" spans="1:25" ht="15.75" customHeight="1" thickTop="1" x14ac:dyDescent="0.25">
      <c r="A108" s="1052"/>
      <c r="B108" s="1052"/>
      <c r="C108" s="1052"/>
      <c r="D108" s="1052"/>
      <c r="E108" s="1052"/>
      <c r="F108" s="1052"/>
      <c r="G108" s="1052"/>
      <c r="H108" s="1052"/>
      <c r="I108" s="1052"/>
      <c r="J108" s="1052"/>
      <c r="R108" s="928"/>
      <c r="S108" s="928"/>
      <c r="T108" s="928"/>
      <c r="U108" s="928"/>
      <c r="V108" s="928"/>
      <c r="W108" s="928"/>
      <c r="X108" s="928"/>
      <c r="Y108" s="928"/>
    </row>
    <row r="109" spans="1:25" ht="17.25" customHeight="1" thickBot="1" x14ac:dyDescent="0.3">
      <c r="A109" s="1053" t="s">
        <v>131</v>
      </c>
      <c r="B109" s="1053"/>
      <c r="C109" s="1053"/>
      <c r="D109" s="1053"/>
      <c r="E109" s="1053"/>
      <c r="F109" s="1052"/>
      <c r="G109" s="1052"/>
      <c r="H109" s="1052"/>
      <c r="I109" s="542" t="s">
        <v>132</v>
      </c>
      <c r="J109" s="543">
        <f>J107-J38</f>
        <v>0</v>
      </c>
      <c r="R109" s="159" t="s">
        <v>176</v>
      </c>
      <c r="S109" s="159"/>
      <c r="T109" s="159"/>
      <c r="U109" s="159"/>
      <c r="V109" s="159"/>
      <c r="W109" s="159"/>
      <c r="X109" s="159"/>
      <c r="Y109" s="209">
        <f>Y107-Y38</f>
        <v>0</v>
      </c>
    </row>
    <row r="110" spans="1:25" ht="18.75" customHeight="1" thickTop="1" x14ac:dyDescent="0.25">
      <c r="A110" s="1053" t="s">
        <v>133</v>
      </c>
      <c r="B110" s="1053"/>
      <c r="C110" s="1053"/>
      <c r="D110" s="1053"/>
      <c r="E110" s="1053"/>
      <c r="F110" s="1053"/>
      <c r="G110" s="1053"/>
      <c r="H110" s="1053"/>
      <c r="I110" s="799" t="s">
        <v>134</v>
      </c>
      <c r="J110" s="542"/>
      <c r="R110" s="1012" t="s">
        <v>136</v>
      </c>
      <c r="S110" s="1012"/>
      <c r="T110" s="1012"/>
      <c r="U110" s="1012"/>
      <c r="V110" s="1012"/>
      <c r="W110" s="1012"/>
      <c r="X110" s="1012"/>
      <c r="Y110" s="1012"/>
    </row>
    <row r="111" spans="1:25" ht="15.75" customHeight="1" x14ac:dyDescent="0.25">
      <c r="A111" s="1055" t="s">
        <v>135</v>
      </c>
      <c r="B111" s="1055"/>
      <c r="C111" s="1055"/>
      <c r="D111" s="1055"/>
      <c r="E111" s="1055"/>
      <c r="F111" s="1055"/>
      <c r="G111" s="1055"/>
      <c r="H111" s="1055"/>
      <c r="I111" s="546">
        <v>0</v>
      </c>
      <c r="J111" s="126">
        <f>Y109</f>
        <v>0</v>
      </c>
      <c r="R111" s="1011" t="s">
        <v>177</v>
      </c>
      <c r="S111" s="1011"/>
      <c r="T111" s="1011"/>
      <c r="U111" s="1011"/>
      <c r="V111" s="1011"/>
      <c r="W111" s="1011"/>
      <c r="X111" s="1011"/>
      <c r="Y111" s="1011"/>
    </row>
    <row r="112" spans="1:25" ht="15.75" customHeight="1" x14ac:dyDescent="0.25">
      <c r="A112" s="775"/>
      <c r="B112" s="775"/>
      <c r="C112" s="775"/>
      <c r="D112" s="775"/>
      <c r="E112" s="775"/>
      <c r="F112" s="775"/>
      <c r="G112" s="775"/>
      <c r="H112" s="775"/>
      <c r="I112" s="90"/>
      <c r="J112" s="72"/>
      <c r="R112" s="1012" t="s">
        <v>178</v>
      </c>
      <c r="S112" s="1012"/>
      <c r="T112" s="1012"/>
      <c r="U112" s="1012"/>
      <c r="V112" s="1012"/>
      <c r="W112" s="1012"/>
      <c r="X112" s="1012"/>
      <c r="Y112" s="1012"/>
    </row>
    <row r="113" spans="1:26" ht="16.5" customHeight="1" x14ac:dyDescent="0.25">
      <c r="A113" s="775"/>
      <c r="B113" s="775"/>
      <c r="C113" s="775"/>
      <c r="D113" s="775"/>
      <c r="E113" s="775"/>
      <c r="F113" s="775"/>
      <c r="G113" s="775"/>
      <c r="H113" s="232"/>
      <c r="I113" s="775"/>
      <c r="J113" s="90"/>
      <c r="K113" s="72"/>
      <c r="M113" s="2"/>
      <c r="N113" s="3"/>
      <c r="R113" s="2"/>
      <c r="S113" s="229"/>
      <c r="T113" s="229"/>
      <c r="U113" s="229"/>
      <c r="V113" s="229"/>
      <c r="W113" s="229"/>
      <c r="X113" s="229"/>
      <c r="Y113" s="229"/>
      <c r="Z113" s="229"/>
    </row>
    <row r="114" spans="1:26" x14ac:dyDescent="0.25">
      <c r="A114" s="230" t="s">
        <v>180</v>
      </c>
      <c r="B114" s="231"/>
      <c r="C114" s="231"/>
      <c r="D114" s="231"/>
      <c r="E114" s="231"/>
      <c r="F114" s="231"/>
      <c r="G114" s="231"/>
      <c r="I114" s="233">
        <f>IF(I111=1,J111,J109)</f>
        <v>0</v>
      </c>
      <c r="J114" s="234">
        <f>ROUND(IF(E28=0,0,IF(E28&gt;250,-(((250/E28)*I114)*IF(H113="H",0.02,0.05)),IF(H113="H",-0.02*I114,-0.05*I114))),2)</f>
        <v>0</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181</v>
      </c>
      <c r="B116" s="238"/>
      <c r="C116" s="238"/>
      <c r="D116" s="238"/>
      <c r="E116" s="238"/>
      <c r="F116" s="238"/>
      <c r="G116" s="238"/>
      <c r="H116" s="238"/>
      <c r="I116" s="239"/>
      <c r="J116" s="240">
        <f>J107+J114</f>
        <v>0</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182</v>
      </c>
      <c r="B118" s="231"/>
      <c r="C118" s="241"/>
      <c r="D118" s="231"/>
      <c r="E118" s="230"/>
      <c r="F118" s="230"/>
      <c r="G118" s="231"/>
      <c r="H118" s="231"/>
      <c r="I118" s="235"/>
      <c r="J118" s="242">
        <f>-'Cumulative Payments'!R123</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183</v>
      </c>
      <c r="B120" s="231"/>
      <c r="C120" s="231"/>
      <c r="D120" s="231"/>
      <c r="E120" s="231"/>
      <c r="F120" s="231"/>
      <c r="G120" s="231"/>
      <c r="H120" s="231"/>
      <c r="I120" s="235"/>
      <c r="J120" s="236">
        <f>J116+J118</f>
        <v>0</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184</v>
      </c>
      <c r="B122" s="231"/>
      <c r="C122" s="231"/>
      <c r="D122" s="231"/>
      <c r="E122" s="231"/>
      <c r="F122" s="231"/>
      <c r="G122" s="231"/>
      <c r="H122" s="231"/>
      <c r="I122" s="235"/>
      <c r="J122" s="668">
        <f>Consolidated!I$157</f>
        <v>12</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185</v>
      </c>
      <c r="B124" s="231"/>
      <c r="C124" s="231"/>
      <c r="D124" s="231"/>
      <c r="E124" s="231"/>
      <c r="F124" s="231"/>
      <c r="G124" s="231"/>
      <c r="H124" s="231"/>
      <c r="I124" s="235"/>
      <c r="J124" s="243">
        <f>ROUND(J120/J122,2)</f>
        <v>0</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186</v>
      </c>
      <c r="B126" s="231"/>
      <c r="C126" s="231"/>
      <c r="D126" s="231"/>
      <c r="E126" s="231"/>
      <c r="F126" s="231"/>
      <c r="G126" s="231"/>
      <c r="H126" s="231"/>
      <c r="I126" s="235"/>
      <c r="J126" s="244">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951" t="s">
        <v>136</v>
      </c>
      <c r="B128" s="951"/>
      <c r="C128" s="951"/>
      <c r="D128" s="951"/>
      <c r="E128" s="951"/>
      <c r="F128" s="951"/>
      <c r="G128" s="951"/>
      <c r="H128" s="951"/>
      <c r="I128" s="951"/>
      <c r="J128" s="951"/>
      <c r="W128" s="228"/>
    </row>
    <row r="129" spans="1:23" ht="26.25" customHeight="1" x14ac:dyDescent="0.25">
      <c r="A129" s="948" t="s">
        <v>137</v>
      </c>
      <c r="B129" s="948"/>
      <c r="C129" s="948"/>
      <c r="D129" s="948"/>
      <c r="E129" s="948"/>
      <c r="F129" s="948"/>
      <c r="G129" s="948"/>
      <c r="H129" s="948"/>
      <c r="I129" s="948"/>
      <c r="J129" s="948"/>
      <c r="W129" s="228"/>
    </row>
    <row r="130" spans="1:23" ht="15.75" customHeight="1" x14ac:dyDescent="0.25">
      <c r="A130" s="951" t="s">
        <v>138</v>
      </c>
      <c r="B130" s="951"/>
      <c r="C130" s="951"/>
      <c r="D130" s="951"/>
      <c r="E130" s="951"/>
      <c r="F130" s="951"/>
      <c r="G130" s="951"/>
      <c r="H130" s="951"/>
      <c r="I130" s="951"/>
      <c r="J130" s="951"/>
    </row>
    <row r="131" spans="1:23" ht="15.75" customHeight="1" x14ac:dyDescent="0.25">
      <c r="A131" s="951" t="s">
        <v>139</v>
      </c>
      <c r="B131" s="951"/>
      <c r="C131" s="951"/>
      <c r="D131" s="951"/>
      <c r="E131" s="951"/>
      <c r="F131" s="951"/>
      <c r="G131" s="951"/>
      <c r="H131" s="951"/>
      <c r="I131" s="951"/>
      <c r="J131" s="951"/>
    </row>
    <row r="132" spans="1:23" ht="19.5" customHeight="1" x14ac:dyDescent="0.25">
      <c r="A132" s="951" t="s">
        <v>140</v>
      </c>
      <c r="B132" s="951"/>
      <c r="C132" s="951"/>
      <c r="D132" s="951"/>
      <c r="E132" s="951"/>
      <c r="F132" s="951"/>
      <c r="G132" s="951"/>
      <c r="H132" s="951"/>
      <c r="I132" s="951"/>
      <c r="J132" s="951"/>
    </row>
    <row r="133" spans="1:23" x14ac:dyDescent="0.25">
      <c r="A133" s="951" t="s">
        <v>141</v>
      </c>
      <c r="B133" s="951"/>
      <c r="C133" s="951"/>
      <c r="D133" s="951"/>
      <c r="E133" s="951"/>
      <c r="F133" s="951"/>
      <c r="G133" s="951"/>
      <c r="H133" s="951"/>
      <c r="I133" s="951"/>
      <c r="J133" s="951"/>
    </row>
    <row r="134" spans="1:23" x14ac:dyDescent="0.25">
      <c r="A134" s="951" t="s">
        <v>142</v>
      </c>
      <c r="B134" s="951"/>
      <c r="C134" s="951"/>
      <c r="D134" s="951"/>
      <c r="E134" s="951"/>
      <c r="F134" s="951"/>
      <c r="G134" s="951"/>
      <c r="H134" s="951"/>
      <c r="I134" s="951"/>
      <c r="J134" s="951"/>
    </row>
    <row r="135" spans="1:23" ht="33" customHeight="1" x14ac:dyDescent="0.25">
      <c r="A135" s="948" t="s">
        <v>143</v>
      </c>
      <c r="B135" s="948"/>
      <c r="C135" s="948"/>
      <c r="D135" s="948"/>
      <c r="E135" s="948"/>
      <c r="F135" s="948"/>
      <c r="G135" s="948"/>
      <c r="H135" s="948"/>
      <c r="I135" s="948"/>
      <c r="J135" s="948"/>
    </row>
    <row r="136" spans="1:23" ht="31.5" customHeight="1" x14ac:dyDescent="0.25">
      <c r="A136" s="948" t="s">
        <v>144</v>
      </c>
      <c r="B136" s="948"/>
      <c r="C136" s="948"/>
      <c r="D136" s="948"/>
      <c r="E136" s="948"/>
      <c r="F136" s="948"/>
      <c r="G136" s="948"/>
      <c r="H136" s="948"/>
      <c r="I136" s="948"/>
      <c r="J136" s="948"/>
    </row>
    <row r="137" spans="1:23" x14ac:dyDescent="0.25">
      <c r="A137" s="948" t="s">
        <v>145</v>
      </c>
      <c r="B137" s="948"/>
      <c r="C137" s="948"/>
      <c r="D137" s="948"/>
      <c r="E137" s="948"/>
      <c r="F137" s="948"/>
      <c r="G137" s="948"/>
      <c r="H137" s="948"/>
      <c r="I137" s="948"/>
      <c r="J137" s="948"/>
    </row>
    <row r="138" spans="1:23" x14ac:dyDescent="0.25">
      <c r="A138" s="773" t="s">
        <v>146</v>
      </c>
      <c r="B138" s="773"/>
      <c r="C138" s="773"/>
      <c r="D138" s="773"/>
      <c r="E138" s="773"/>
      <c r="F138" s="773"/>
      <c r="G138" s="773"/>
      <c r="H138" s="773"/>
      <c r="I138" s="773"/>
      <c r="J138" s="773"/>
    </row>
    <row r="139" spans="1:23" ht="30.75" customHeight="1" x14ac:dyDescent="0.25">
      <c r="A139" s="948" t="s">
        <v>147</v>
      </c>
      <c r="B139" s="948"/>
      <c r="C139" s="948"/>
      <c r="D139" s="948"/>
      <c r="E139" s="948"/>
      <c r="F139" s="948"/>
      <c r="G139" s="948"/>
      <c r="H139" s="948"/>
      <c r="I139" s="948"/>
      <c r="J139" s="948"/>
    </row>
    <row r="140" spans="1:23" ht="30.75" customHeight="1" x14ac:dyDescent="0.25">
      <c r="A140" s="948" t="s">
        <v>148</v>
      </c>
      <c r="B140" s="948"/>
      <c r="C140" s="948"/>
      <c r="D140" s="948"/>
      <c r="E140" s="948"/>
      <c r="F140" s="948"/>
      <c r="G140" s="948"/>
      <c r="H140" s="948"/>
      <c r="I140" s="948"/>
      <c r="J140" s="948"/>
    </row>
    <row r="141" spans="1:23" x14ac:dyDescent="0.25">
      <c r="A141" s="947" t="s">
        <v>149</v>
      </c>
      <c r="B141" s="948"/>
      <c r="C141" s="948"/>
      <c r="D141" s="948"/>
      <c r="E141" s="948"/>
      <c r="F141" s="948"/>
      <c r="G141" s="948"/>
      <c r="H141" s="948"/>
      <c r="I141" s="948"/>
      <c r="J141" s="948"/>
    </row>
    <row r="142" spans="1:23" ht="60.75" customHeight="1" x14ac:dyDescent="0.25">
      <c r="A142" s="949" t="s">
        <v>150</v>
      </c>
      <c r="B142" s="949"/>
      <c r="C142" s="949"/>
      <c r="D142" s="949"/>
      <c r="E142" s="949"/>
      <c r="F142" s="949"/>
      <c r="G142" s="949"/>
      <c r="H142" s="949"/>
      <c r="I142" s="949"/>
      <c r="J142" s="949"/>
    </row>
    <row r="143" spans="1:23" ht="48" customHeight="1" x14ac:dyDescent="0.25">
      <c r="A143" s="949" t="s">
        <v>151</v>
      </c>
      <c r="B143" s="949"/>
      <c r="C143" s="949"/>
      <c r="D143" s="949"/>
      <c r="E143" s="949"/>
      <c r="F143" s="949"/>
      <c r="G143" s="949"/>
      <c r="H143" s="949"/>
      <c r="I143" s="949"/>
      <c r="J143" s="949"/>
    </row>
    <row r="144" spans="1:23" x14ac:dyDescent="0.25">
      <c r="A144" s="947" t="s">
        <v>152</v>
      </c>
      <c r="B144" s="947"/>
      <c r="C144" s="947"/>
      <c r="D144" s="947"/>
      <c r="E144" s="947"/>
      <c r="F144" s="947"/>
      <c r="G144" s="947"/>
      <c r="H144" s="947"/>
      <c r="I144" s="947"/>
      <c r="J144" s="947"/>
    </row>
    <row r="145" spans="1:10" ht="32.25" customHeight="1" x14ac:dyDescent="0.25">
      <c r="A145" s="949" t="s">
        <v>153</v>
      </c>
      <c r="B145" s="949"/>
      <c r="C145" s="949"/>
      <c r="D145" s="949"/>
      <c r="E145" s="949"/>
      <c r="F145" s="949"/>
      <c r="G145" s="949"/>
      <c r="H145" s="949"/>
      <c r="I145" s="949"/>
      <c r="J145" s="949"/>
    </row>
    <row r="146" spans="1:10" ht="23.25" customHeight="1" x14ac:dyDescent="0.25">
      <c r="A146" s="923" t="s">
        <v>154</v>
      </c>
      <c r="B146" s="923"/>
      <c r="C146" s="923"/>
      <c r="D146" s="923"/>
      <c r="E146" s="923"/>
      <c r="F146" s="923"/>
      <c r="G146" s="923"/>
      <c r="H146" s="923"/>
      <c r="I146" s="923"/>
      <c r="J146" s="923"/>
    </row>
    <row r="147" spans="1:10" x14ac:dyDescent="0.25">
      <c r="A147" s="923"/>
      <c r="B147" s="923"/>
      <c r="C147" s="923"/>
      <c r="D147" s="923"/>
      <c r="E147" s="923"/>
      <c r="F147" s="923"/>
      <c r="G147" s="923"/>
      <c r="H147" s="923"/>
      <c r="I147" s="923"/>
      <c r="J147" s="92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59</vt:i4>
      </vt:variant>
      <vt:variant>
        <vt:lpstr>Named Ranges</vt:lpstr>
      </vt:variant>
      <vt:variant>
        <vt:i4>2136</vt:i4>
      </vt:variant>
    </vt:vector>
  </HeadingPairs>
  <TitlesOfParts>
    <vt:vector size="2195" baseType="lpstr">
      <vt:lpstr>Surveys</vt:lpstr>
      <vt:lpstr>Net Payment</vt:lpstr>
      <vt:lpstr>Annual Rev &amp; Fees</vt:lpstr>
      <vt:lpstr>Charter Schools</vt:lpstr>
      <vt:lpstr>Cumulative Payments</vt:lpstr>
      <vt:lpstr>Consolidated</vt:lpstr>
      <vt:lpstr>Surv2-3</vt:lpstr>
      <vt:lpstr>0040</vt:lpstr>
      <vt:lpstr>0571</vt:lpstr>
      <vt:lpstr>0100</vt:lpstr>
      <vt:lpstr>1461</vt:lpstr>
      <vt:lpstr>1571</vt:lpstr>
      <vt:lpstr>2521</vt:lpstr>
      <vt:lpstr>2531</vt:lpstr>
      <vt:lpstr>2791</vt:lpstr>
      <vt:lpstr>2801</vt:lpstr>
      <vt:lpstr>2911</vt:lpstr>
      <vt:lpstr>2941</vt:lpstr>
      <vt:lpstr>3083</vt:lpstr>
      <vt:lpstr>3345</vt:lpstr>
      <vt:lpstr>3362</vt:lpstr>
      <vt:lpstr>3381</vt:lpstr>
      <vt:lpstr>3382</vt:lpstr>
      <vt:lpstr>3391</vt:lpstr>
      <vt:lpstr>3394</vt:lpstr>
      <vt:lpstr>3395</vt:lpstr>
      <vt:lpstr>3396</vt:lpstr>
      <vt:lpstr>3398</vt:lpstr>
      <vt:lpstr>3400</vt:lpstr>
      <vt:lpstr>3401</vt:lpstr>
      <vt:lpstr>3413</vt:lpstr>
      <vt:lpstr>3421</vt:lpstr>
      <vt:lpstr>3431</vt:lpstr>
      <vt:lpstr>3441</vt:lpstr>
      <vt:lpstr>3924</vt:lpstr>
      <vt:lpstr>3941</vt:lpstr>
      <vt:lpstr>3961</vt:lpstr>
      <vt:lpstr>3971</vt:lpstr>
      <vt:lpstr>4001</vt:lpstr>
      <vt:lpstr>4002</vt:lpstr>
      <vt:lpstr>4012</vt:lpstr>
      <vt:lpstr>4013</vt:lpstr>
      <vt:lpstr>4020</vt:lpstr>
      <vt:lpstr>4030</vt:lpstr>
      <vt:lpstr>4031</vt:lpstr>
      <vt:lpstr>4041</vt:lpstr>
      <vt:lpstr>4050</vt:lpstr>
      <vt:lpstr>4051</vt:lpstr>
      <vt:lpstr>4061</vt:lpstr>
      <vt:lpstr>4080</vt:lpstr>
      <vt:lpstr>4081</vt:lpstr>
      <vt:lpstr>4090</vt:lpstr>
      <vt:lpstr>4091</vt:lpstr>
      <vt:lpstr>4100</vt:lpstr>
      <vt:lpstr>4102</vt:lpstr>
      <vt:lpstr>4103</vt:lpstr>
      <vt:lpstr>4111</vt:lpstr>
      <vt:lpstr>4131</vt:lpstr>
      <vt:lpstr>4141</vt:lpstr>
      <vt:lpstr>'0100'!_1</vt:lpstr>
      <vt:lpstr>'0571'!_1</vt:lpstr>
      <vt:lpstr>'1461'!_1</vt:lpstr>
      <vt:lpstr>'1571'!_1</vt:lpstr>
      <vt:lpstr>'2521'!_1</vt:lpstr>
      <vt:lpstr>'2531'!_1</vt:lpstr>
      <vt:lpstr>'2791'!_1</vt:lpstr>
      <vt:lpstr>'2801'!_1</vt:lpstr>
      <vt:lpstr>'2911'!_1</vt:lpstr>
      <vt:lpstr>'2941'!_1</vt:lpstr>
      <vt:lpstr>'3083'!_1</vt:lpstr>
      <vt:lpstr>'3345'!_1</vt:lpstr>
      <vt:lpstr>'3362'!_1</vt:lpstr>
      <vt:lpstr>'3381'!_1</vt:lpstr>
      <vt:lpstr>'3382'!_1</vt:lpstr>
      <vt:lpstr>'3391'!_1</vt:lpstr>
      <vt:lpstr>'3394'!_1</vt:lpstr>
      <vt:lpstr>'3395'!_1</vt:lpstr>
      <vt:lpstr>'3396'!_1</vt:lpstr>
      <vt:lpstr>'3398'!_1</vt:lpstr>
      <vt:lpstr>'3400'!_1</vt:lpstr>
      <vt:lpstr>'3401'!_1</vt:lpstr>
      <vt:lpstr>'3413'!_1</vt:lpstr>
      <vt:lpstr>'3421'!_1</vt:lpstr>
      <vt:lpstr>'3431'!_1</vt:lpstr>
      <vt:lpstr>'3441'!_1</vt:lpstr>
      <vt:lpstr>'3924'!_1</vt:lpstr>
      <vt:lpstr>'3941'!_1</vt:lpstr>
      <vt:lpstr>'3961'!_1</vt:lpstr>
      <vt:lpstr>'3971'!_1</vt:lpstr>
      <vt:lpstr>'4001'!_1</vt:lpstr>
      <vt:lpstr>'4002'!_1</vt:lpstr>
      <vt:lpstr>'4012'!_1</vt:lpstr>
      <vt:lpstr>'4013'!_1</vt:lpstr>
      <vt:lpstr>'4020'!_1</vt:lpstr>
      <vt:lpstr>'4030'!_1</vt:lpstr>
      <vt:lpstr>'4031'!_1</vt:lpstr>
      <vt:lpstr>'4041'!_1</vt:lpstr>
      <vt:lpstr>'4050'!_1</vt:lpstr>
      <vt:lpstr>'4051'!_1</vt:lpstr>
      <vt:lpstr>'4061'!_1</vt:lpstr>
      <vt:lpstr>'4080'!_1</vt:lpstr>
      <vt:lpstr>'4081'!_1</vt:lpstr>
      <vt:lpstr>'4090'!_1</vt:lpstr>
      <vt:lpstr>'4091'!_1</vt:lpstr>
      <vt:lpstr>'4100'!_1</vt:lpstr>
      <vt:lpstr>'4102'!_1</vt:lpstr>
      <vt:lpstr>'4103'!_1</vt:lpstr>
      <vt:lpstr>'4111'!_1</vt:lpstr>
      <vt:lpstr>'4131'!_1</vt:lpstr>
      <vt:lpstr>'4141'!_1</vt:lpstr>
      <vt:lpstr>_1</vt:lpstr>
      <vt:lpstr>'0100'!_1.__2009_10_FEFP_State_and_Local_Funding</vt:lpstr>
      <vt:lpstr>'0571'!_1.__2009_10_FEFP_State_and_Local_Funding</vt:lpstr>
      <vt:lpstr>'1461'!_1.__2009_10_FEFP_State_and_Local_Funding</vt:lpstr>
      <vt:lpstr>'1571'!_1.__2009_10_FEFP_State_and_Local_Funding</vt:lpstr>
      <vt:lpstr>'2521'!_1.__2009_10_FEFP_State_and_Local_Funding</vt:lpstr>
      <vt:lpstr>'2531'!_1.__2009_10_FEFP_State_and_Local_Funding</vt:lpstr>
      <vt:lpstr>'2791'!_1.__2009_10_FEFP_State_and_Local_Funding</vt:lpstr>
      <vt:lpstr>'2801'!_1.__2009_10_FEFP_State_and_Local_Funding</vt:lpstr>
      <vt:lpstr>'2911'!_1.__2009_10_FEFP_State_and_Local_Funding</vt:lpstr>
      <vt:lpstr>'2941'!_1.__2009_10_FEFP_State_and_Local_Funding</vt:lpstr>
      <vt:lpstr>'3083'!_1.__2009_10_FEFP_State_and_Local_Funding</vt:lpstr>
      <vt:lpstr>'3345'!_1.__2009_10_FEFP_State_and_Local_Funding</vt:lpstr>
      <vt:lpstr>'3362'!_1.__2009_10_FEFP_State_and_Local_Funding</vt:lpstr>
      <vt:lpstr>'3381'!_1.__2009_10_FEFP_State_and_Local_Funding</vt:lpstr>
      <vt:lpstr>'3382'!_1.__2009_10_FEFP_State_and_Local_Funding</vt:lpstr>
      <vt:lpstr>'3391'!_1.__2009_10_FEFP_State_and_Local_Funding</vt:lpstr>
      <vt:lpstr>'3394'!_1.__2009_10_FEFP_State_and_Local_Funding</vt:lpstr>
      <vt:lpstr>'3395'!_1.__2009_10_FEFP_State_and_Local_Funding</vt:lpstr>
      <vt:lpstr>'3396'!_1.__2009_10_FEFP_State_and_Local_Funding</vt:lpstr>
      <vt:lpstr>'3398'!_1.__2009_10_FEFP_State_and_Local_Funding</vt:lpstr>
      <vt:lpstr>'3400'!_1.__2009_10_FEFP_State_and_Local_Funding</vt:lpstr>
      <vt:lpstr>'3401'!_1.__2009_10_FEFP_State_and_Local_Funding</vt:lpstr>
      <vt:lpstr>'3413'!_1.__2009_10_FEFP_State_and_Local_Funding</vt:lpstr>
      <vt:lpstr>'3421'!_1.__2009_10_FEFP_State_and_Local_Funding</vt:lpstr>
      <vt:lpstr>'3431'!_1.__2009_10_FEFP_State_and_Local_Funding</vt:lpstr>
      <vt:lpstr>'3441'!_1.__2009_10_FEFP_State_and_Local_Funding</vt:lpstr>
      <vt:lpstr>'3924'!_1.__2009_10_FEFP_State_and_Local_Funding</vt:lpstr>
      <vt:lpstr>'3941'!_1.__2009_10_FEFP_State_and_Local_Funding</vt:lpstr>
      <vt:lpstr>'3961'!_1.__2009_10_FEFP_State_and_Local_Funding</vt:lpstr>
      <vt:lpstr>'3971'!_1.__2009_10_FEFP_State_and_Local_Funding</vt:lpstr>
      <vt:lpstr>'4001'!_1.__2009_10_FEFP_State_and_Local_Funding</vt:lpstr>
      <vt:lpstr>'4002'!_1.__2009_10_FEFP_State_and_Local_Funding</vt:lpstr>
      <vt:lpstr>'4012'!_1.__2009_10_FEFP_State_and_Local_Funding</vt:lpstr>
      <vt:lpstr>'4013'!_1.__2009_10_FEFP_State_and_Local_Funding</vt:lpstr>
      <vt:lpstr>'4020'!_1.__2009_10_FEFP_State_and_Local_Funding</vt:lpstr>
      <vt:lpstr>'4030'!_1.__2009_10_FEFP_State_and_Local_Funding</vt:lpstr>
      <vt:lpstr>'4031'!_1.__2009_10_FEFP_State_and_Local_Funding</vt:lpstr>
      <vt:lpstr>'4041'!_1.__2009_10_FEFP_State_and_Local_Funding</vt:lpstr>
      <vt:lpstr>'4050'!_1.__2009_10_FEFP_State_and_Local_Funding</vt:lpstr>
      <vt:lpstr>'4051'!_1.__2009_10_FEFP_State_and_Local_Funding</vt:lpstr>
      <vt:lpstr>'4061'!_1.__2009_10_FEFP_State_and_Local_Funding</vt:lpstr>
      <vt:lpstr>'4080'!_1.__2009_10_FEFP_State_and_Local_Funding</vt:lpstr>
      <vt:lpstr>'4081'!_1.__2009_10_FEFP_State_and_Local_Funding</vt:lpstr>
      <vt:lpstr>'4090'!_1.__2009_10_FEFP_State_and_Local_Funding</vt:lpstr>
      <vt:lpstr>'4091'!_1.__2009_10_FEFP_State_and_Local_Funding</vt:lpstr>
      <vt:lpstr>'4100'!_1.__2009_10_FEFP_State_and_Local_Funding</vt:lpstr>
      <vt:lpstr>'4102'!_1.__2009_10_FEFP_State_and_Local_Funding</vt:lpstr>
      <vt:lpstr>'4103'!_1.__2009_10_FEFP_State_and_Local_Funding</vt:lpstr>
      <vt:lpstr>'4111'!_1.__2009_10_FEFP_State_and_Local_Funding</vt:lpstr>
      <vt:lpstr>'4131'!_1.__2009_10_FEFP_State_and_Local_Funding</vt:lpstr>
      <vt:lpstr>'4141'!_1.__2009_10_FEFP_State_and_Local_Funding</vt:lpstr>
      <vt:lpstr>_1.__2009_10_FEFP_State_and_Local_Funding</vt:lpstr>
      <vt:lpstr>'0100'!_1.__2010_11_FEFP_State_and_Local_Funding</vt:lpstr>
      <vt:lpstr>'0571'!_1.__2010_11_FEFP_State_and_Local_Funding</vt:lpstr>
      <vt:lpstr>'1461'!_1.__2010_11_FEFP_State_and_Local_Funding</vt:lpstr>
      <vt:lpstr>'1571'!_1.__2010_11_FEFP_State_and_Local_Funding</vt:lpstr>
      <vt:lpstr>'2521'!_1.__2010_11_FEFP_State_and_Local_Funding</vt:lpstr>
      <vt:lpstr>'2531'!_1.__2010_11_FEFP_State_and_Local_Funding</vt:lpstr>
      <vt:lpstr>'2791'!_1.__2010_11_FEFP_State_and_Local_Funding</vt:lpstr>
      <vt:lpstr>'2801'!_1.__2010_11_FEFP_State_and_Local_Funding</vt:lpstr>
      <vt:lpstr>'2911'!_1.__2010_11_FEFP_State_and_Local_Funding</vt:lpstr>
      <vt:lpstr>'2941'!_1.__2010_11_FEFP_State_and_Local_Funding</vt:lpstr>
      <vt:lpstr>'3083'!_1.__2010_11_FEFP_State_and_Local_Funding</vt:lpstr>
      <vt:lpstr>'3345'!_1.__2010_11_FEFP_State_and_Local_Funding</vt:lpstr>
      <vt:lpstr>'3362'!_1.__2010_11_FEFP_State_and_Local_Funding</vt:lpstr>
      <vt:lpstr>'3381'!_1.__2010_11_FEFP_State_and_Local_Funding</vt:lpstr>
      <vt:lpstr>'3382'!_1.__2010_11_FEFP_State_and_Local_Funding</vt:lpstr>
      <vt:lpstr>'3391'!_1.__2010_11_FEFP_State_and_Local_Funding</vt:lpstr>
      <vt:lpstr>'3394'!_1.__2010_11_FEFP_State_and_Local_Funding</vt:lpstr>
      <vt:lpstr>'3395'!_1.__2010_11_FEFP_State_and_Local_Funding</vt:lpstr>
      <vt:lpstr>'3396'!_1.__2010_11_FEFP_State_and_Local_Funding</vt:lpstr>
      <vt:lpstr>'3398'!_1.__2010_11_FEFP_State_and_Local_Funding</vt:lpstr>
      <vt:lpstr>'3400'!_1.__2010_11_FEFP_State_and_Local_Funding</vt:lpstr>
      <vt:lpstr>'3401'!_1.__2010_11_FEFP_State_and_Local_Funding</vt:lpstr>
      <vt:lpstr>'3413'!_1.__2010_11_FEFP_State_and_Local_Funding</vt:lpstr>
      <vt:lpstr>'3421'!_1.__2010_11_FEFP_State_and_Local_Funding</vt:lpstr>
      <vt:lpstr>'3431'!_1.__2010_11_FEFP_State_and_Local_Funding</vt:lpstr>
      <vt:lpstr>'3441'!_1.__2010_11_FEFP_State_and_Local_Funding</vt:lpstr>
      <vt:lpstr>'3924'!_1.__2010_11_FEFP_State_and_Local_Funding</vt:lpstr>
      <vt:lpstr>'3941'!_1.__2010_11_FEFP_State_and_Local_Funding</vt:lpstr>
      <vt:lpstr>'3961'!_1.__2010_11_FEFP_State_and_Local_Funding</vt:lpstr>
      <vt:lpstr>'3971'!_1.__2010_11_FEFP_State_and_Local_Funding</vt:lpstr>
      <vt:lpstr>'4001'!_1.__2010_11_FEFP_State_and_Local_Funding</vt:lpstr>
      <vt:lpstr>'4002'!_1.__2010_11_FEFP_State_and_Local_Funding</vt:lpstr>
      <vt:lpstr>'4012'!_1.__2010_11_FEFP_State_and_Local_Funding</vt:lpstr>
      <vt:lpstr>'4013'!_1.__2010_11_FEFP_State_and_Local_Funding</vt:lpstr>
      <vt:lpstr>'4020'!_1.__2010_11_FEFP_State_and_Local_Funding</vt:lpstr>
      <vt:lpstr>'4030'!_1.__2010_11_FEFP_State_and_Local_Funding</vt:lpstr>
      <vt:lpstr>'4031'!_1.__2010_11_FEFP_State_and_Local_Funding</vt:lpstr>
      <vt:lpstr>'4041'!_1.__2010_11_FEFP_State_and_Local_Funding</vt:lpstr>
      <vt:lpstr>'4050'!_1.__2010_11_FEFP_State_and_Local_Funding</vt:lpstr>
      <vt:lpstr>'4051'!_1.__2010_11_FEFP_State_and_Local_Funding</vt:lpstr>
      <vt:lpstr>'4061'!_1.__2010_11_FEFP_State_and_Local_Funding</vt:lpstr>
      <vt:lpstr>'4080'!_1.__2010_11_FEFP_State_and_Local_Funding</vt:lpstr>
      <vt:lpstr>'4081'!_1.__2010_11_FEFP_State_and_Local_Funding</vt:lpstr>
      <vt:lpstr>'4090'!_1.__2010_11_FEFP_State_and_Local_Funding</vt:lpstr>
      <vt:lpstr>'4091'!_1.__2010_11_FEFP_State_and_Local_Funding</vt:lpstr>
      <vt:lpstr>'4100'!_1.__2010_11_FEFP_State_and_Local_Funding</vt:lpstr>
      <vt:lpstr>'4102'!_1.__2010_11_FEFP_State_and_Local_Funding</vt:lpstr>
      <vt:lpstr>'4103'!_1.__2010_11_FEFP_State_and_Local_Funding</vt:lpstr>
      <vt:lpstr>'4111'!_1.__2010_11_FEFP_State_and_Local_Funding</vt:lpstr>
      <vt:lpstr>'4131'!_1.__2010_11_FEFP_State_and_Local_Funding</vt:lpstr>
      <vt:lpstr>'4141'!_1.__2010_11_FEFP_State_and_Local_Funding</vt:lpstr>
      <vt:lpstr>_1.__2010_11_FEFP_State_and_Local_Funding</vt:lpstr>
      <vt:lpstr>'0100'!_101_Basic_K_3</vt:lpstr>
      <vt:lpstr>'0571'!_101_Basic_K_3</vt:lpstr>
      <vt:lpstr>'1461'!_101_Basic_K_3</vt:lpstr>
      <vt:lpstr>'1571'!_101_Basic_K_3</vt:lpstr>
      <vt:lpstr>'2521'!_101_Basic_K_3</vt:lpstr>
      <vt:lpstr>'2531'!_101_Basic_K_3</vt:lpstr>
      <vt:lpstr>'2791'!_101_Basic_K_3</vt:lpstr>
      <vt:lpstr>'2801'!_101_Basic_K_3</vt:lpstr>
      <vt:lpstr>'2911'!_101_Basic_K_3</vt:lpstr>
      <vt:lpstr>'2941'!_101_Basic_K_3</vt:lpstr>
      <vt:lpstr>'3083'!_101_Basic_K_3</vt:lpstr>
      <vt:lpstr>'3345'!_101_Basic_K_3</vt:lpstr>
      <vt:lpstr>'3362'!_101_Basic_K_3</vt:lpstr>
      <vt:lpstr>'3381'!_101_Basic_K_3</vt:lpstr>
      <vt:lpstr>'3382'!_101_Basic_K_3</vt:lpstr>
      <vt:lpstr>'3391'!_101_Basic_K_3</vt:lpstr>
      <vt:lpstr>'3394'!_101_Basic_K_3</vt:lpstr>
      <vt:lpstr>'3395'!_101_Basic_K_3</vt:lpstr>
      <vt:lpstr>'3396'!_101_Basic_K_3</vt:lpstr>
      <vt:lpstr>'3398'!_101_Basic_K_3</vt:lpstr>
      <vt:lpstr>'3400'!_101_Basic_K_3</vt:lpstr>
      <vt:lpstr>'3401'!_101_Basic_K_3</vt:lpstr>
      <vt:lpstr>'3413'!_101_Basic_K_3</vt:lpstr>
      <vt:lpstr>'3421'!_101_Basic_K_3</vt:lpstr>
      <vt:lpstr>'3431'!_101_Basic_K_3</vt:lpstr>
      <vt:lpstr>'3441'!_101_Basic_K_3</vt:lpstr>
      <vt:lpstr>'3924'!_101_Basic_K_3</vt:lpstr>
      <vt:lpstr>'3941'!_101_Basic_K_3</vt:lpstr>
      <vt:lpstr>'3961'!_101_Basic_K_3</vt:lpstr>
      <vt:lpstr>'3971'!_101_Basic_K_3</vt:lpstr>
      <vt:lpstr>'4001'!_101_Basic_K_3</vt:lpstr>
      <vt:lpstr>'4002'!_101_Basic_K_3</vt:lpstr>
      <vt:lpstr>'4012'!_101_Basic_K_3</vt:lpstr>
      <vt:lpstr>'4013'!_101_Basic_K_3</vt:lpstr>
      <vt:lpstr>'4020'!_101_Basic_K_3</vt:lpstr>
      <vt:lpstr>'4030'!_101_Basic_K_3</vt:lpstr>
      <vt:lpstr>'4031'!_101_Basic_K_3</vt:lpstr>
      <vt:lpstr>'4041'!_101_Basic_K_3</vt:lpstr>
      <vt:lpstr>'4050'!_101_Basic_K_3</vt:lpstr>
      <vt:lpstr>'4051'!_101_Basic_K_3</vt:lpstr>
      <vt:lpstr>'4061'!_101_Basic_K_3</vt:lpstr>
      <vt:lpstr>'4080'!_101_Basic_K_3</vt:lpstr>
      <vt:lpstr>'4081'!_101_Basic_K_3</vt:lpstr>
      <vt:lpstr>'4090'!_101_Basic_K_3</vt:lpstr>
      <vt:lpstr>'4091'!_101_Basic_K_3</vt:lpstr>
      <vt:lpstr>'4100'!_101_Basic_K_3</vt:lpstr>
      <vt:lpstr>'4102'!_101_Basic_K_3</vt:lpstr>
      <vt:lpstr>'4103'!_101_Basic_K_3</vt:lpstr>
      <vt:lpstr>'4111'!_101_Basic_K_3</vt:lpstr>
      <vt:lpstr>'4131'!_101_Basic_K_3</vt:lpstr>
      <vt:lpstr>'4141'!_101_Basic_K_3</vt:lpstr>
      <vt:lpstr>_101_Basic_K_3</vt:lpstr>
      <vt:lpstr>'0100'!_102_Basic_4_8</vt:lpstr>
      <vt:lpstr>'0571'!_102_Basic_4_8</vt:lpstr>
      <vt:lpstr>'1461'!_102_Basic_4_8</vt:lpstr>
      <vt:lpstr>'1571'!_102_Basic_4_8</vt:lpstr>
      <vt:lpstr>'2521'!_102_Basic_4_8</vt:lpstr>
      <vt:lpstr>'2531'!_102_Basic_4_8</vt:lpstr>
      <vt:lpstr>'2791'!_102_Basic_4_8</vt:lpstr>
      <vt:lpstr>'2801'!_102_Basic_4_8</vt:lpstr>
      <vt:lpstr>'2911'!_102_Basic_4_8</vt:lpstr>
      <vt:lpstr>'2941'!_102_Basic_4_8</vt:lpstr>
      <vt:lpstr>'3083'!_102_Basic_4_8</vt:lpstr>
      <vt:lpstr>'3345'!_102_Basic_4_8</vt:lpstr>
      <vt:lpstr>'3362'!_102_Basic_4_8</vt:lpstr>
      <vt:lpstr>'3381'!_102_Basic_4_8</vt:lpstr>
      <vt:lpstr>'3382'!_102_Basic_4_8</vt:lpstr>
      <vt:lpstr>'3391'!_102_Basic_4_8</vt:lpstr>
      <vt:lpstr>'3394'!_102_Basic_4_8</vt:lpstr>
      <vt:lpstr>'3395'!_102_Basic_4_8</vt:lpstr>
      <vt:lpstr>'3396'!_102_Basic_4_8</vt:lpstr>
      <vt:lpstr>'3398'!_102_Basic_4_8</vt:lpstr>
      <vt:lpstr>'3400'!_102_Basic_4_8</vt:lpstr>
      <vt:lpstr>'3401'!_102_Basic_4_8</vt:lpstr>
      <vt:lpstr>'3413'!_102_Basic_4_8</vt:lpstr>
      <vt:lpstr>'3421'!_102_Basic_4_8</vt:lpstr>
      <vt:lpstr>'3431'!_102_Basic_4_8</vt:lpstr>
      <vt:lpstr>'3441'!_102_Basic_4_8</vt:lpstr>
      <vt:lpstr>'3924'!_102_Basic_4_8</vt:lpstr>
      <vt:lpstr>'3941'!_102_Basic_4_8</vt:lpstr>
      <vt:lpstr>'3961'!_102_Basic_4_8</vt:lpstr>
      <vt:lpstr>'3971'!_102_Basic_4_8</vt:lpstr>
      <vt:lpstr>'4001'!_102_Basic_4_8</vt:lpstr>
      <vt:lpstr>'4002'!_102_Basic_4_8</vt:lpstr>
      <vt:lpstr>'4012'!_102_Basic_4_8</vt:lpstr>
      <vt:lpstr>'4013'!_102_Basic_4_8</vt:lpstr>
      <vt:lpstr>'4020'!_102_Basic_4_8</vt:lpstr>
      <vt:lpstr>'4030'!_102_Basic_4_8</vt:lpstr>
      <vt:lpstr>'4031'!_102_Basic_4_8</vt:lpstr>
      <vt:lpstr>'4041'!_102_Basic_4_8</vt:lpstr>
      <vt:lpstr>'4050'!_102_Basic_4_8</vt:lpstr>
      <vt:lpstr>'4051'!_102_Basic_4_8</vt:lpstr>
      <vt:lpstr>'4061'!_102_Basic_4_8</vt:lpstr>
      <vt:lpstr>'4080'!_102_Basic_4_8</vt:lpstr>
      <vt:lpstr>'4081'!_102_Basic_4_8</vt:lpstr>
      <vt:lpstr>'4090'!_102_Basic_4_8</vt:lpstr>
      <vt:lpstr>'4091'!_102_Basic_4_8</vt:lpstr>
      <vt:lpstr>'4100'!_102_Basic_4_8</vt:lpstr>
      <vt:lpstr>'4102'!_102_Basic_4_8</vt:lpstr>
      <vt:lpstr>'4103'!_102_Basic_4_8</vt:lpstr>
      <vt:lpstr>'4111'!_102_Basic_4_8</vt:lpstr>
      <vt:lpstr>'4131'!_102_Basic_4_8</vt:lpstr>
      <vt:lpstr>'4141'!_102_Basic_4_8</vt:lpstr>
      <vt:lpstr>_102_Basic_4_8</vt:lpstr>
      <vt:lpstr>'0100'!_103_Basic_9_12</vt:lpstr>
      <vt:lpstr>'0571'!_103_Basic_9_12</vt:lpstr>
      <vt:lpstr>'1461'!_103_Basic_9_12</vt:lpstr>
      <vt:lpstr>'1571'!_103_Basic_9_12</vt:lpstr>
      <vt:lpstr>'2521'!_103_Basic_9_12</vt:lpstr>
      <vt:lpstr>'2531'!_103_Basic_9_12</vt:lpstr>
      <vt:lpstr>'2791'!_103_Basic_9_12</vt:lpstr>
      <vt:lpstr>'2801'!_103_Basic_9_12</vt:lpstr>
      <vt:lpstr>'2911'!_103_Basic_9_12</vt:lpstr>
      <vt:lpstr>'2941'!_103_Basic_9_12</vt:lpstr>
      <vt:lpstr>'3083'!_103_Basic_9_12</vt:lpstr>
      <vt:lpstr>'3345'!_103_Basic_9_12</vt:lpstr>
      <vt:lpstr>'3362'!_103_Basic_9_12</vt:lpstr>
      <vt:lpstr>'3381'!_103_Basic_9_12</vt:lpstr>
      <vt:lpstr>'3382'!_103_Basic_9_12</vt:lpstr>
      <vt:lpstr>'3391'!_103_Basic_9_12</vt:lpstr>
      <vt:lpstr>'3394'!_103_Basic_9_12</vt:lpstr>
      <vt:lpstr>'3395'!_103_Basic_9_12</vt:lpstr>
      <vt:lpstr>'3396'!_103_Basic_9_12</vt:lpstr>
      <vt:lpstr>'3398'!_103_Basic_9_12</vt:lpstr>
      <vt:lpstr>'3400'!_103_Basic_9_12</vt:lpstr>
      <vt:lpstr>'3401'!_103_Basic_9_12</vt:lpstr>
      <vt:lpstr>'3413'!_103_Basic_9_12</vt:lpstr>
      <vt:lpstr>'3421'!_103_Basic_9_12</vt:lpstr>
      <vt:lpstr>'3431'!_103_Basic_9_12</vt:lpstr>
      <vt:lpstr>'3441'!_103_Basic_9_12</vt:lpstr>
      <vt:lpstr>'3924'!_103_Basic_9_12</vt:lpstr>
      <vt:lpstr>'3941'!_103_Basic_9_12</vt:lpstr>
      <vt:lpstr>'3961'!_103_Basic_9_12</vt:lpstr>
      <vt:lpstr>'3971'!_103_Basic_9_12</vt:lpstr>
      <vt:lpstr>'4001'!_103_Basic_9_12</vt:lpstr>
      <vt:lpstr>'4002'!_103_Basic_9_12</vt:lpstr>
      <vt:lpstr>'4012'!_103_Basic_9_12</vt:lpstr>
      <vt:lpstr>'4013'!_103_Basic_9_12</vt:lpstr>
      <vt:lpstr>'4020'!_103_Basic_9_12</vt:lpstr>
      <vt:lpstr>'4030'!_103_Basic_9_12</vt:lpstr>
      <vt:lpstr>'4031'!_103_Basic_9_12</vt:lpstr>
      <vt:lpstr>'4041'!_103_Basic_9_12</vt:lpstr>
      <vt:lpstr>'4050'!_103_Basic_9_12</vt:lpstr>
      <vt:lpstr>'4051'!_103_Basic_9_12</vt:lpstr>
      <vt:lpstr>'4061'!_103_Basic_9_12</vt:lpstr>
      <vt:lpstr>'4080'!_103_Basic_9_12</vt:lpstr>
      <vt:lpstr>'4081'!_103_Basic_9_12</vt:lpstr>
      <vt:lpstr>'4090'!_103_Basic_9_12</vt:lpstr>
      <vt:lpstr>'4091'!_103_Basic_9_12</vt:lpstr>
      <vt:lpstr>'4100'!_103_Basic_9_12</vt:lpstr>
      <vt:lpstr>'4102'!_103_Basic_9_12</vt:lpstr>
      <vt:lpstr>'4103'!_103_Basic_9_12</vt:lpstr>
      <vt:lpstr>'4111'!_103_Basic_9_12</vt:lpstr>
      <vt:lpstr>'4131'!_103_Basic_9_12</vt:lpstr>
      <vt:lpstr>'4141'!_103_Basic_9_12</vt:lpstr>
      <vt:lpstr>_103_Basic_9_12</vt:lpstr>
      <vt:lpstr>'0100'!_111_Basic_K_3_with_ESE_Services</vt:lpstr>
      <vt:lpstr>'0571'!_111_Basic_K_3_with_ESE_Services</vt:lpstr>
      <vt:lpstr>'1461'!_111_Basic_K_3_with_ESE_Services</vt:lpstr>
      <vt:lpstr>'1571'!_111_Basic_K_3_with_ESE_Services</vt:lpstr>
      <vt:lpstr>'2521'!_111_Basic_K_3_with_ESE_Services</vt:lpstr>
      <vt:lpstr>'2531'!_111_Basic_K_3_with_ESE_Services</vt:lpstr>
      <vt:lpstr>'2791'!_111_Basic_K_3_with_ESE_Services</vt:lpstr>
      <vt:lpstr>'2801'!_111_Basic_K_3_with_ESE_Services</vt:lpstr>
      <vt:lpstr>'2911'!_111_Basic_K_3_with_ESE_Services</vt:lpstr>
      <vt:lpstr>'2941'!_111_Basic_K_3_with_ESE_Services</vt:lpstr>
      <vt:lpstr>'3083'!_111_Basic_K_3_with_ESE_Services</vt:lpstr>
      <vt:lpstr>'3345'!_111_Basic_K_3_with_ESE_Services</vt:lpstr>
      <vt:lpstr>'3362'!_111_Basic_K_3_with_ESE_Services</vt:lpstr>
      <vt:lpstr>'3381'!_111_Basic_K_3_with_ESE_Services</vt:lpstr>
      <vt:lpstr>'3382'!_111_Basic_K_3_with_ESE_Services</vt:lpstr>
      <vt:lpstr>'3391'!_111_Basic_K_3_with_ESE_Services</vt:lpstr>
      <vt:lpstr>'3394'!_111_Basic_K_3_with_ESE_Services</vt:lpstr>
      <vt:lpstr>'3395'!_111_Basic_K_3_with_ESE_Services</vt:lpstr>
      <vt:lpstr>'3396'!_111_Basic_K_3_with_ESE_Services</vt:lpstr>
      <vt:lpstr>'3398'!_111_Basic_K_3_with_ESE_Services</vt:lpstr>
      <vt:lpstr>'3400'!_111_Basic_K_3_with_ESE_Services</vt:lpstr>
      <vt:lpstr>'3401'!_111_Basic_K_3_with_ESE_Services</vt:lpstr>
      <vt:lpstr>'3413'!_111_Basic_K_3_with_ESE_Services</vt:lpstr>
      <vt:lpstr>'3421'!_111_Basic_K_3_with_ESE_Services</vt:lpstr>
      <vt:lpstr>'3431'!_111_Basic_K_3_with_ESE_Services</vt:lpstr>
      <vt:lpstr>'3441'!_111_Basic_K_3_with_ESE_Services</vt:lpstr>
      <vt:lpstr>'3924'!_111_Basic_K_3_with_ESE_Services</vt:lpstr>
      <vt:lpstr>'3941'!_111_Basic_K_3_with_ESE_Services</vt:lpstr>
      <vt:lpstr>'3961'!_111_Basic_K_3_with_ESE_Services</vt:lpstr>
      <vt:lpstr>'3971'!_111_Basic_K_3_with_ESE_Services</vt:lpstr>
      <vt:lpstr>'4001'!_111_Basic_K_3_with_ESE_Services</vt:lpstr>
      <vt:lpstr>'4002'!_111_Basic_K_3_with_ESE_Services</vt:lpstr>
      <vt:lpstr>'4012'!_111_Basic_K_3_with_ESE_Services</vt:lpstr>
      <vt:lpstr>'4013'!_111_Basic_K_3_with_ESE_Services</vt:lpstr>
      <vt:lpstr>'4020'!_111_Basic_K_3_with_ESE_Services</vt:lpstr>
      <vt:lpstr>'4030'!_111_Basic_K_3_with_ESE_Services</vt:lpstr>
      <vt:lpstr>'4031'!_111_Basic_K_3_with_ESE_Services</vt:lpstr>
      <vt:lpstr>'4041'!_111_Basic_K_3_with_ESE_Services</vt:lpstr>
      <vt:lpstr>'4050'!_111_Basic_K_3_with_ESE_Services</vt:lpstr>
      <vt:lpstr>'4051'!_111_Basic_K_3_with_ESE_Services</vt:lpstr>
      <vt:lpstr>'4061'!_111_Basic_K_3_with_ESE_Services</vt:lpstr>
      <vt:lpstr>'4080'!_111_Basic_K_3_with_ESE_Services</vt:lpstr>
      <vt:lpstr>'4081'!_111_Basic_K_3_with_ESE_Services</vt:lpstr>
      <vt:lpstr>'4090'!_111_Basic_K_3_with_ESE_Services</vt:lpstr>
      <vt:lpstr>'4091'!_111_Basic_K_3_with_ESE_Services</vt:lpstr>
      <vt:lpstr>'4100'!_111_Basic_K_3_with_ESE_Services</vt:lpstr>
      <vt:lpstr>'4102'!_111_Basic_K_3_with_ESE_Services</vt:lpstr>
      <vt:lpstr>'4103'!_111_Basic_K_3_with_ESE_Services</vt:lpstr>
      <vt:lpstr>'4111'!_111_Basic_K_3_with_ESE_Services</vt:lpstr>
      <vt:lpstr>'4131'!_111_Basic_K_3_with_ESE_Services</vt:lpstr>
      <vt:lpstr>'4141'!_111_Basic_K_3_with_ESE_Services</vt:lpstr>
      <vt:lpstr>_111_Basic_K_3_with_ESE_Services</vt:lpstr>
      <vt:lpstr>'0100'!_112_Basic_4_8_with_ESE_Services</vt:lpstr>
      <vt:lpstr>'0571'!_112_Basic_4_8_with_ESE_Services</vt:lpstr>
      <vt:lpstr>'1461'!_112_Basic_4_8_with_ESE_Services</vt:lpstr>
      <vt:lpstr>'1571'!_112_Basic_4_8_with_ESE_Services</vt:lpstr>
      <vt:lpstr>'2521'!_112_Basic_4_8_with_ESE_Services</vt:lpstr>
      <vt:lpstr>'2531'!_112_Basic_4_8_with_ESE_Services</vt:lpstr>
      <vt:lpstr>'2791'!_112_Basic_4_8_with_ESE_Services</vt:lpstr>
      <vt:lpstr>'2801'!_112_Basic_4_8_with_ESE_Services</vt:lpstr>
      <vt:lpstr>'2911'!_112_Basic_4_8_with_ESE_Services</vt:lpstr>
      <vt:lpstr>'2941'!_112_Basic_4_8_with_ESE_Services</vt:lpstr>
      <vt:lpstr>'3083'!_112_Basic_4_8_with_ESE_Services</vt:lpstr>
      <vt:lpstr>'3345'!_112_Basic_4_8_with_ESE_Services</vt:lpstr>
      <vt:lpstr>'3362'!_112_Basic_4_8_with_ESE_Services</vt:lpstr>
      <vt:lpstr>'3381'!_112_Basic_4_8_with_ESE_Services</vt:lpstr>
      <vt:lpstr>'3382'!_112_Basic_4_8_with_ESE_Services</vt:lpstr>
      <vt:lpstr>'3391'!_112_Basic_4_8_with_ESE_Services</vt:lpstr>
      <vt:lpstr>'3394'!_112_Basic_4_8_with_ESE_Services</vt:lpstr>
      <vt:lpstr>'3395'!_112_Basic_4_8_with_ESE_Services</vt:lpstr>
      <vt:lpstr>'3396'!_112_Basic_4_8_with_ESE_Services</vt:lpstr>
      <vt:lpstr>'3398'!_112_Basic_4_8_with_ESE_Services</vt:lpstr>
      <vt:lpstr>'3400'!_112_Basic_4_8_with_ESE_Services</vt:lpstr>
      <vt:lpstr>'3401'!_112_Basic_4_8_with_ESE_Services</vt:lpstr>
      <vt:lpstr>'3413'!_112_Basic_4_8_with_ESE_Services</vt:lpstr>
      <vt:lpstr>'3421'!_112_Basic_4_8_with_ESE_Services</vt:lpstr>
      <vt:lpstr>'3431'!_112_Basic_4_8_with_ESE_Services</vt:lpstr>
      <vt:lpstr>'3441'!_112_Basic_4_8_with_ESE_Services</vt:lpstr>
      <vt:lpstr>'3924'!_112_Basic_4_8_with_ESE_Services</vt:lpstr>
      <vt:lpstr>'3941'!_112_Basic_4_8_with_ESE_Services</vt:lpstr>
      <vt:lpstr>'3961'!_112_Basic_4_8_with_ESE_Services</vt:lpstr>
      <vt:lpstr>'3971'!_112_Basic_4_8_with_ESE_Services</vt:lpstr>
      <vt:lpstr>'4001'!_112_Basic_4_8_with_ESE_Services</vt:lpstr>
      <vt:lpstr>'4002'!_112_Basic_4_8_with_ESE_Services</vt:lpstr>
      <vt:lpstr>'4012'!_112_Basic_4_8_with_ESE_Services</vt:lpstr>
      <vt:lpstr>'4013'!_112_Basic_4_8_with_ESE_Services</vt:lpstr>
      <vt:lpstr>'4020'!_112_Basic_4_8_with_ESE_Services</vt:lpstr>
      <vt:lpstr>'4030'!_112_Basic_4_8_with_ESE_Services</vt:lpstr>
      <vt:lpstr>'4031'!_112_Basic_4_8_with_ESE_Services</vt:lpstr>
      <vt:lpstr>'4041'!_112_Basic_4_8_with_ESE_Services</vt:lpstr>
      <vt:lpstr>'4050'!_112_Basic_4_8_with_ESE_Services</vt:lpstr>
      <vt:lpstr>'4051'!_112_Basic_4_8_with_ESE_Services</vt:lpstr>
      <vt:lpstr>'4061'!_112_Basic_4_8_with_ESE_Services</vt:lpstr>
      <vt:lpstr>'4080'!_112_Basic_4_8_with_ESE_Services</vt:lpstr>
      <vt:lpstr>'4081'!_112_Basic_4_8_with_ESE_Services</vt:lpstr>
      <vt:lpstr>'4090'!_112_Basic_4_8_with_ESE_Services</vt:lpstr>
      <vt:lpstr>'4091'!_112_Basic_4_8_with_ESE_Services</vt:lpstr>
      <vt:lpstr>'4100'!_112_Basic_4_8_with_ESE_Services</vt:lpstr>
      <vt:lpstr>'4102'!_112_Basic_4_8_with_ESE_Services</vt:lpstr>
      <vt:lpstr>'4103'!_112_Basic_4_8_with_ESE_Services</vt:lpstr>
      <vt:lpstr>'4111'!_112_Basic_4_8_with_ESE_Services</vt:lpstr>
      <vt:lpstr>'4131'!_112_Basic_4_8_with_ESE_Services</vt:lpstr>
      <vt:lpstr>'4141'!_112_Basic_4_8_with_ESE_Services</vt:lpstr>
      <vt:lpstr>_112_Basic_4_8_with_ESE_Services</vt:lpstr>
      <vt:lpstr>'0100'!_113_Basic_9_12_with_ESE_Services</vt:lpstr>
      <vt:lpstr>'0571'!_113_Basic_9_12_with_ESE_Services</vt:lpstr>
      <vt:lpstr>'1461'!_113_Basic_9_12_with_ESE_Services</vt:lpstr>
      <vt:lpstr>'1571'!_113_Basic_9_12_with_ESE_Services</vt:lpstr>
      <vt:lpstr>'2521'!_113_Basic_9_12_with_ESE_Services</vt:lpstr>
      <vt:lpstr>'2531'!_113_Basic_9_12_with_ESE_Services</vt:lpstr>
      <vt:lpstr>'2791'!_113_Basic_9_12_with_ESE_Services</vt:lpstr>
      <vt:lpstr>'2801'!_113_Basic_9_12_with_ESE_Services</vt:lpstr>
      <vt:lpstr>'2911'!_113_Basic_9_12_with_ESE_Services</vt:lpstr>
      <vt:lpstr>'2941'!_113_Basic_9_12_with_ESE_Services</vt:lpstr>
      <vt:lpstr>'3083'!_113_Basic_9_12_with_ESE_Services</vt:lpstr>
      <vt:lpstr>'3345'!_113_Basic_9_12_with_ESE_Services</vt:lpstr>
      <vt:lpstr>'3362'!_113_Basic_9_12_with_ESE_Services</vt:lpstr>
      <vt:lpstr>'3381'!_113_Basic_9_12_with_ESE_Services</vt:lpstr>
      <vt:lpstr>'3382'!_113_Basic_9_12_with_ESE_Services</vt:lpstr>
      <vt:lpstr>'3391'!_113_Basic_9_12_with_ESE_Services</vt:lpstr>
      <vt:lpstr>'3394'!_113_Basic_9_12_with_ESE_Services</vt:lpstr>
      <vt:lpstr>'3395'!_113_Basic_9_12_with_ESE_Services</vt:lpstr>
      <vt:lpstr>'3396'!_113_Basic_9_12_with_ESE_Services</vt:lpstr>
      <vt:lpstr>'3398'!_113_Basic_9_12_with_ESE_Services</vt:lpstr>
      <vt:lpstr>'3400'!_113_Basic_9_12_with_ESE_Services</vt:lpstr>
      <vt:lpstr>'3401'!_113_Basic_9_12_with_ESE_Services</vt:lpstr>
      <vt:lpstr>'3413'!_113_Basic_9_12_with_ESE_Services</vt:lpstr>
      <vt:lpstr>'3421'!_113_Basic_9_12_with_ESE_Services</vt:lpstr>
      <vt:lpstr>'3431'!_113_Basic_9_12_with_ESE_Services</vt:lpstr>
      <vt:lpstr>'3441'!_113_Basic_9_12_with_ESE_Services</vt:lpstr>
      <vt:lpstr>'3924'!_113_Basic_9_12_with_ESE_Services</vt:lpstr>
      <vt:lpstr>'3941'!_113_Basic_9_12_with_ESE_Services</vt:lpstr>
      <vt:lpstr>'3961'!_113_Basic_9_12_with_ESE_Services</vt:lpstr>
      <vt:lpstr>'3971'!_113_Basic_9_12_with_ESE_Services</vt:lpstr>
      <vt:lpstr>'4001'!_113_Basic_9_12_with_ESE_Services</vt:lpstr>
      <vt:lpstr>'4002'!_113_Basic_9_12_with_ESE_Services</vt:lpstr>
      <vt:lpstr>'4012'!_113_Basic_9_12_with_ESE_Services</vt:lpstr>
      <vt:lpstr>'4013'!_113_Basic_9_12_with_ESE_Services</vt:lpstr>
      <vt:lpstr>'4020'!_113_Basic_9_12_with_ESE_Services</vt:lpstr>
      <vt:lpstr>'4030'!_113_Basic_9_12_with_ESE_Services</vt:lpstr>
      <vt:lpstr>'4031'!_113_Basic_9_12_with_ESE_Services</vt:lpstr>
      <vt:lpstr>'4041'!_113_Basic_9_12_with_ESE_Services</vt:lpstr>
      <vt:lpstr>'4050'!_113_Basic_9_12_with_ESE_Services</vt:lpstr>
      <vt:lpstr>'4051'!_113_Basic_9_12_with_ESE_Services</vt:lpstr>
      <vt:lpstr>'4061'!_113_Basic_9_12_with_ESE_Services</vt:lpstr>
      <vt:lpstr>'4080'!_113_Basic_9_12_with_ESE_Services</vt:lpstr>
      <vt:lpstr>'4081'!_113_Basic_9_12_with_ESE_Services</vt:lpstr>
      <vt:lpstr>'4090'!_113_Basic_9_12_with_ESE_Services</vt:lpstr>
      <vt:lpstr>'4091'!_113_Basic_9_12_with_ESE_Services</vt:lpstr>
      <vt:lpstr>'4100'!_113_Basic_9_12_with_ESE_Services</vt:lpstr>
      <vt:lpstr>'4102'!_113_Basic_9_12_with_ESE_Services</vt:lpstr>
      <vt:lpstr>'4103'!_113_Basic_9_12_with_ESE_Services</vt:lpstr>
      <vt:lpstr>'4111'!_113_Basic_9_12_with_ESE_Services</vt:lpstr>
      <vt:lpstr>'4131'!_113_Basic_9_12_with_ESE_Services</vt:lpstr>
      <vt:lpstr>'4141'!_113_Basic_9_12_with_ESE_Services</vt:lpstr>
      <vt:lpstr>_113_Basic_9_12_with_ESE_Services</vt:lpstr>
      <vt:lpstr>'0100'!_130_ESOL__Grade_Level_4_8</vt:lpstr>
      <vt:lpstr>'0571'!_130_ESOL__Grade_Level_4_8</vt:lpstr>
      <vt:lpstr>'1461'!_130_ESOL__Grade_Level_4_8</vt:lpstr>
      <vt:lpstr>'1571'!_130_ESOL__Grade_Level_4_8</vt:lpstr>
      <vt:lpstr>'2521'!_130_ESOL__Grade_Level_4_8</vt:lpstr>
      <vt:lpstr>'2531'!_130_ESOL__Grade_Level_4_8</vt:lpstr>
      <vt:lpstr>'2791'!_130_ESOL__Grade_Level_4_8</vt:lpstr>
      <vt:lpstr>'2801'!_130_ESOL__Grade_Level_4_8</vt:lpstr>
      <vt:lpstr>'2911'!_130_ESOL__Grade_Level_4_8</vt:lpstr>
      <vt:lpstr>'2941'!_130_ESOL__Grade_Level_4_8</vt:lpstr>
      <vt:lpstr>'3083'!_130_ESOL__Grade_Level_4_8</vt:lpstr>
      <vt:lpstr>'3345'!_130_ESOL__Grade_Level_4_8</vt:lpstr>
      <vt:lpstr>'3362'!_130_ESOL__Grade_Level_4_8</vt:lpstr>
      <vt:lpstr>'3381'!_130_ESOL__Grade_Level_4_8</vt:lpstr>
      <vt:lpstr>'3382'!_130_ESOL__Grade_Level_4_8</vt:lpstr>
      <vt:lpstr>'3391'!_130_ESOL__Grade_Level_4_8</vt:lpstr>
      <vt:lpstr>'3394'!_130_ESOL__Grade_Level_4_8</vt:lpstr>
      <vt:lpstr>'3395'!_130_ESOL__Grade_Level_4_8</vt:lpstr>
      <vt:lpstr>'3396'!_130_ESOL__Grade_Level_4_8</vt:lpstr>
      <vt:lpstr>'3398'!_130_ESOL__Grade_Level_4_8</vt:lpstr>
      <vt:lpstr>'3400'!_130_ESOL__Grade_Level_4_8</vt:lpstr>
      <vt:lpstr>'3401'!_130_ESOL__Grade_Level_4_8</vt:lpstr>
      <vt:lpstr>'3413'!_130_ESOL__Grade_Level_4_8</vt:lpstr>
      <vt:lpstr>'3421'!_130_ESOL__Grade_Level_4_8</vt:lpstr>
      <vt:lpstr>'3431'!_130_ESOL__Grade_Level_4_8</vt:lpstr>
      <vt:lpstr>'3441'!_130_ESOL__Grade_Level_4_8</vt:lpstr>
      <vt:lpstr>'3924'!_130_ESOL__Grade_Level_4_8</vt:lpstr>
      <vt:lpstr>'3941'!_130_ESOL__Grade_Level_4_8</vt:lpstr>
      <vt:lpstr>'3961'!_130_ESOL__Grade_Level_4_8</vt:lpstr>
      <vt:lpstr>'3971'!_130_ESOL__Grade_Level_4_8</vt:lpstr>
      <vt:lpstr>'4001'!_130_ESOL__Grade_Level_4_8</vt:lpstr>
      <vt:lpstr>'4002'!_130_ESOL__Grade_Level_4_8</vt:lpstr>
      <vt:lpstr>'4012'!_130_ESOL__Grade_Level_4_8</vt:lpstr>
      <vt:lpstr>'4013'!_130_ESOL__Grade_Level_4_8</vt:lpstr>
      <vt:lpstr>'4020'!_130_ESOL__Grade_Level_4_8</vt:lpstr>
      <vt:lpstr>'4030'!_130_ESOL__Grade_Level_4_8</vt:lpstr>
      <vt:lpstr>'4031'!_130_ESOL__Grade_Level_4_8</vt:lpstr>
      <vt:lpstr>'4041'!_130_ESOL__Grade_Level_4_8</vt:lpstr>
      <vt:lpstr>'4050'!_130_ESOL__Grade_Level_4_8</vt:lpstr>
      <vt:lpstr>'4051'!_130_ESOL__Grade_Level_4_8</vt:lpstr>
      <vt:lpstr>'4061'!_130_ESOL__Grade_Level_4_8</vt:lpstr>
      <vt:lpstr>'4080'!_130_ESOL__Grade_Level_4_8</vt:lpstr>
      <vt:lpstr>'4081'!_130_ESOL__Grade_Level_4_8</vt:lpstr>
      <vt:lpstr>'4090'!_130_ESOL__Grade_Level_4_8</vt:lpstr>
      <vt:lpstr>'4091'!_130_ESOL__Grade_Level_4_8</vt:lpstr>
      <vt:lpstr>'4100'!_130_ESOL__Grade_Level_4_8</vt:lpstr>
      <vt:lpstr>'4102'!_130_ESOL__Grade_Level_4_8</vt:lpstr>
      <vt:lpstr>'4103'!_130_ESOL__Grade_Level_4_8</vt:lpstr>
      <vt:lpstr>'4111'!_130_ESOL__Grade_Level_4_8</vt:lpstr>
      <vt:lpstr>'4131'!_130_ESOL__Grade_Level_4_8</vt:lpstr>
      <vt:lpstr>'4141'!_130_ESOL__Grade_Level_4_8</vt:lpstr>
      <vt:lpstr>_130_ESOL__Grade_Level_4_8</vt:lpstr>
      <vt:lpstr>'0100'!_130_ESOL__Grade_Level_9_12</vt:lpstr>
      <vt:lpstr>'0571'!_130_ESOL__Grade_Level_9_12</vt:lpstr>
      <vt:lpstr>'1461'!_130_ESOL__Grade_Level_9_12</vt:lpstr>
      <vt:lpstr>'1571'!_130_ESOL__Grade_Level_9_12</vt:lpstr>
      <vt:lpstr>'2521'!_130_ESOL__Grade_Level_9_12</vt:lpstr>
      <vt:lpstr>'2531'!_130_ESOL__Grade_Level_9_12</vt:lpstr>
      <vt:lpstr>'2791'!_130_ESOL__Grade_Level_9_12</vt:lpstr>
      <vt:lpstr>'2801'!_130_ESOL__Grade_Level_9_12</vt:lpstr>
      <vt:lpstr>'2911'!_130_ESOL__Grade_Level_9_12</vt:lpstr>
      <vt:lpstr>'2941'!_130_ESOL__Grade_Level_9_12</vt:lpstr>
      <vt:lpstr>'3083'!_130_ESOL__Grade_Level_9_12</vt:lpstr>
      <vt:lpstr>'3345'!_130_ESOL__Grade_Level_9_12</vt:lpstr>
      <vt:lpstr>'3362'!_130_ESOL__Grade_Level_9_12</vt:lpstr>
      <vt:lpstr>'3381'!_130_ESOL__Grade_Level_9_12</vt:lpstr>
      <vt:lpstr>'3382'!_130_ESOL__Grade_Level_9_12</vt:lpstr>
      <vt:lpstr>'3391'!_130_ESOL__Grade_Level_9_12</vt:lpstr>
      <vt:lpstr>'3394'!_130_ESOL__Grade_Level_9_12</vt:lpstr>
      <vt:lpstr>'3395'!_130_ESOL__Grade_Level_9_12</vt:lpstr>
      <vt:lpstr>'3396'!_130_ESOL__Grade_Level_9_12</vt:lpstr>
      <vt:lpstr>'3398'!_130_ESOL__Grade_Level_9_12</vt:lpstr>
      <vt:lpstr>'3400'!_130_ESOL__Grade_Level_9_12</vt:lpstr>
      <vt:lpstr>'3401'!_130_ESOL__Grade_Level_9_12</vt:lpstr>
      <vt:lpstr>'3413'!_130_ESOL__Grade_Level_9_12</vt:lpstr>
      <vt:lpstr>'3421'!_130_ESOL__Grade_Level_9_12</vt:lpstr>
      <vt:lpstr>'3431'!_130_ESOL__Grade_Level_9_12</vt:lpstr>
      <vt:lpstr>'3441'!_130_ESOL__Grade_Level_9_12</vt:lpstr>
      <vt:lpstr>'3924'!_130_ESOL__Grade_Level_9_12</vt:lpstr>
      <vt:lpstr>'3941'!_130_ESOL__Grade_Level_9_12</vt:lpstr>
      <vt:lpstr>'3961'!_130_ESOL__Grade_Level_9_12</vt:lpstr>
      <vt:lpstr>'3971'!_130_ESOL__Grade_Level_9_12</vt:lpstr>
      <vt:lpstr>'4001'!_130_ESOL__Grade_Level_9_12</vt:lpstr>
      <vt:lpstr>'4002'!_130_ESOL__Grade_Level_9_12</vt:lpstr>
      <vt:lpstr>'4012'!_130_ESOL__Grade_Level_9_12</vt:lpstr>
      <vt:lpstr>'4013'!_130_ESOL__Grade_Level_9_12</vt:lpstr>
      <vt:lpstr>'4020'!_130_ESOL__Grade_Level_9_12</vt:lpstr>
      <vt:lpstr>'4030'!_130_ESOL__Grade_Level_9_12</vt:lpstr>
      <vt:lpstr>'4031'!_130_ESOL__Grade_Level_9_12</vt:lpstr>
      <vt:lpstr>'4041'!_130_ESOL__Grade_Level_9_12</vt:lpstr>
      <vt:lpstr>'4050'!_130_ESOL__Grade_Level_9_12</vt:lpstr>
      <vt:lpstr>'4051'!_130_ESOL__Grade_Level_9_12</vt:lpstr>
      <vt:lpstr>'4061'!_130_ESOL__Grade_Level_9_12</vt:lpstr>
      <vt:lpstr>'4080'!_130_ESOL__Grade_Level_9_12</vt:lpstr>
      <vt:lpstr>'4081'!_130_ESOL__Grade_Level_9_12</vt:lpstr>
      <vt:lpstr>'4090'!_130_ESOL__Grade_Level_9_12</vt:lpstr>
      <vt:lpstr>'4091'!_130_ESOL__Grade_Level_9_12</vt:lpstr>
      <vt:lpstr>'4100'!_130_ESOL__Grade_Level_9_12</vt:lpstr>
      <vt:lpstr>'4102'!_130_ESOL__Grade_Level_9_12</vt:lpstr>
      <vt:lpstr>'4103'!_130_ESOL__Grade_Level_9_12</vt:lpstr>
      <vt:lpstr>'4111'!_130_ESOL__Grade_Level_9_12</vt:lpstr>
      <vt:lpstr>'4131'!_130_ESOL__Grade_Level_9_12</vt:lpstr>
      <vt:lpstr>'4141'!_130_ESOL__Grade_Level_9_12</vt:lpstr>
      <vt:lpstr>_130_ESOL__Grade_Level_9_12</vt:lpstr>
      <vt:lpstr>'0100'!_130_ESOL__Grade_Level_PK_3</vt:lpstr>
      <vt:lpstr>'0571'!_130_ESOL__Grade_Level_PK_3</vt:lpstr>
      <vt:lpstr>'1461'!_130_ESOL__Grade_Level_PK_3</vt:lpstr>
      <vt:lpstr>'1571'!_130_ESOL__Grade_Level_PK_3</vt:lpstr>
      <vt:lpstr>'2521'!_130_ESOL__Grade_Level_PK_3</vt:lpstr>
      <vt:lpstr>'2531'!_130_ESOL__Grade_Level_PK_3</vt:lpstr>
      <vt:lpstr>'2791'!_130_ESOL__Grade_Level_PK_3</vt:lpstr>
      <vt:lpstr>'2801'!_130_ESOL__Grade_Level_PK_3</vt:lpstr>
      <vt:lpstr>'2911'!_130_ESOL__Grade_Level_PK_3</vt:lpstr>
      <vt:lpstr>'2941'!_130_ESOL__Grade_Level_PK_3</vt:lpstr>
      <vt:lpstr>'3083'!_130_ESOL__Grade_Level_PK_3</vt:lpstr>
      <vt:lpstr>'3345'!_130_ESOL__Grade_Level_PK_3</vt:lpstr>
      <vt:lpstr>'3362'!_130_ESOL__Grade_Level_PK_3</vt:lpstr>
      <vt:lpstr>'3381'!_130_ESOL__Grade_Level_PK_3</vt:lpstr>
      <vt:lpstr>'3382'!_130_ESOL__Grade_Level_PK_3</vt:lpstr>
      <vt:lpstr>'3391'!_130_ESOL__Grade_Level_PK_3</vt:lpstr>
      <vt:lpstr>'3394'!_130_ESOL__Grade_Level_PK_3</vt:lpstr>
      <vt:lpstr>'3395'!_130_ESOL__Grade_Level_PK_3</vt:lpstr>
      <vt:lpstr>'3396'!_130_ESOL__Grade_Level_PK_3</vt:lpstr>
      <vt:lpstr>'3398'!_130_ESOL__Grade_Level_PK_3</vt:lpstr>
      <vt:lpstr>'3400'!_130_ESOL__Grade_Level_PK_3</vt:lpstr>
      <vt:lpstr>'3401'!_130_ESOL__Grade_Level_PK_3</vt:lpstr>
      <vt:lpstr>'3413'!_130_ESOL__Grade_Level_PK_3</vt:lpstr>
      <vt:lpstr>'3421'!_130_ESOL__Grade_Level_PK_3</vt:lpstr>
      <vt:lpstr>'3431'!_130_ESOL__Grade_Level_PK_3</vt:lpstr>
      <vt:lpstr>'3441'!_130_ESOL__Grade_Level_PK_3</vt:lpstr>
      <vt:lpstr>'3924'!_130_ESOL__Grade_Level_PK_3</vt:lpstr>
      <vt:lpstr>'3941'!_130_ESOL__Grade_Level_PK_3</vt:lpstr>
      <vt:lpstr>'3961'!_130_ESOL__Grade_Level_PK_3</vt:lpstr>
      <vt:lpstr>'3971'!_130_ESOL__Grade_Level_PK_3</vt:lpstr>
      <vt:lpstr>'4001'!_130_ESOL__Grade_Level_PK_3</vt:lpstr>
      <vt:lpstr>'4002'!_130_ESOL__Grade_Level_PK_3</vt:lpstr>
      <vt:lpstr>'4012'!_130_ESOL__Grade_Level_PK_3</vt:lpstr>
      <vt:lpstr>'4013'!_130_ESOL__Grade_Level_PK_3</vt:lpstr>
      <vt:lpstr>'4020'!_130_ESOL__Grade_Level_PK_3</vt:lpstr>
      <vt:lpstr>'4030'!_130_ESOL__Grade_Level_PK_3</vt:lpstr>
      <vt:lpstr>'4031'!_130_ESOL__Grade_Level_PK_3</vt:lpstr>
      <vt:lpstr>'4041'!_130_ESOL__Grade_Level_PK_3</vt:lpstr>
      <vt:lpstr>'4050'!_130_ESOL__Grade_Level_PK_3</vt:lpstr>
      <vt:lpstr>'4051'!_130_ESOL__Grade_Level_PK_3</vt:lpstr>
      <vt:lpstr>'4061'!_130_ESOL__Grade_Level_PK_3</vt:lpstr>
      <vt:lpstr>'4080'!_130_ESOL__Grade_Level_PK_3</vt:lpstr>
      <vt:lpstr>'4081'!_130_ESOL__Grade_Level_PK_3</vt:lpstr>
      <vt:lpstr>'4090'!_130_ESOL__Grade_Level_PK_3</vt:lpstr>
      <vt:lpstr>'4091'!_130_ESOL__Grade_Level_PK_3</vt:lpstr>
      <vt:lpstr>'4100'!_130_ESOL__Grade_Level_PK_3</vt:lpstr>
      <vt:lpstr>'4102'!_130_ESOL__Grade_Level_PK_3</vt:lpstr>
      <vt:lpstr>'4103'!_130_ESOL__Grade_Level_PK_3</vt:lpstr>
      <vt:lpstr>'4111'!_130_ESOL__Grade_Level_PK_3</vt:lpstr>
      <vt:lpstr>'4131'!_130_ESOL__Grade_Level_PK_3</vt:lpstr>
      <vt:lpstr>'4141'!_130_ESOL__Grade_Level_PK_3</vt:lpstr>
      <vt:lpstr>_130_ESOL__Grade_Level_PK_3</vt:lpstr>
      <vt:lpstr>'0040'!_1A.___2023_24_FEFP_State_and_Local_Funding</vt:lpstr>
      <vt:lpstr>'0100'!_1A.___2023_24_FEFP_State_and_Local_Funding</vt:lpstr>
      <vt:lpstr>'0571'!_1A.___2023_24_FEFP_State_and_Local_Funding</vt:lpstr>
      <vt:lpstr>'1461'!_1A.___2023_24_FEFP_State_and_Local_Funding</vt:lpstr>
      <vt:lpstr>'1571'!_1A.___2023_24_FEFP_State_and_Local_Funding</vt:lpstr>
      <vt:lpstr>'2521'!_1A.___2023_24_FEFP_State_and_Local_Funding</vt:lpstr>
      <vt:lpstr>'2531'!_1A.___2023_24_FEFP_State_and_Local_Funding</vt:lpstr>
      <vt:lpstr>'2791'!_1A.___2023_24_FEFP_State_and_Local_Funding</vt:lpstr>
      <vt:lpstr>'2801'!_1A.___2023_24_FEFP_State_and_Local_Funding</vt:lpstr>
      <vt:lpstr>'2911'!_1A.___2023_24_FEFP_State_and_Local_Funding</vt:lpstr>
      <vt:lpstr>'2941'!_1A.___2023_24_FEFP_State_and_Local_Funding</vt:lpstr>
      <vt:lpstr>'3083'!_1A.___2023_24_FEFP_State_and_Local_Funding</vt:lpstr>
      <vt:lpstr>'3345'!_1A.___2023_24_FEFP_State_and_Local_Funding</vt:lpstr>
      <vt:lpstr>'3362'!_1A.___2023_24_FEFP_State_and_Local_Funding</vt:lpstr>
      <vt:lpstr>'3381'!_1A.___2023_24_FEFP_State_and_Local_Funding</vt:lpstr>
      <vt:lpstr>'3382'!_1A.___2023_24_FEFP_State_and_Local_Funding</vt:lpstr>
      <vt:lpstr>'3391'!_1A.___2023_24_FEFP_State_and_Local_Funding</vt:lpstr>
      <vt:lpstr>'3394'!_1A.___2023_24_FEFP_State_and_Local_Funding</vt:lpstr>
      <vt:lpstr>'3395'!_1A.___2023_24_FEFP_State_and_Local_Funding</vt:lpstr>
      <vt:lpstr>'3396'!_1A.___2023_24_FEFP_State_and_Local_Funding</vt:lpstr>
      <vt:lpstr>'3398'!_1A.___2023_24_FEFP_State_and_Local_Funding</vt:lpstr>
      <vt:lpstr>'3400'!_1A.___2023_24_FEFP_State_and_Local_Funding</vt:lpstr>
      <vt:lpstr>'3401'!_1A.___2023_24_FEFP_State_and_Local_Funding</vt:lpstr>
      <vt:lpstr>'3413'!_1A.___2023_24_FEFP_State_and_Local_Funding</vt:lpstr>
      <vt:lpstr>'3421'!_1A.___2023_24_FEFP_State_and_Local_Funding</vt:lpstr>
      <vt:lpstr>'3431'!_1A.___2023_24_FEFP_State_and_Local_Funding</vt:lpstr>
      <vt:lpstr>'3441'!_1A.___2023_24_FEFP_State_and_Local_Funding</vt:lpstr>
      <vt:lpstr>'3924'!_1A.___2023_24_FEFP_State_and_Local_Funding</vt:lpstr>
      <vt:lpstr>'3941'!_1A.___2023_24_FEFP_State_and_Local_Funding</vt:lpstr>
      <vt:lpstr>'3961'!_1A.___2023_24_FEFP_State_and_Local_Funding</vt:lpstr>
      <vt:lpstr>'3971'!_1A.___2023_24_FEFP_State_and_Local_Funding</vt:lpstr>
      <vt:lpstr>'4001'!_1A.___2023_24_FEFP_State_and_Local_Funding</vt:lpstr>
      <vt:lpstr>'4002'!_1A.___2023_24_FEFP_State_and_Local_Funding</vt:lpstr>
      <vt:lpstr>'4012'!_1A.___2023_24_FEFP_State_and_Local_Funding</vt:lpstr>
      <vt:lpstr>'4013'!_1A.___2023_24_FEFP_State_and_Local_Funding</vt:lpstr>
      <vt:lpstr>'4020'!_1A.___2023_24_FEFP_State_and_Local_Funding</vt:lpstr>
      <vt:lpstr>'4030'!_1A.___2023_24_FEFP_State_and_Local_Funding</vt:lpstr>
      <vt:lpstr>'4031'!_1A.___2023_24_FEFP_State_and_Local_Funding</vt:lpstr>
      <vt:lpstr>'4041'!_1A.___2023_24_FEFP_State_and_Local_Funding</vt:lpstr>
      <vt:lpstr>'4050'!_1A.___2023_24_FEFP_State_and_Local_Funding</vt:lpstr>
      <vt:lpstr>'4051'!_1A.___2023_24_FEFP_State_and_Local_Funding</vt:lpstr>
      <vt:lpstr>'4061'!_1A.___2023_24_FEFP_State_and_Local_Funding</vt:lpstr>
      <vt:lpstr>'4080'!_1A.___2023_24_FEFP_State_and_Local_Funding</vt:lpstr>
      <vt:lpstr>'4081'!_1A.___2023_24_FEFP_State_and_Local_Funding</vt:lpstr>
      <vt:lpstr>'4090'!_1A.___2023_24_FEFP_State_and_Local_Funding</vt:lpstr>
      <vt:lpstr>'4091'!_1A.___2023_24_FEFP_State_and_Local_Funding</vt:lpstr>
      <vt:lpstr>'4100'!_1A.___2023_24_FEFP_State_and_Local_Funding</vt:lpstr>
      <vt:lpstr>'4102'!_1A.___2023_24_FEFP_State_and_Local_Funding</vt:lpstr>
      <vt:lpstr>'4103'!_1A.___2023_24_FEFP_State_and_Local_Funding</vt:lpstr>
      <vt:lpstr>'4111'!_1A.___2023_24_FEFP_State_and_Local_Funding</vt:lpstr>
      <vt:lpstr>'4131'!_1A.___2023_24_FEFP_State_and_Local_Funding</vt:lpstr>
      <vt:lpstr>'4141'!_1A.___2023_24_FEFP_State_and_Local_Funding</vt:lpstr>
      <vt:lpstr>'0100'!_2</vt:lpstr>
      <vt:lpstr>'0571'!_2</vt:lpstr>
      <vt:lpstr>'1461'!_2</vt:lpstr>
      <vt:lpstr>'1571'!_2</vt:lpstr>
      <vt:lpstr>'2521'!_2</vt:lpstr>
      <vt:lpstr>'2531'!_2</vt:lpstr>
      <vt:lpstr>'2791'!_2</vt:lpstr>
      <vt:lpstr>'2801'!_2</vt:lpstr>
      <vt:lpstr>'2911'!_2</vt:lpstr>
      <vt:lpstr>'2941'!_2</vt:lpstr>
      <vt:lpstr>'3083'!_2</vt:lpstr>
      <vt:lpstr>'3345'!_2</vt:lpstr>
      <vt:lpstr>'3362'!_2</vt:lpstr>
      <vt:lpstr>'3381'!_2</vt:lpstr>
      <vt:lpstr>'3382'!_2</vt:lpstr>
      <vt:lpstr>'3391'!_2</vt:lpstr>
      <vt:lpstr>'3394'!_2</vt:lpstr>
      <vt:lpstr>'3395'!_2</vt:lpstr>
      <vt:lpstr>'3396'!_2</vt:lpstr>
      <vt:lpstr>'3398'!_2</vt:lpstr>
      <vt:lpstr>'3400'!_2</vt:lpstr>
      <vt:lpstr>'3401'!_2</vt:lpstr>
      <vt:lpstr>'3413'!_2</vt:lpstr>
      <vt:lpstr>'3421'!_2</vt:lpstr>
      <vt:lpstr>'3431'!_2</vt:lpstr>
      <vt:lpstr>'3441'!_2</vt:lpstr>
      <vt:lpstr>'3924'!_2</vt:lpstr>
      <vt:lpstr>'3941'!_2</vt:lpstr>
      <vt:lpstr>'3961'!_2</vt:lpstr>
      <vt:lpstr>'3971'!_2</vt:lpstr>
      <vt:lpstr>'4001'!_2</vt:lpstr>
      <vt:lpstr>'4002'!_2</vt:lpstr>
      <vt:lpstr>'4012'!_2</vt:lpstr>
      <vt:lpstr>'4013'!_2</vt:lpstr>
      <vt:lpstr>'4020'!_2</vt:lpstr>
      <vt:lpstr>'4030'!_2</vt:lpstr>
      <vt:lpstr>'4031'!_2</vt:lpstr>
      <vt:lpstr>'4041'!_2</vt:lpstr>
      <vt:lpstr>'4050'!_2</vt:lpstr>
      <vt:lpstr>'4051'!_2</vt:lpstr>
      <vt:lpstr>'4061'!_2</vt:lpstr>
      <vt:lpstr>'4080'!_2</vt:lpstr>
      <vt:lpstr>'4081'!_2</vt:lpstr>
      <vt:lpstr>'4090'!_2</vt:lpstr>
      <vt:lpstr>'4091'!_2</vt:lpstr>
      <vt:lpstr>'4100'!_2</vt:lpstr>
      <vt:lpstr>'4102'!_2</vt:lpstr>
      <vt:lpstr>'4103'!_2</vt:lpstr>
      <vt:lpstr>'4111'!_2</vt:lpstr>
      <vt:lpstr>'4131'!_2</vt:lpstr>
      <vt:lpstr>'4141'!_2</vt:lpstr>
      <vt:lpstr>_2</vt:lpstr>
      <vt:lpstr>'0100'!_2010_11_Base_Funding_WFTE_x_BSA_x_DCD</vt:lpstr>
      <vt:lpstr>'0571'!_2010_11_Base_Funding_WFTE_x_BSA_x_DCD</vt:lpstr>
      <vt:lpstr>'1461'!_2010_11_Base_Funding_WFTE_x_BSA_x_DCD</vt:lpstr>
      <vt:lpstr>'1571'!_2010_11_Base_Funding_WFTE_x_BSA_x_DCD</vt:lpstr>
      <vt:lpstr>'2521'!_2010_11_Base_Funding_WFTE_x_BSA_x_DCD</vt:lpstr>
      <vt:lpstr>'2531'!_2010_11_Base_Funding_WFTE_x_BSA_x_DCD</vt:lpstr>
      <vt:lpstr>'2791'!_2010_11_Base_Funding_WFTE_x_BSA_x_DCD</vt:lpstr>
      <vt:lpstr>'2801'!_2010_11_Base_Funding_WFTE_x_BSA_x_DCD</vt:lpstr>
      <vt:lpstr>'2911'!_2010_11_Base_Funding_WFTE_x_BSA_x_DCD</vt:lpstr>
      <vt:lpstr>'2941'!_2010_11_Base_Funding_WFTE_x_BSA_x_DCD</vt:lpstr>
      <vt:lpstr>'3083'!_2010_11_Base_Funding_WFTE_x_BSA_x_DCD</vt:lpstr>
      <vt:lpstr>'3345'!_2010_11_Base_Funding_WFTE_x_BSA_x_DCD</vt:lpstr>
      <vt:lpstr>'3362'!_2010_11_Base_Funding_WFTE_x_BSA_x_DCD</vt:lpstr>
      <vt:lpstr>'3381'!_2010_11_Base_Funding_WFTE_x_BSA_x_DCD</vt:lpstr>
      <vt:lpstr>'3382'!_2010_11_Base_Funding_WFTE_x_BSA_x_DCD</vt:lpstr>
      <vt:lpstr>'3391'!_2010_11_Base_Funding_WFTE_x_BSA_x_DCD</vt:lpstr>
      <vt:lpstr>'3394'!_2010_11_Base_Funding_WFTE_x_BSA_x_DCD</vt:lpstr>
      <vt:lpstr>'3395'!_2010_11_Base_Funding_WFTE_x_BSA_x_DCD</vt:lpstr>
      <vt:lpstr>'3396'!_2010_11_Base_Funding_WFTE_x_BSA_x_DCD</vt:lpstr>
      <vt:lpstr>'3398'!_2010_11_Base_Funding_WFTE_x_BSA_x_DCD</vt:lpstr>
      <vt:lpstr>'3400'!_2010_11_Base_Funding_WFTE_x_BSA_x_DCD</vt:lpstr>
      <vt:lpstr>'3401'!_2010_11_Base_Funding_WFTE_x_BSA_x_DCD</vt:lpstr>
      <vt:lpstr>'3413'!_2010_11_Base_Funding_WFTE_x_BSA_x_DCD</vt:lpstr>
      <vt:lpstr>'3421'!_2010_11_Base_Funding_WFTE_x_BSA_x_DCD</vt:lpstr>
      <vt:lpstr>'3431'!_2010_11_Base_Funding_WFTE_x_BSA_x_DCD</vt:lpstr>
      <vt:lpstr>'3441'!_2010_11_Base_Funding_WFTE_x_BSA_x_DCD</vt:lpstr>
      <vt:lpstr>'3924'!_2010_11_Base_Funding_WFTE_x_BSA_x_DCD</vt:lpstr>
      <vt:lpstr>'3941'!_2010_11_Base_Funding_WFTE_x_BSA_x_DCD</vt:lpstr>
      <vt:lpstr>'3961'!_2010_11_Base_Funding_WFTE_x_BSA_x_DCD</vt:lpstr>
      <vt:lpstr>'3971'!_2010_11_Base_Funding_WFTE_x_BSA_x_DCD</vt:lpstr>
      <vt:lpstr>'4001'!_2010_11_Base_Funding_WFTE_x_BSA_x_DCD</vt:lpstr>
      <vt:lpstr>'4002'!_2010_11_Base_Funding_WFTE_x_BSA_x_DCD</vt:lpstr>
      <vt:lpstr>'4012'!_2010_11_Base_Funding_WFTE_x_BSA_x_DCD</vt:lpstr>
      <vt:lpstr>'4013'!_2010_11_Base_Funding_WFTE_x_BSA_x_DCD</vt:lpstr>
      <vt:lpstr>'4020'!_2010_11_Base_Funding_WFTE_x_BSA_x_DCD</vt:lpstr>
      <vt:lpstr>'4030'!_2010_11_Base_Funding_WFTE_x_BSA_x_DCD</vt:lpstr>
      <vt:lpstr>'4031'!_2010_11_Base_Funding_WFTE_x_BSA_x_DCD</vt:lpstr>
      <vt:lpstr>'4041'!_2010_11_Base_Funding_WFTE_x_BSA_x_DCD</vt:lpstr>
      <vt:lpstr>'4050'!_2010_11_Base_Funding_WFTE_x_BSA_x_DCD</vt:lpstr>
      <vt:lpstr>'4051'!_2010_11_Base_Funding_WFTE_x_BSA_x_DCD</vt:lpstr>
      <vt:lpstr>'4061'!_2010_11_Base_Funding_WFTE_x_BSA_x_DCD</vt:lpstr>
      <vt:lpstr>'4080'!_2010_11_Base_Funding_WFTE_x_BSA_x_DCD</vt:lpstr>
      <vt:lpstr>'4081'!_2010_11_Base_Funding_WFTE_x_BSA_x_DCD</vt:lpstr>
      <vt:lpstr>'4090'!_2010_11_Base_Funding_WFTE_x_BSA_x_DCD</vt:lpstr>
      <vt:lpstr>'4091'!_2010_11_Base_Funding_WFTE_x_BSA_x_DCD</vt:lpstr>
      <vt:lpstr>'4100'!_2010_11_Base_Funding_WFTE_x_BSA_x_DCD</vt:lpstr>
      <vt:lpstr>'4102'!_2010_11_Base_Funding_WFTE_x_BSA_x_DCD</vt:lpstr>
      <vt:lpstr>'4103'!_2010_11_Base_Funding_WFTE_x_BSA_x_DCD</vt:lpstr>
      <vt:lpstr>'4111'!_2010_11_Base_Funding_WFTE_x_BSA_x_DCD</vt:lpstr>
      <vt:lpstr>'4131'!_2010_11_Base_Funding_WFTE_x_BSA_x_DCD</vt:lpstr>
      <vt:lpstr>'4141'!_2010_11_Base_Funding_WFTE_x_BSA_x_DCD</vt:lpstr>
      <vt:lpstr>_2010_11_Base_Funding_WFTE_x_BSA_x_DCD</vt:lpstr>
      <vt:lpstr>'0100'!_254_ESE_Level_4__Grade_Level_4_8</vt:lpstr>
      <vt:lpstr>'0571'!_254_ESE_Level_4__Grade_Level_4_8</vt:lpstr>
      <vt:lpstr>'1461'!_254_ESE_Level_4__Grade_Level_4_8</vt:lpstr>
      <vt:lpstr>'1571'!_254_ESE_Level_4__Grade_Level_4_8</vt:lpstr>
      <vt:lpstr>'2521'!_254_ESE_Level_4__Grade_Level_4_8</vt:lpstr>
      <vt:lpstr>'2531'!_254_ESE_Level_4__Grade_Level_4_8</vt:lpstr>
      <vt:lpstr>'2791'!_254_ESE_Level_4__Grade_Level_4_8</vt:lpstr>
      <vt:lpstr>'2801'!_254_ESE_Level_4__Grade_Level_4_8</vt:lpstr>
      <vt:lpstr>'2911'!_254_ESE_Level_4__Grade_Level_4_8</vt:lpstr>
      <vt:lpstr>'2941'!_254_ESE_Level_4__Grade_Level_4_8</vt:lpstr>
      <vt:lpstr>'3083'!_254_ESE_Level_4__Grade_Level_4_8</vt:lpstr>
      <vt:lpstr>'3345'!_254_ESE_Level_4__Grade_Level_4_8</vt:lpstr>
      <vt:lpstr>'3362'!_254_ESE_Level_4__Grade_Level_4_8</vt:lpstr>
      <vt:lpstr>'3381'!_254_ESE_Level_4__Grade_Level_4_8</vt:lpstr>
      <vt:lpstr>'3382'!_254_ESE_Level_4__Grade_Level_4_8</vt:lpstr>
      <vt:lpstr>'3391'!_254_ESE_Level_4__Grade_Level_4_8</vt:lpstr>
      <vt:lpstr>'3394'!_254_ESE_Level_4__Grade_Level_4_8</vt:lpstr>
      <vt:lpstr>'3395'!_254_ESE_Level_4__Grade_Level_4_8</vt:lpstr>
      <vt:lpstr>'3396'!_254_ESE_Level_4__Grade_Level_4_8</vt:lpstr>
      <vt:lpstr>'3398'!_254_ESE_Level_4__Grade_Level_4_8</vt:lpstr>
      <vt:lpstr>'3400'!_254_ESE_Level_4__Grade_Level_4_8</vt:lpstr>
      <vt:lpstr>'3401'!_254_ESE_Level_4__Grade_Level_4_8</vt:lpstr>
      <vt:lpstr>'3413'!_254_ESE_Level_4__Grade_Level_4_8</vt:lpstr>
      <vt:lpstr>'3421'!_254_ESE_Level_4__Grade_Level_4_8</vt:lpstr>
      <vt:lpstr>'3431'!_254_ESE_Level_4__Grade_Level_4_8</vt:lpstr>
      <vt:lpstr>'3441'!_254_ESE_Level_4__Grade_Level_4_8</vt:lpstr>
      <vt:lpstr>'3924'!_254_ESE_Level_4__Grade_Level_4_8</vt:lpstr>
      <vt:lpstr>'3941'!_254_ESE_Level_4__Grade_Level_4_8</vt:lpstr>
      <vt:lpstr>'3961'!_254_ESE_Level_4__Grade_Level_4_8</vt:lpstr>
      <vt:lpstr>'3971'!_254_ESE_Level_4__Grade_Level_4_8</vt:lpstr>
      <vt:lpstr>'4001'!_254_ESE_Level_4__Grade_Level_4_8</vt:lpstr>
      <vt:lpstr>'4002'!_254_ESE_Level_4__Grade_Level_4_8</vt:lpstr>
      <vt:lpstr>'4012'!_254_ESE_Level_4__Grade_Level_4_8</vt:lpstr>
      <vt:lpstr>'4013'!_254_ESE_Level_4__Grade_Level_4_8</vt:lpstr>
      <vt:lpstr>'4020'!_254_ESE_Level_4__Grade_Level_4_8</vt:lpstr>
      <vt:lpstr>'4030'!_254_ESE_Level_4__Grade_Level_4_8</vt:lpstr>
      <vt:lpstr>'4031'!_254_ESE_Level_4__Grade_Level_4_8</vt:lpstr>
      <vt:lpstr>'4041'!_254_ESE_Level_4__Grade_Level_4_8</vt:lpstr>
      <vt:lpstr>'4050'!_254_ESE_Level_4__Grade_Level_4_8</vt:lpstr>
      <vt:lpstr>'4051'!_254_ESE_Level_4__Grade_Level_4_8</vt:lpstr>
      <vt:lpstr>'4061'!_254_ESE_Level_4__Grade_Level_4_8</vt:lpstr>
      <vt:lpstr>'4080'!_254_ESE_Level_4__Grade_Level_4_8</vt:lpstr>
      <vt:lpstr>'4081'!_254_ESE_Level_4__Grade_Level_4_8</vt:lpstr>
      <vt:lpstr>'4090'!_254_ESE_Level_4__Grade_Level_4_8</vt:lpstr>
      <vt:lpstr>'4091'!_254_ESE_Level_4__Grade_Level_4_8</vt:lpstr>
      <vt:lpstr>'4100'!_254_ESE_Level_4__Grade_Level_4_8</vt:lpstr>
      <vt:lpstr>'4102'!_254_ESE_Level_4__Grade_Level_4_8</vt:lpstr>
      <vt:lpstr>'4103'!_254_ESE_Level_4__Grade_Level_4_8</vt:lpstr>
      <vt:lpstr>'4111'!_254_ESE_Level_4__Grade_Level_4_8</vt:lpstr>
      <vt:lpstr>'4131'!_254_ESE_Level_4__Grade_Level_4_8</vt:lpstr>
      <vt:lpstr>'4141'!_254_ESE_Level_4__Grade_Level_4_8</vt:lpstr>
      <vt:lpstr>_254_ESE_Level_4__Grade_Level_4_8</vt:lpstr>
      <vt:lpstr>'0100'!_254_ESE_Level_4__Grade_Level_9_12</vt:lpstr>
      <vt:lpstr>'0571'!_254_ESE_Level_4__Grade_Level_9_12</vt:lpstr>
      <vt:lpstr>'1461'!_254_ESE_Level_4__Grade_Level_9_12</vt:lpstr>
      <vt:lpstr>'1571'!_254_ESE_Level_4__Grade_Level_9_12</vt:lpstr>
      <vt:lpstr>'2521'!_254_ESE_Level_4__Grade_Level_9_12</vt:lpstr>
      <vt:lpstr>'2531'!_254_ESE_Level_4__Grade_Level_9_12</vt:lpstr>
      <vt:lpstr>'2791'!_254_ESE_Level_4__Grade_Level_9_12</vt:lpstr>
      <vt:lpstr>'2801'!_254_ESE_Level_4__Grade_Level_9_12</vt:lpstr>
      <vt:lpstr>'2911'!_254_ESE_Level_4__Grade_Level_9_12</vt:lpstr>
      <vt:lpstr>'2941'!_254_ESE_Level_4__Grade_Level_9_12</vt:lpstr>
      <vt:lpstr>'3083'!_254_ESE_Level_4__Grade_Level_9_12</vt:lpstr>
      <vt:lpstr>'3345'!_254_ESE_Level_4__Grade_Level_9_12</vt:lpstr>
      <vt:lpstr>'3362'!_254_ESE_Level_4__Grade_Level_9_12</vt:lpstr>
      <vt:lpstr>'3381'!_254_ESE_Level_4__Grade_Level_9_12</vt:lpstr>
      <vt:lpstr>'3382'!_254_ESE_Level_4__Grade_Level_9_12</vt:lpstr>
      <vt:lpstr>'3391'!_254_ESE_Level_4__Grade_Level_9_12</vt:lpstr>
      <vt:lpstr>'3394'!_254_ESE_Level_4__Grade_Level_9_12</vt:lpstr>
      <vt:lpstr>'3395'!_254_ESE_Level_4__Grade_Level_9_12</vt:lpstr>
      <vt:lpstr>'3396'!_254_ESE_Level_4__Grade_Level_9_12</vt:lpstr>
      <vt:lpstr>'3398'!_254_ESE_Level_4__Grade_Level_9_12</vt:lpstr>
      <vt:lpstr>'3400'!_254_ESE_Level_4__Grade_Level_9_12</vt:lpstr>
      <vt:lpstr>'3401'!_254_ESE_Level_4__Grade_Level_9_12</vt:lpstr>
      <vt:lpstr>'3413'!_254_ESE_Level_4__Grade_Level_9_12</vt:lpstr>
      <vt:lpstr>'3421'!_254_ESE_Level_4__Grade_Level_9_12</vt:lpstr>
      <vt:lpstr>'3431'!_254_ESE_Level_4__Grade_Level_9_12</vt:lpstr>
      <vt:lpstr>'3441'!_254_ESE_Level_4__Grade_Level_9_12</vt:lpstr>
      <vt:lpstr>'3924'!_254_ESE_Level_4__Grade_Level_9_12</vt:lpstr>
      <vt:lpstr>'3941'!_254_ESE_Level_4__Grade_Level_9_12</vt:lpstr>
      <vt:lpstr>'3961'!_254_ESE_Level_4__Grade_Level_9_12</vt:lpstr>
      <vt:lpstr>'3971'!_254_ESE_Level_4__Grade_Level_9_12</vt:lpstr>
      <vt:lpstr>'4001'!_254_ESE_Level_4__Grade_Level_9_12</vt:lpstr>
      <vt:lpstr>'4002'!_254_ESE_Level_4__Grade_Level_9_12</vt:lpstr>
      <vt:lpstr>'4012'!_254_ESE_Level_4__Grade_Level_9_12</vt:lpstr>
      <vt:lpstr>'4013'!_254_ESE_Level_4__Grade_Level_9_12</vt:lpstr>
      <vt:lpstr>'4020'!_254_ESE_Level_4__Grade_Level_9_12</vt:lpstr>
      <vt:lpstr>'4030'!_254_ESE_Level_4__Grade_Level_9_12</vt:lpstr>
      <vt:lpstr>'4031'!_254_ESE_Level_4__Grade_Level_9_12</vt:lpstr>
      <vt:lpstr>'4041'!_254_ESE_Level_4__Grade_Level_9_12</vt:lpstr>
      <vt:lpstr>'4050'!_254_ESE_Level_4__Grade_Level_9_12</vt:lpstr>
      <vt:lpstr>'4051'!_254_ESE_Level_4__Grade_Level_9_12</vt:lpstr>
      <vt:lpstr>'4061'!_254_ESE_Level_4__Grade_Level_9_12</vt:lpstr>
      <vt:lpstr>'4080'!_254_ESE_Level_4__Grade_Level_9_12</vt:lpstr>
      <vt:lpstr>'4081'!_254_ESE_Level_4__Grade_Level_9_12</vt:lpstr>
      <vt:lpstr>'4090'!_254_ESE_Level_4__Grade_Level_9_12</vt:lpstr>
      <vt:lpstr>'4091'!_254_ESE_Level_4__Grade_Level_9_12</vt:lpstr>
      <vt:lpstr>'4100'!_254_ESE_Level_4__Grade_Level_9_12</vt:lpstr>
      <vt:lpstr>'4102'!_254_ESE_Level_4__Grade_Level_9_12</vt:lpstr>
      <vt:lpstr>'4103'!_254_ESE_Level_4__Grade_Level_9_12</vt:lpstr>
      <vt:lpstr>'4111'!_254_ESE_Level_4__Grade_Level_9_12</vt:lpstr>
      <vt:lpstr>'4131'!_254_ESE_Level_4__Grade_Level_9_12</vt:lpstr>
      <vt:lpstr>'4141'!_254_ESE_Level_4__Grade_Level_9_12</vt:lpstr>
      <vt:lpstr>_254_ESE_Level_4__Grade_Level_9_12</vt:lpstr>
      <vt:lpstr>'0100'!_254_ESE_Level_4__Grade_Level_PK_3</vt:lpstr>
      <vt:lpstr>'0571'!_254_ESE_Level_4__Grade_Level_PK_3</vt:lpstr>
      <vt:lpstr>'1461'!_254_ESE_Level_4__Grade_Level_PK_3</vt:lpstr>
      <vt:lpstr>'1571'!_254_ESE_Level_4__Grade_Level_PK_3</vt:lpstr>
      <vt:lpstr>'2521'!_254_ESE_Level_4__Grade_Level_PK_3</vt:lpstr>
      <vt:lpstr>'2531'!_254_ESE_Level_4__Grade_Level_PK_3</vt:lpstr>
      <vt:lpstr>'2791'!_254_ESE_Level_4__Grade_Level_PK_3</vt:lpstr>
      <vt:lpstr>'2801'!_254_ESE_Level_4__Grade_Level_PK_3</vt:lpstr>
      <vt:lpstr>'2911'!_254_ESE_Level_4__Grade_Level_PK_3</vt:lpstr>
      <vt:lpstr>'2941'!_254_ESE_Level_4__Grade_Level_PK_3</vt:lpstr>
      <vt:lpstr>'3083'!_254_ESE_Level_4__Grade_Level_PK_3</vt:lpstr>
      <vt:lpstr>'3345'!_254_ESE_Level_4__Grade_Level_PK_3</vt:lpstr>
      <vt:lpstr>'3362'!_254_ESE_Level_4__Grade_Level_PK_3</vt:lpstr>
      <vt:lpstr>'3381'!_254_ESE_Level_4__Grade_Level_PK_3</vt:lpstr>
      <vt:lpstr>'3382'!_254_ESE_Level_4__Grade_Level_PK_3</vt:lpstr>
      <vt:lpstr>'3391'!_254_ESE_Level_4__Grade_Level_PK_3</vt:lpstr>
      <vt:lpstr>'3394'!_254_ESE_Level_4__Grade_Level_PK_3</vt:lpstr>
      <vt:lpstr>'3395'!_254_ESE_Level_4__Grade_Level_PK_3</vt:lpstr>
      <vt:lpstr>'3396'!_254_ESE_Level_4__Grade_Level_PK_3</vt:lpstr>
      <vt:lpstr>'3398'!_254_ESE_Level_4__Grade_Level_PK_3</vt:lpstr>
      <vt:lpstr>'3400'!_254_ESE_Level_4__Grade_Level_PK_3</vt:lpstr>
      <vt:lpstr>'3401'!_254_ESE_Level_4__Grade_Level_PK_3</vt:lpstr>
      <vt:lpstr>'3413'!_254_ESE_Level_4__Grade_Level_PK_3</vt:lpstr>
      <vt:lpstr>'3421'!_254_ESE_Level_4__Grade_Level_PK_3</vt:lpstr>
      <vt:lpstr>'3431'!_254_ESE_Level_4__Grade_Level_PK_3</vt:lpstr>
      <vt:lpstr>'3441'!_254_ESE_Level_4__Grade_Level_PK_3</vt:lpstr>
      <vt:lpstr>'3924'!_254_ESE_Level_4__Grade_Level_PK_3</vt:lpstr>
      <vt:lpstr>'3941'!_254_ESE_Level_4__Grade_Level_PK_3</vt:lpstr>
      <vt:lpstr>'3961'!_254_ESE_Level_4__Grade_Level_PK_3</vt:lpstr>
      <vt:lpstr>'3971'!_254_ESE_Level_4__Grade_Level_PK_3</vt:lpstr>
      <vt:lpstr>'4001'!_254_ESE_Level_4__Grade_Level_PK_3</vt:lpstr>
      <vt:lpstr>'4002'!_254_ESE_Level_4__Grade_Level_PK_3</vt:lpstr>
      <vt:lpstr>'4012'!_254_ESE_Level_4__Grade_Level_PK_3</vt:lpstr>
      <vt:lpstr>'4013'!_254_ESE_Level_4__Grade_Level_PK_3</vt:lpstr>
      <vt:lpstr>'4020'!_254_ESE_Level_4__Grade_Level_PK_3</vt:lpstr>
      <vt:lpstr>'4030'!_254_ESE_Level_4__Grade_Level_PK_3</vt:lpstr>
      <vt:lpstr>'4031'!_254_ESE_Level_4__Grade_Level_PK_3</vt:lpstr>
      <vt:lpstr>'4041'!_254_ESE_Level_4__Grade_Level_PK_3</vt:lpstr>
      <vt:lpstr>'4050'!_254_ESE_Level_4__Grade_Level_PK_3</vt:lpstr>
      <vt:lpstr>'4051'!_254_ESE_Level_4__Grade_Level_PK_3</vt:lpstr>
      <vt:lpstr>'4061'!_254_ESE_Level_4__Grade_Level_PK_3</vt:lpstr>
      <vt:lpstr>'4080'!_254_ESE_Level_4__Grade_Level_PK_3</vt:lpstr>
      <vt:lpstr>'4081'!_254_ESE_Level_4__Grade_Level_PK_3</vt:lpstr>
      <vt:lpstr>'4090'!_254_ESE_Level_4__Grade_Level_PK_3</vt:lpstr>
      <vt:lpstr>'4091'!_254_ESE_Level_4__Grade_Level_PK_3</vt:lpstr>
      <vt:lpstr>'4100'!_254_ESE_Level_4__Grade_Level_PK_3</vt:lpstr>
      <vt:lpstr>'4102'!_254_ESE_Level_4__Grade_Level_PK_3</vt:lpstr>
      <vt:lpstr>'4103'!_254_ESE_Level_4__Grade_Level_PK_3</vt:lpstr>
      <vt:lpstr>'4111'!_254_ESE_Level_4__Grade_Level_PK_3</vt:lpstr>
      <vt:lpstr>'4131'!_254_ESE_Level_4__Grade_Level_PK_3</vt:lpstr>
      <vt:lpstr>'4141'!_254_ESE_Level_4__Grade_Level_PK_3</vt:lpstr>
      <vt:lpstr>_254_ESE_Level_4__Grade_Level_PK_3</vt:lpstr>
      <vt:lpstr>'0100'!_255_ESE_Level_5__Grade_Level_4_8</vt:lpstr>
      <vt:lpstr>'0571'!_255_ESE_Level_5__Grade_Level_4_8</vt:lpstr>
      <vt:lpstr>'1461'!_255_ESE_Level_5__Grade_Level_4_8</vt:lpstr>
      <vt:lpstr>'1571'!_255_ESE_Level_5__Grade_Level_4_8</vt:lpstr>
      <vt:lpstr>'2521'!_255_ESE_Level_5__Grade_Level_4_8</vt:lpstr>
      <vt:lpstr>'2531'!_255_ESE_Level_5__Grade_Level_4_8</vt:lpstr>
      <vt:lpstr>'2791'!_255_ESE_Level_5__Grade_Level_4_8</vt:lpstr>
      <vt:lpstr>'2801'!_255_ESE_Level_5__Grade_Level_4_8</vt:lpstr>
      <vt:lpstr>'2911'!_255_ESE_Level_5__Grade_Level_4_8</vt:lpstr>
      <vt:lpstr>'2941'!_255_ESE_Level_5__Grade_Level_4_8</vt:lpstr>
      <vt:lpstr>'3083'!_255_ESE_Level_5__Grade_Level_4_8</vt:lpstr>
      <vt:lpstr>'3345'!_255_ESE_Level_5__Grade_Level_4_8</vt:lpstr>
      <vt:lpstr>'3362'!_255_ESE_Level_5__Grade_Level_4_8</vt:lpstr>
      <vt:lpstr>'3381'!_255_ESE_Level_5__Grade_Level_4_8</vt:lpstr>
      <vt:lpstr>'3382'!_255_ESE_Level_5__Grade_Level_4_8</vt:lpstr>
      <vt:lpstr>'3391'!_255_ESE_Level_5__Grade_Level_4_8</vt:lpstr>
      <vt:lpstr>'3394'!_255_ESE_Level_5__Grade_Level_4_8</vt:lpstr>
      <vt:lpstr>'3395'!_255_ESE_Level_5__Grade_Level_4_8</vt:lpstr>
      <vt:lpstr>'3396'!_255_ESE_Level_5__Grade_Level_4_8</vt:lpstr>
      <vt:lpstr>'3398'!_255_ESE_Level_5__Grade_Level_4_8</vt:lpstr>
      <vt:lpstr>'3400'!_255_ESE_Level_5__Grade_Level_4_8</vt:lpstr>
      <vt:lpstr>'3401'!_255_ESE_Level_5__Grade_Level_4_8</vt:lpstr>
      <vt:lpstr>'3413'!_255_ESE_Level_5__Grade_Level_4_8</vt:lpstr>
      <vt:lpstr>'3421'!_255_ESE_Level_5__Grade_Level_4_8</vt:lpstr>
      <vt:lpstr>'3431'!_255_ESE_Level_5__Grade_Level_4_8</vt:lpstr>
      <vt:lpstr>'3441'!_255_ESE_Level_5__Grade_Level_4_8</vt:lpstr>
      <vt:lpstr>'3924'!_255_ESE_Level_5__Grade_Level_4_8</vt:lpstr>
      <vt:lpstr>'3941'!_255_ESE_Level_5__Grade_Level_4_8</vt:lpstr>
      <vt:lpstr>'3961'!_255_ESE_Level_5__Grade_Level_4_8</vt:lpstr>
      <vt:lpstr>'3971'!_255_ESE_Level_5__Grade_Level_4_8</vt:lpstr>
      <vt:lpstr>'4001'!_255_ESE_Level_5__Grade_Level_4_8</vt:lpstr>
      <vt:lpstr>'4002'!_255_ESE_Level_5__Grade_Level_4_8</vt:lpstr>
      <vt:lpstr>'4012'!_255_ESE_Level_5__Grade_Level_4_8</vt:lpstr>
      <vt:lpstr>'4013'!_255_ESE_Level_5__Grade_Level_4_8</vt:lpstr>
      <vt:lpstr>'4020'!_255_ESE_Level_5__Grade_Level_4_8</vt:lpstr>
      <vt:lpstr>'4030'!_255_ESE_Level_5__Grade_Level_4_8</vt:lpstr>
      <vt:lpstr>'4031'!_255_ESE_Level_5__Grade_Level_4_8</vt:lpstr>
      <vt:lpstr>'4041'!_255_ESE_Level_5__Grade_Level_4_8</vt:lpstr>
      <vt:lpstr>'4050'!_255_ESE_Level_5__Grade_Level_4_8</vt:lpstr>
      <vt:lpstr>'4051'!_255_ESE_Level_5__Grade_Level_4_8</vt:lpstr>
      <vt:lpstr>'4061'!_255_ESE_Level_5__Grade_Level_4_8</vt:lpstr>
      <vt:lpstr>'4080'!_255_ESE_Level_5__Grade_Level_4_8</vt:lpstr>
      <vt:lpstr>'4081'!_255_ESE_Level_5__Grade_Level_4_8</vt:lpstr>
      <vt:lpstr>'4090'!_255_ESE_Level_5__Grade_Level_4_8</vt:lpstr>
      <vt:lpstr>'4091'!_255_ESE_Level_5__Grade_Level_4_8</vt:lpstr>
      <vt:lpstr>'4100'!_255_ESE_Level_5__Grade_Level_4_8</vt:lpstr>
      <vt:lpstr>'4102'!_255_ESE_Level_5__Grade_Level_4_8</vt:lpstr>
      <vt:lpstr>'4103'!_255_ESE_Level_5__Grade_Level_4_8</vt:lpstr>
      <vt:lpstr>'4111'!_255_ESE_Level_5__Grade_Level_4_8</vt:lpstr>
      <vt:lpstr>'4131'!_255_ESE_Level_5__Grade_Level_4_8</vt:lpstr>
      <vt:lpstr>'4141'!_255_ESE_Level_5__Grade_Level_4_8</vt:lpstr>
      <vt:lpstr>_255_ESE_Level_5__Grade_Level_4_8</vt:lpstr>
      <vt:lpstr>'0100'!_255_ESE_Level_5__Grade_Level_9_12</vt:lpstr>
      <vt:lpstr>'0571'!_255_ESE_Level_5__Grade_Level_9_12</vt:lpstr>
      <vt:lpstr>'1461'!_255_ESE_Level_5__Grade_Level_9_12</vt:lpstr>
      <vt:lpstr>'1571'!_255_ESE_Level_5__Grade_Level_9_12</vt:lpstr>
      <vt:lpstr>'2521'!_255_ESE_Level_5__Grade_Level_9_12</vt:lpstr>
      <vt:lpstr>'2531'!_255_ESE_Level_5__Grade_Level_9_12</vt:lpstr>
      <vt:lpstr>'2791'!_255_ESE_Level_5__Grade_Level_9_12</vt:lpstr>
      <vt:lpstr>'2801'!_255_ESE_Level_5__Grade_Level_9_12</vt:lpstr>
      <vt:lpstr>'2911'!_255_ESE_Level_5__Grade_Level_9_12</vt:lpstr>
      <vt:lpstr>'2941'!_255_ESE_Level_5__Grade_Level_9_12</vt:lpstr>
      <vt:lpstr>'3083'!_255_ESE_Level_5__Grade_Level_9_12</vt:lpstr>
      <vt:lpstr>'3345'!_255_ESE_Level_5__Grade_Level_9_12</vt:lpstr>
      <vt:lpstr>'3362'!_255_ESE_Level_5__Grade_Level_9_12</vt:lpstr>
      <vt:lpstr>'3381'!_255_ESE_Level_5__Grade_Level_9_12</vt:lpstr>
      <vt:lpstr>'3382'!_255_ESE_Level_5__Grade_Level_9_12</vt:lpstr>
      <vt:lpstr>'3391'!_255_ESE_Level_5__Grade_Level_9_12</vt:lpstr>
      <vt:lpstr>'3394'!_255_ESE_Level_5__Grade_Level_9_12</vt:lpstr>
      <vt:lpstr>'3395'!_255_ESE_Level_5__Grade_Level_9_12</vt:lpstr>
      <vt:lpstr>'3396'!_255_ESE_Level_5__Grade_Level_9_12</vt:lpstr>
      <vt:lpstr>'3398'!_255_ESE_Level_5__Grade_Level_9_12</vt:lpstr>
      <vt:lpstr>'3400'!_255_ESE_Level_5__Grade_Level_9_12</vt:lpstr>
      <vt:lpstr>'3401'!_255_ESE_Level_5__Grade_Level_9_12</vt:lpstr>
      <vt:lpstr>'3413'!_255_ESE_Level_5__Grade_Level_9_12</vt:lpstr>
      <vt:lpstr>'3421'!_255_ESE_Level_5__Grade_Level_9_12</vt:lpstr>
      <vt:lpstr>'3431'!_255_ESE_Level_5__Grade_Level_9_12</vt:lpstr>
      <vt:lpstr>'3441'!_255_ESE_Level_5__Grade_Level_9_12</vt:lpstr>
      <vt:lpstr>'3924'!_255_ESE_Level_5__Grade_Level_9_12</vt:lpstr>
      <vt:lpstr>'3941'!_255_ESE_Level_5__Grade_Level_9_12</vt:lpstr>
      <vt:lpstr>'3961'!_255_ESE_Level_5__Grade_Level_9_12</vt:lpstr>
      <vt:lpstr>'3971'!_255_ESE_Level_5__Grade_Level_9_12</vt:lpstr>
      <vt:lpstr>'4001'!_255_ESE_Level_5__Grade_Level_9_12</vt:lpstr>
      <vt:lpstr>'4002'!_255_ESE_Level_5__Grade_Level_9_12</vt:lpstr>
      <vt:lpstr>'4012'!_255_ESE_Level_5__Grade_Level_9_12</vt:lpstr>
      <vt:lpstr>'4013'!_255_ESE_Level_5__Grade_Level_9_12</vt:lpstr>
      <vt:lpstr>'4020'!_255_ESE_Level_5__Grade_Level_9_12</vt:lpstr>
      <vt:lpstr>'4030'!_255_ESE_Level_5__Grade_Level_9_12</vt:lpstr>
      <vt:lpstr>'4031'!_255_ESE_Level_5__Grade_Level_9_12</vt:lpstr>
      <vt:lpstr>'4041'!_255_ESE_Level_5__Grade_Level_9_12</vt:lpstr>
      <vt:lpstr>'4050'!_255_ESE_Level_5__Grade_Level_9_12</vt:lpstr>
      <vt:lpstr>'4051'!_255_ESE_Level_5__Grade_Level_9_12</vt:lpstr>
      <vt:lpstr>'4061'!_255_ESE_Level_5__Grade_Level_9_12</vt:lpstr>
      <vt:lpstr>'4080'!_255_ESE_Level_5__Grade_Level_9_12</vt:lpstr>
      <vt:lpstr>'4081'!_255_ESE_Level_5__Grade_Level_9_12</vt:lpstr>
      <vt:lpstr>'4090'!_255_ESE_Level_5__Grade_Level_9_12</vt:lpstr>
      <vt:lpstr>'4091'!_255_ESE_Level_5__Grade_Level_9_12</vt:lpstr>
      <vt:lpstr>'4100'!_255_ESE_Level_5__Grade_Level_9_12</vt:lpstr>
      <vt:lpstr>'4102'!_255_ESE_Level_5__Grade_Level_9_12</vt:lpstr>
      <vt:lpstr>'4103'!_255_ESE_Level_5__Grade_Level_9_12</vt:lpstr>
      <vt:lpstr>'4111'!_255_ESE_Level_5__Grade_Level_9_12</vt:lpstr>
      <vt:lpstr>'4131'!_255_ESE_Level_5__Grade_Level_9_12</vt:lpstr>
      <vt:lpstr>'4141'!_255_ESE_Level_5__Grade_Level_9_12</vt:lpstr>
      <vt:lpstr>_255_ESE_Level_5__Grade_Level_9_12</vt:lpstr>
      <vt:lpstr>'0100'!_255_ESE_Level_5__Grade_Level_PK_3</vt:lpstr>
      <vt:lpstr>'0571'!_255_ESE_Level_5__Grade_Level_PK_3</vt:lpstr>
      <vt:lpstr>'1461'!_255_ESE_Level_5__Grade_Level_PK_3</vt:lpstr>
      <vt:lpstr>'1571'!_255_ESE_Level_5__Grade_Level_PK_3</vt:lpstr>
      <vt:lpstr>'2521'!_255_ESE_Level_5__Grade_Level_PK_3</vt:lpstr>
      <vt:lpstr>'2531'!_255_ESE_Level_5__Grade_Level_PK_3</vt:lpstr>
      <vt:lpstr>'2791'!_255_ESE_Level_5__Grade_Level_PK_3</vt:lpstr>
      <vt:lpstr>'2801'!_255_ESE_Level_5__Grade_Level_PK_3</vt:lpstr>
      <vt:lpstr>'2911'!_255_ESE_Level_5__Grade_Level_PK_3</vt:lpstr>
      <vt:lpstr>'2941'!_255_ESE_Level_5__Grade_Level_PK_3</vt:lpstr>
      <vt:lpstr>'3083'!_255_ESE_Level_5__Grade_Level_PK_3</vt:lpstr>
      <vt:lpstr>'3345'!_255_ESE_Level_5__Grade_Level_PK_3</vt:lpstr>
      <vt:lpstr>'3362'!_255_ESE_Level_5__Grade_Level_PK_3</vt:lpstr>
      <vt:lpstr>'3381'!_255_ESE_Level_5__Grade_Level_PK_3</vt:lpstr>
      <vt:lpstr>'3382'!_255_ESE_Level_5__Grade_Level_PK_3</vt:lpstr>
      <vt:lpstr>'3391'!_255_ESE_Level_5__Grade_Level_PK_3</vt:lpstr>
      <vt:lpstr>'3394'!_255_ESE_Level_5__Grade_Level_PK_3</vt:lpstr>
      <vt:lpstr>'3395'!_255_ESE_Level_5__Grade_Level_PK_3</vt:lpstr>
      <vt:lpstr>'3396'!_255_ESE_Level_5__Grade_Level_PK_3</vt:lpstr>
      <vt:lpstr>'3398'!_255_ESE_Level_5__Grade_Level_PK_3</vt:lpstr>
      <vt:lpstr>'3400'!_255_ESE_Level_5__Grade_Level_PK_3</vt:lpstr>
      <vt:lpstr>'3401'!_255_ESE_Level_5__Grade_Level_PK_3</vt:lpstr>
      <vt:lpstr>'3413'!_255_ESE_Level_5__Grade_Level_PK_3</vt:lpstr>
      <vt:lpstr>'3421'!_255_ESE_Level_5__Grade_Level_PK_3</vt:lpstr>
      <vt:lpstr>'3431'!_255_ESE_Level_5__Grade_Level_PK_3</vt:lpstr>
      <vt:lpstr>'3441'!_255_ESE_Level_5__Grade_Level_PK_3</vt:lpstr>
      <vt:lpstr>'3924'!_255_ESE_Level_5__Grade_Level_PK_3</vt:lpstr>
      <vt:lpstr>'3941'!_255_ESE_Level_5__Grade_Level_PK_3</vt:lpstr>
      <vt:lpstr>'3961'!_255_ESE_Level_5__Grade_Level_PK_3</vt:lpstr>
      <vt:lpstr>'3971'!_255_ESE_Level_5__Grade_Level_PK_3</vt:lpstr>
      <vt:lpstr>'4001'!_255_ESE_Level_5__Grade_Level_PK_3</vt:lpstr>
      <vt:lpstr>'4002'!_255_ESE_Level_5__Grade_Level_PK_3</vt:lpstr>
      <vt:lpstr>'4012'!_255_ESE_Level_5__Grade_Level_PK_3</vt:lpstr>
      <vt:lpstr>'4013'!_255_ESE_Level_5__Grade_Level_PK_3</vt:lpstr>
      <vt:lpstr>'4020'!_255_ESE_Level_5__Grade_Level_PK_3</vt:lpstr>
      <vt:lpstr>'4030'!_255_ESE_Level_5__Grade_Level_PK_3</vt:lpstr>
      <vt:lpstr>'4031'!_255_ESE_Level_5__Grade_Level_PK_3</vt:lpstr>
      <vt:lpstr>'4041'!_255_ESE_Level_5__Grade_Level_PK_3</vt:lpstr>
      <vt:lpstr>'4050'!_255_ESE_Level_5__Grade_Level_PK_3</vt:lpstr>
      <vt:lpstr>'4051'!_255_ESE_Level_5__Grade_Level_PK_3</vt:lpstr>
      <vt:lpstr>'4061'!_255_ESE_Level_5__Grade_Level_PK_3</vt:lpstr>
      <vt:lpstr>'4080'!_255_ESE_Level_5__Grade_Level_PK_3</vt:lpstr>
      <vt:lpstr>'4081'!_255_ESE_Level_5__Grade_Level_PK_3</vt:lpstr>
      <vt:lpstr>'4090'!_255_ESE_Level_5__Grade_Level_PK_3</vt:lpstr>
      <vt:lpstr>'4091'!_255_ESE_Level_5__Grade_Level_PK_3</vt:lpstr>
      <vt:lpstr>'4100'!_255_ESE_Level_5__Grade_Level_PK_3</vt:lpstr>
      <vt:lpstr>'4102'!_255_ESE_Level_5__Grade_Level_PK_3</vt:lpstr>
      <vt:lpstr>'4103'!_255_ESE_Level_5__Grade_Level_PK_3</vt:lpstr>
      <vt:lpstr>'4111'!_255_ESE_Level_5__Grade_Level_PK_3</vt:lpstr>
      <vt:lpstr>'4131'!_255_ESE_Level_5__Grade_Level_PK_3</vt:lpstr>
      <vt:lpstr>'4141'!_255_ESE_Level_5__Grade_Level_PK_3</vt:lpstr>
      <vt:lpstr>_255_ESE_Level_5__Grade_Level_PK_3</vt:lpstr>
      <vt:lpstr>'0100'!_300_Career_Education__Grades_9_12</vt:lpstr>
      <vt:lpstr>'0571'!_300_Career_Education__Grades_9_12</vt:lpstr>
      <vt:lpstr>'1461'!_300_Career_Education__Grades_9_12</vt:lpstr>
      <vt:lpstr>'1571'!_300_Career_Education__Grades_9_12</vt:lpstr>
      <vt:lpstr>'2521'!_300_Career_Education__Grades_9_12</vt:lpstr>
      <vt:lpstr>'2531'!_300_Career_Education__Grades_9_12</vt:lpstr>
      <vt:lpstr>'2791'!_300_Career_Education__Grades_9_12</vt:lpstr>
      <vt:lpstr>'2801'!_300_Career_Education__Grades_9_12</vt:lpstr>
      <vt:lpstr>'2911'!_300_Career_Education__Grades_9_12</vt:lpstr>
      <vt:lpstr>'2941'!_300_Career_Education__Grades_9_12</vt:lpstr>
      <vt:lpstr>'3083'!_300_Career_Education__Grades_9_12</vt:lpstr>
      <vt:lpstr>'3345'!_300_Career_Education__Grades_9_12</vt:lpstr>
      <vt:lpstr>'3362'!_300_Career_Education__Grades_9_12</vt:lpstr>
      <vt:lpstr>'3381'!_300_Career_Education__Grades_9_12</vt:lpstr>
      <vt:lpstr>'3382'!_300_Career_Education__Grades_9_12</vt:lpstr>
      <vt:lpstr>'3391'!_300_Career_Education__Grades_9_12</vt:lpstr>
      <vt:lpstr>'3394'!_300_Career_Education__Grades_9_12</vt:lpstr>
      <vt:lpstr>'3395'!_300_Career_Education__Grades_9_12</vt:lpstr>
      <vt:lpstr>'3396'!_300_Career_Education__Grades_9_12</vt:lpstr>
      <vt:lpstr>'3398'!_300_Career_Education__Grades_9_12</vt:lpstr>
      <vt:lpstr>'3400'!_300_Career_Education__Grades_9_12</vt:lpstr>
      <vt:lpstr>'3401'!_300_Career_Education__Grades_9_12</vt:lpstr>
      <vt:lpstr>'3413'!_300_Career_Education__Grades_9_12</vt:lpstr>
      <vt:lpstr>'3421'!_300_Career_Education__Grades_9_12</vt:lpstr>
      <vt:lpstr>'3431'!_300_Career_Education__Grades_9_12</vt:lpstr>
      <vt:lpstr>'3441'!_300_Career_Education__Grades_9_12</vt:lpstr>
      <vt:lpstr>'3924'!_300_Career_Education__Grades_9_12</vt:lpstr>
      <vt:lpstr>'3941'!_300_Career_Education__Grades_9_12</vt:lpstr>
      <vt:lpstr>'3961'!_300_Career_Education__Grades_9_12</vt:lpstr>
      <vt:lpstr>'3971'!_300_Career_Education__Grades_9_12</vt:lpstr>
      <vt:lpstr>'4001'!_300_Career_Education__Grades_9_12</vt:lpstr>
      <vt:lpstr>'4002'!_300_Career_Education__Grades_9_12</vt:lpstr>
      <vt:lpstr>'4012'!_300_Career_Education__Grades_9_12</vt:lpstr>
      <vt:lpstr>'4013'!_300_Career_Education__Grades_9_12</vt:lpstr>
      <vt:lpstr>'4020'!_300_Career_Education__Grades_9_12</vt:lpstr>
      <vt:lpstr>'4030'!_300_Career_Education__Grades_9_12</vt:lpstr>
      <vt:lpstr>'4031'!_300_Career_Education__Grades_9_12</vt:lpstr>
      <vt:lpstr>'4041'!_300_Career_Education__Grades_9_12</vt:lpstr>
      <vt:lpstr>'4050'!_300_Career_Education__Grades_9_12</vt:lpstr>
      <vt:lpstr>'4051'!_300_Career_Education__Grades_9_12</vt:lpstr>
      <vt:lpstr>'4061'!_300_Career_Education__Grades_9_12</vt:lpstr>
      <vt:lpstr>'4080'!_300_Career_Education__Grades_9_12</vt:lpstr>
      <vt:lpstr>'4081'!_300_Career_Education__Grades_9_12</vt:lpstr>
      <vt:lpstr>'4090'!_300_Career_Education__Grades_9_12</vt:lpstr>
      <vt:lpstr>'4091'!_300_Career_Education__Grades_9_12</vt:lpstr>
      <vt:lpstr>'4100'!_300_Career_Education__Grades_9_12</vt:lpstr>
      <vt:lpstr>'4102'!_300_Career_Education__Grades_9_12</vt:lpstr>
      <vt:lpstr>'4103'!_300_Career_Education__Grades_9_12</vt:lpstr>
      <vt:lpstr>'4111'!_300_Career_Education__Grades_9_12</vt:lpstr>
      <vt:lpstr>'4131'!_300_Career_Education__Grades_9_12</vt:lpstr>
      <vt:lpstr>'4141'!_300_Career_Education__Grades_9_12</vt:lpstr>
      <vt:lpstr>_300_Career_Education__Grades_9_12</vt:lpstr>
      <vt:lpstr>'0100'!_4_8</vt:lpstr>
      <vt:lpstr>'0571'!_4_8</vt:lpstr>
      <vt:lpstr>'1461'!_4_8</vt:lpstr>
      <vt:lpstr>'1571'!_4_8</vt:lpstr>
      <vt:lpstr>'2521'!_4_8</vt:lpstr>
      <vt:lpstr>'2531'!_4_8</vt:lpstr>
      <vt:lpstr>'2791'!_4_8</vt:lpstr>
      <vt:lpstr>'2801'!_4_8</vt:lpstr>
      <vt:lpstr>'2911'!_4_8</vt:lpstr>
      <vt:lpstr>'2941'!_4_8</vt:lpstr>
      <vt:lpstr>'3083'!_4_8</vt:lpstr>
      <vt:lpstr>'3345'!_4_8</vt:lpstr>
      <vt:lpstr>'3362'!_4_8</vt:lpstr>
      <vt:lpstr>'3381'!_4_8</vt:lpstr>
      <vt:lpstr>'3382'!_4_8</vt:lpstr>
      <vt:lpstr>'3391'!_4_8</vt:lpstr>
      <vt:lpstr>'3394'!_4_8</vt:lpstr>
      <vt:lpstr>'3395'!_4_8</vt:lpstr>
      <vt:lpstr>'3396'!_4_8</vt:lpstr>
      <vt:lpstr>'3398'!_4_8</vt:lpstr>
      <vt:lpstr>'3400'!_4_8</vt:lpstr>
      <vt:lpstr>'3401'!_4_8</vt:lpstr>
      <vt:lpstr>'3413'!_4_8</vt:lpstr>
      <vt:lpstr>'3421'!_4_8</vt:lpstr>
      <vt:lpstr>'3431'!_4_8</vt:lpstr>
      <vt:lpstr>'3441'!_4_8</vt:lpstr>
      <vt:lpstr>'3924'!_4_8</vt:lpstr>
      <vt:lpstr>'3941'!_4_8</vt:lpstr>
      <vt:lpstr>'3961'!_4_8</vt:lpstr>
      <vt:lpstr>'3971'!_4_8</vt:lpstr>
      <vt:lpstr>'4001'!_4_8</vt:lpstr>
      <vt:lpstr>'4002'!_4_8</vt:lpstr>
      <vt:lpstr>'4012'!_4_8</vt:lpstr>
      <vt:lpstr>'4013'!_4_8</vt:lpstr>
      <vt:lpstr>'4020'!_4_8</vt:lpstr>
      <vt:lpstr>'4030'!_4_8</vt:lpstr>
      <vt:lpstr>'4031'!_4_8</vt:lpstr>
      <vt:lpstr>'4041'!_4_8</vt:lpstr>
      <vt:lpstr>'4050'!_4_8</vt:lpstr>
      <vt:lpstr>'4051'!_4_8</vt:lpstr>
      <vt:lpstr>'4061'!_4_8</vt:lpstr>
      <vt:lpstr>'4080'!_4_8</vt:lpstr>
      <vt:lpstr>'4081'!_4_8</vt:lpstr>
      <vt:lpstr>'4090'!_4_8</vt:lpstr>
      <vt:lpstr>'4091'!_4_8</vt:lpstr>
      <vt:lpstr>'4100'!_4_8</vt:lpstr>
      <vt:lpstr>'4102'!_4_8</vt:lpstr>
      <vt:lpstr>'4103'!_4_8</vt:lpstr>
      <vt:lpstr>'4111'!_4_8</vt:lpstr>
      <vt:lpstr>'4131'!_4_8</vt:lpstr>
      <vt:lpstr>'4141'!_4_8</vt:lpstr>
      <vt:lpstr>_4_8</vt:lpstr>
      <vt:lpstr>'0100'!_9_12</vt:lpstr>
      <vt:lpstr>'0571'!_9_12</vt:lpstr>
      <vt:lpstr>'1461'!_9_12</vt:lpstr>
      <vt:lpstr>'1571'!_9_12</vt:lpstr>
      <vt:lpstr>'2521'!_9_12</vt:lpstr>
      <vt:lpstr>'2531'!_9_12</vt:lpstr>
      <vt:lpstr>'2791'!_9_12</vt:lpstr>
      <vt:lpstr>'2801'!_9_12</vt:lpstr>
      <vt:lpstr>'2911'!_9_12</vt:lpstr>
      <vt:lpstr>'2941'!_9_12</vt:lpstr>
      <vt:lpstr>'3083'!_9_12</vt:lpstr>
      <vt:lpstr>'3345'!_9_12</vt:lpstr>
      <vt:lpstr>'3362'!_9_12</vt:lpstr>
      <vt:lpstr>'3381'!_9_12</vt:lpstr>
      <vt:lpstr>'3382'!_9_12</vt:lpstr>
      <vt:lpstr>'3391'!_9_12</vt:lpstr>
      <vt:lpstr>'3394'!_9_12</vt:lpstr>
      <vt:lpstr>'3395'!_9_12</vt:lpstr>
      <vt:lpstr>'3396'!_9_12</vt:lpstr>
      <vt:lpstr>'3398'!_9_12</vt:lpstr>
      <vt:lpstr>'3400'!_9_12</vt:lpstr>
      <vt:lpstr>'3401'!_9_12</vt:lpstr>
      <vt:lpstr>'3413'!_9_12</vt:lpstr>
      <vt:lpstr>'3421'!_9_12</vt:lpstr>
      <vt:lpstr>'3431'!_9_12</vt:lpstr>
      <vt:lpstr>'3441'!_9_12</vt:lpstr>
      <vt:lpstr>'3924'!_9_12</vt:lpstr>
      <vt:lpstr>'3941'!_9_12</vt:lpstr>
      <vt:lpstr>'3961'!_9_12</vt:lpstr>
      <vt:lpstr>'3971'!_9_12</vt:lpstr>
      <vt:lpstr>'4001'!_9_12</vt:lpstr>
      <vt:lpstr>'4002'!_9_12</vt:lpstr>
      <vt:lpstr>'4012'!_9_12</vt:lpstr>
      <vt:lpstr>'4013'!_9_12</vt:lpstr>
      <vt:lpstr>'4020'!_9_12</vt:lpstr>
      <vt:lpstr>'4030'!_9_12</vt:lpstr>
      <vt:lpstr>'4031'!_9_12</vt:lpstr>
      <vt:lpstr>'4041'!_9_12</vt:lpstr>
      <vt:lpstr>'4050'!_9_12</vt:lpstr>
      <vt:lpstr>'4051'!_9_12</vt:lpstr>
      <vt:lpstr>'4061'!_9_12</vt:lpstr>
      <vt:lpstr>'4080'!_9_12</vt:lpstr>
      <vt:lpstr>'4081'!_9_12</vt:lpstr>
      <vt:lpstr>'4090'!_9_12</vt:lpstr>
      <vt:lpstr>'4091'!_9_12</vt:lpstr>
      <vt:lpstr>'4100'!_9_12</vt:lpstr>
      <vt:lpstr>'4102'!_9_12</vt:lpstr>
      <vt:lpstr>'4103'!_9_12</vt:lpstr>
      <vt:lpstr>'4111'!_9_12</vt:lpstr>
      <vt:lpstr>'4131'!_9_12</vt:lpstr>
      <vt:lpstr>'4141'!_9_12</vt:lpstr>
      <vt:lpstr>_9_12</vt:lpstr>
      <vt:lpstr>a1M2</vt:lpstr>
      <vt:lpstr>'0100'!Allocation_factors</vt:lpstr>
      <vt:lpstr>'0571'!Allocation_factors</vt:lpstr>
      <vt:lpstr>'1461'!Allocation_factors</vt:lpstr>
      <vt:lpstr>'1571'!Allocation_factors</vt:lpstr>
      <vt:lpstr>'2521'!Allocation_factors</vt:lpstr>
      <vt:lpstr>'2531'!Allocation_factors</vt:lpstr>
      <vt:lpstr>'2791'!Allocation_factors</vt:lpstr>
      <vt:lpstr>'2801'!Allocation_factors</vt:lpstr>
      <vt:lpstr>'2911'!Allocation_factors</vt:lpstr>
      <vt:lpstr>'2941'!Allocation_factors</vt:lpstr>
      <vt:lpstr>'3083'!Allocation_factors</vt:lpstr>
      <vt:lpstr>'3345'!Allocation_factors</vt:lpstr>
      <vt:lpstr>'3362'!Allocation_factors</vt:lpstr>
      <vt:lpstr>'3381'!Allocation_factors</vt:lpstr>
      <vt:lpstr>'3382'!Allocation_factors</vt:lpstr>
      <vt:lpstr>'3391'!Allocation_factors</vt:lpstr>
      <vt:lpstr>'3394'!Allocation_factors</vt:lpstr>
      <vt:lpstr>'3395'!Allocation_factors</vt:lpstr>
      <vt:lpstr>'3396'!Allocation_factors</vt:lpstr>
      <vt:lpstr>'3398'!Allocation_factors</vt:lpstr>
      <vt:lpstr>'3400'!Allocation_factors</vt:lpstr>
      <vt:lpstr>'3401'!Allocation_factors</vt:lpstr>
      <vt:lpstr>'3413'!Allocation_factors</vt:lpstr>
      <vt:lpstr>'3421'!Allocation_factors</vt:lpstr>
      <vt:lpstr>'3431'!Allocation_factors</vt:lpstr>
      <vt:lpstr>'3441'!Allocation_factors</vt:lpstr>
      <vt:lpstr>'3924'!Allocation_factors</vt:lpstr>
      <vt:lpstr>'3941'!Allocation_factors</vt:lpstr>
      <vt:lpstr>'3961'!Allocation_factors</vt:lpstr>
      <vt:lpstr>'3971'!Allocation_factors</vt:lpstr>
      <vt:lpstr>'4001'!Allocation_factors</vt:lpstr>
      <vt:lpstr>'4002'!Allocation_factors</vt:lpstr>
      <vt:lpstr>'4012'!Allocation_factors</vt:lpstr>
      <vt:lpstr>'4013'!Allocation_factors</vt:lpstr>
      <vt:lpstr>'4020'!Allocation_factors</vt:lpstr>
      <vt:lpstr>'4030'!Allocation_factors</vt:lpstr>
      <vt:lpstr>'4031'!Allocation_factors</vt:lpstr>
      <vt:lpstr>'4041'!Allocation_factors</vt:lpstr>
      <vt:lpstr>'4050'!Allocation_factors</vt:lpstr>
      <vt:lpstr>'4051'!Allocation_factors</vt:lpstr>
      <vt:lpstr>'4061'!Allocation_factors</vt:lpstr>
      <vt:lpstr>'4080'!Allocation_factors</vt:lpstr>
      <vt:lpstr>'4081'!Allocation_factors</vt:lpstr>
      <vt:lpstr>'4090'!Allocation_factors</vt:lpstr>
      <vt:lpstr>'4091'!Allocation_factors</vt:lpstr>
      <vt:lpstr>'4100'!Allocation_factors</vt:lpstr>
      <vt:lpstr>'4102'!Allocation_factors</vt:lpstr>
      <vt:lpstr>'4103'!Allocation_factors</vt:lpstr>
      <vt:lpstr>'4111'!Allocation_factors</vt:lpstr>
      <vt:lpstr>'4131'!Allocation_factors</vt:lpstr>
      <vt:lpstr>'4141'!Allocation_factors</vt:lpstr>
      <vt:lpstr>Allocation_factors</vt:lpstr>
      <vt:lpstr>'0100'!Base_Student_Allocation</vt:lpstr>
      <vt:lpstr>'0571'!Base_Student_Allocation</vt:lpstr>
      <vt:lpstr>'1461'!Base_Student_Allocation</vt:lpstr>
      <vt:lpstr>'1571'!Base_Student_Allocation</vt:lpstr>
      <vt:lpstr>'2521'!Base_Student_Allocation</vt:lpstr>
      <vt:lpstr>'2531'!Base_Student_Allocation</vt:lpstr>
      <vt:lpstr>'2791'!Base_Student_Allocation</vt:lpstr>
      <vt:lpstr>'2801'!Base_Student_Allocation</vt:lpstr>
      <vt:lpstr>'2911'!Base_Student_Allocation</vt:lpstr>
      <vt:lpstr>'2941'!Base_Student_Allocation</vt:lpstr>
      <vt:lpstr>'3083'!Base_Student_Allocation</vt:lpstr>
      <vt:lpstr>'3345'!Base_Student_Allocation</vt:lpstr>
      <vt:lpstr>'3362'!Base_Student_Allocation</vt:lpstr>
      <vt:lpstr>'3381'!Base_Student_Allocation</vt:lpstr>
      <vt:lpstr>'3382'!Base_Student_Allocation</vt:lpstr>
      <vt:lpstr>'3391'!Base_Student_Allocation</vt:lpstr>
      <vt:lpstr>'3394'!Base_Student_Allocation</vt:lpstr>
      <vt:lpstr>'3395'!Base_Student_Allocation</vt:lpstr>
      <vt:lpstr>'3396'!Base_Student_Allocation</vt:lpstr>
      <vt:lpstr>'3398'!Base_Student_Allocation</vt:lpstr>
      <vt:lpstr>'3400'!Base_Student_Allocation</vt:lpstr>
      <vt:lpstr>'3401'!Base_Student_Allocation</vt:lpstr>
      <vt:lpstr>'3413'!Base_Student_Allocation</vt:lpstr>
      <vt:lpstr>'3421'!Base_Student_Allocation</vt:lpstr>
      <vt:lpstr>'3431'!Base_Student_Allocation</vt:lpstr>
      <vt:lpstr>'3441'!Base_Student_Allocation</vt:lpstr>
      <vt:lpstr>'3924'!Base_Student_Allocation</vt:lpstr>
      <vt:lpstr>'3941'!Base_Student_Allocation</vt:lpstr>
      <vt:lpstr>'3961'!Base_Student_Allocation</vt:lpstr>
      <vt:lpstr>'3971'!Base_Student_Allocation</vt:lpstr>
      <vt:lpstr>'4001'!Base_Student_Allocation</vt:lpstr>
      <vt:lpstr>'4002'!Base_Student_Allocation</vt:lpstr>
      <vt:lpstr>'4012'!Base_Student_Allocation</vt:lpstr>
      <vt:lpstr>'4013'!Base_Student_Allocation</vt:lpstr>
      <vt:lpstr>'4020'!Base_Student_Allocation</vt:lpstr>
      <vt:lpstr>'4030'!Base_Student_Allocation</vt:lpstr>
      <vt:lpstr>'4031'!Base_Student_Allocation</vt:lpstr>
      <vt:lpstr>'4041'!Base_Student_Allocation</vt:lpstr>
      <vt:lpstr>'4050'!Base_Student_Allocation</vt:lpstr>
      <vt:lpstr>'4051'!Base_Student_Allocation</vt:lpstr>
      <vt:lpstr>'4061'!Base_Student_Allocation</vt:lpstr>
      <vt:lpstr>'4080'!Base_Student_Allocation</vt:lpstr>
      <vt:lpstr>'4081'!Base_Student_Allocation</vt:lpstr>
      <vt:lpstr>'4090'!Base_Student_Allocation</vt:lpstr>
      <vt:lpstr>'4091'!Base_Student_Allocation</vt:lpstr>
      <vt:lpstr>'4100'!Base_Student_Allocation</vt:lpstr>
      <vt:lpstr>'4102'!Base_Student_Allocation</vt:lpstr>
      <vt:lpstr>'4103'!Base_Student_Allocation</vt:lpstr>
      <vt:lpstr>'4111'!Base_Student_Allocation</vt:lpstr>
      <vt:lpstr>'4131'!Base_Student_Allocation</vt:lpstr>
      <vt:lpstr>'4141'!Base_Student_Allocation</vt:lpstr>
      <vt:lpstr>Base_Student_Allocation</vt:lpstr>
      <vt:lpstr>'0100'!Based_on_the_Second_Calculation_of_the_FEFP_2010_11</vt:lpstr>
      <vt:lpstr>'0571'!Based_on_the_Second_Calculation_of_the_FEFP_2010_11</vt:lpstr>
      <vt:lpstr>'1461'!Based_on_the_Second_Calculation_of_the_FEFP_2010_11</vt:lpstr>
      <vt:lpstr>'1571'!Based_on_the_Second_Calculation_of_the_FEFP_2010_11</vt:lpstr>
      <vt:lpstr>'2521'!Based_on_the_Second_Calculation_of_the_FEFP_2010_11</vt:lpstr>
      <vt:lpstr>'2531'!Based_on_the_Second_Calculation_of_the_FEFP_2010_11</vt:lpstr>
      <vt:lpstr>'2791'!Based_on_the_Second_Calculation_of_the_FEFP_2010_11</vt:lpstr>
      <vt:lpstr>'2801'!Based_on_the_Second_Calculation_of_the_FEFP_2010_11</vt:lpstr>
      <vt:lpstr>'2911'!Based_on_the_Second_Calculation_of_the_FEFP_2010_11</vt:lpstr>
      <vt:lpstr>'2941'!Based_on_the_Second_Calculation_of_the_FEFP_2010_11</vt:lpstr>
      <vt:lpstr>'3083'!Based_on_the_Second_Calculation_of_the_FEFP_2010_11</vt:lpstr>
      <vt:lpstr>'3345'!Based_on_the_Second_Calculation_of_the_FEFP_2010_11</vt:lpstr>
      <vt:lpstr>'3362'!Based_on_the_Second_Calculation_of_the_FEFP_2010_11</vt:lpstr>
      <vt:lpstr>'3381'!Based_on_the_Second_Calculation_of_the_FEFP_2010_11</vt:lpstr>
      <vt:lpstr>'3382'!Based_on_the_Second_Calculation_of_the_FEFP_2010_11</vt:lpstr>
      <vt:lpstr>'3391'!Based_on_the_Second_Calculation_of_the_FEFP_2010_11</vt:lpstr>
      <vt:lpstr>'3394'!Based_on_the_Second_Calculation_of_the_FEFP_2010_11</vt:lpstr>
      <vt:lpstr>'3395'!Based_on_the_Second_Calculation_of_the_FEFP_2010_11</vt:lpstr>
      <vt:lpstr>'3396'!Based_on_the_Second_Calculation_of_the_FEFP_2010_11</vt:lpstr>
      <vt:lpstr>'3398'!Based_on_the_Second_Calculation_of_the_FEFP_2010_11</vt:lpstr>
      <vt:lpstr>'3400'!Based_on_the_Second_Calculation_of_the_FEFP_2010_11</vt:lpstr>
      <vt:lpstr>'3401'!Based_on_the_Second_Calculation_of_the_FEFP_2010_11</vt:lpstr>
      <vt:lpstr>'3413'!Based_on_the_Second_Calculation_of_the_FEFP_2010_11</vt:lpstr>
      <vt:lpstr>'3421'!Based_on_the_Second_Calculation_of_the_FEFP_2010_11</vt:lpstr>
      <vt:lpstr>'3431'!Based_on_the_Second_Calculation_of_the_FEFP_2010_11</vt:lpstr>
      <vt:lpstr>'3441'!Based_on_the_Second_Calculation_of_the_FEFP_2010_11</vt:lpstr>
      <vt:lpstr>'3924'!Based_on_the_Second_Calculation_of_the_FEFP_2010_11</vt:lpstr>
      <vt:lpstr>'3941'!Based_on_the_Second_Calculation_of_the_FEFP_2010_11</vt:lpstr>
      <vt:lpstr>'3961'!Based_on_the_Second_Calculation_of_the_FEFP_2010_11</vt:lpstr>
      <vt:lpstr>'3971'!Based_on_the_Second_Calculation_of_the_FEFP_2010_11</vt:lpstr>
      <vt:lpstr>'4001'!Based_on_the_Second_Calculation_of_the_FEFP_2010_11</vt:lpstr>
      <vt:lpstr>'4002'!Based_on_the_Second_Calculation_of_the_FEFP_2010_11</vt:lpstr>
      <vt:lpstr>'4012'!Based_on_the_Second_Calculation_of_the_FEFP_2010_11</vt:lpstr>
      <vt:lpstr>'4013'!Based_on_the_Second_Calculation_of_the_FEFP_2010_11</vt:lpstr>
      <vt:lpstr>'4020'!Based_on_the_Second_Calculation_of_the_FEFP_2010_11</vt:lpstr>
      <vt:lpstr>'4030'!Based_on_the_Second_Calculation_of_the_FEFP_2010_11</vt:lpstr>
      <vt:lpstr>'4031'!Based_on_the_Second_Calculation_of_the_FEFP_2010_11</vt:lpstr>
      <vt:lpstr>'4041'!Based_on_the_Second_Calculation_of_the_FEFP_2010_11</vt:lpstr>
      <vt:lpstr>'4050'!Based_on_the_Second_Calculation_of_the_FEFP_2010_11</vt:lpstr>
      <vt:lpstr>'4051'!Based_on_the_Second_Calculation_of_the_FEFP_2010_11</vt:lpstr>
      <vt:lpstr>'4061'!Based_on_the_Second_Calculation_of_the_FEFP_2010_11</vt:lpstr>
      <vt:lpstr>'4080'!Based_on_the_Second_Calculation_of_the_FEFP_2010_11</vt:lpstr>
      <vt:lpstr>'4081'!Based_on_the_Second_Calculation_of_the_FEFP_2010_11</vt:lpstr>
      <vt:lpstr>'4090'!Based_on_the_Second_Calculation_of_the_FEFP_2010_11</vt:lpstr>
      <vt:lpstr>'4091'!Based_on_the_Second_Calculation_of_the_FEFP_2010_11</vt:lpstr>
      <vt:lpstr>'4100'!Based_on_the_Second_Calculation_of_the_FEFP_2010_11</vt:lpstr>
      <vt:lpstr>'4102'!Based_on_the_Second_Calculation_of_the_FEFP_2010_11</vt:lpstr>
      <vt:lpstr>'4103'!Based_on_the_Second_Calculation_of_the_FEFP_2010_11</vt:lpstr>
      <vt:lpstr>'4111'!Based_on_the_Second_Calculation_of_the_FEFP_2010_11</vt:lpstr>
      <vt:lpstr>'4131'!Based_on_the_Second_Calculation_of_the_FEFP_2010_11</vt:lpstr>
      <vt:lpstr>'4141'!Based_on_the_Second_Calculation_of_the_FEFP_2010_11</vt:lpstr>
      <vt:lpstr>Based_on_the_Second_Calculation_of_the_FEFP_2010_11</vt:lpstr>
      <vt:lpstr>'0100'!DCD</vt:lpstr>
      <vt:lpstr>'0571'!DCD</vt:lpstr>
      <vt:lpstr>'1461'!DCD</vt:lpstr>
      <vt:lpstr>'1571'!DCD</vt:lpstr>
      <vt:lpstr>'2521'!DCD</vt:lpstr>
      <vt:lpstr>'2531'!DCD</vt:lpstr>
      <vt:lpstr>'2791'!DCD</vt:lpstr>
      <vt:lpstr>'2801'!DCD</vt:lpstr>
      <vt:lpstr>'2911'!DCD</vt:lpstr>
      <vt:lpstr>'2941'!DCD</vt:lpstr>
      <vt:lpstr>'3083'!DCD</vt:lpstr>
      <vt:lpstr>'3345'!DCD</vt:lpstr>
      <vt:lpstr>'3362'!DCD</vt:lpstr>
      <vt:lpstr>'3381'!DCD</vt:lpstr>
      <vt:lpstr>'3382'!DCD</vt:lpstr>
      <vt:lpstr>'3391'!DCD</vt:lpstr>
      <vt:lpstr>'3394'!DCD</vt:lpstr>
      <vt:lpstr>'3395'!DCD</vt:lpstr>
      <vt:lpstr>'3396'!DCD</vt:lpstr>
      <vt:lpstr>'3398'!DCD</vt:lpstr>
      <vt:lpstr>'3400'!DCD</vt:lpstr>
      <vt:lpstr>'3401'!DCD</vt:lpstr>
      <vt:lpstr>'3413'!DCD</vt:lpstr>
      <vt:lpstr>'3421'!DCD</vt:lpstr>
      <vt:lpstr>'3431'!DCD</vt:lpstr>
      <vt:lpstr>'3441'!DCD</vt:lpstr>
      <vt:lpstr>'3924'!DCD</vt:lpstr>
      <vt:lpstr>'3941'!DCD</vt:lpstr>
      <vt:lpstr>'3961'!DCD</vt:lpstr>
      <vt:lpstr>'3971'!DCD</vt:lpstr>
      <vt:lpstr>'4001'!DCD</vt:lpstr>
      <vt:lpstr>'4002'!DCD</vt:lpstr>
      <vt:lpstr>'4012'!DCD</vt:lpstr>
      <vt:lpstr>'4013'!DCD</vt:lpstr>
      <vt:lpstr>'4020'!DCD</vt:lpstr>
      <vt:lpstr>'4030'!DCD</vt:lpstr>
      <vt:lpstr>'4031'!DCD</vt:lpstr>
      <vt:lpstr>'4041'!DCD</vt:lpstr>
      <vt:lpstr>'4050'!DCD</vt:lpstr>
      <vt:lpstr>'4051'!DCD</vt:lpstr>
      <vt:lpstr>'4061'!DCD</vt:lpstr>
      <vt:lpstr>'4080'!DCD</vt:lpstr>
      <vt:lpstr>'4081'!DCD</vt:lpstr>
      <vt:lpstr>'4090'!DCD</vt:lpstr>
      <vt:lpstr>'4091'!DCD</vt:lpstr>
      <vt:lpstr>'4100'!DCD</vt:lpstr>
      <vt:lpstr>'4102'!DCD</vt:lpstr>
      <vt:lpstr>'4103'!DCD</vt:lpstr>
      <vt:lpstr>'4111'!DCD</vt:lpstr>
      <vt:lpstr>'4131'!DCD</vt:lpstr>
      <vt:lpstr>'4141'!DCD</vt:lpstr>
      <vt:lpstr>DCD</vt:lpstr>
      <vt:lpstr>'0100'!District_Cost_Differential</vt:lpstr>
      <vt:lpstr>'0571'!District_Cost_Differential</vt:lpstr>
      <vt:lpstr>'1461'!District_Cost_Differential</vt:lpstr>
      <vt:lpstr>'1571'!District_Cost_Differential</vt:lpstr>
      <vt:lpstr>'2521'!District_Cost_Differential</vt:lpstr>
      <vt:lpstr>'2531'!District_Cost_Differential</vt:lpstr>
      <vt:lpstr>'2791'!District_Cost_Differential</vt:lpstr>
      <vt:lpstr>'2801'!District_Cost_Differential</vt:lpstr>
      <vt:lpstr>'2911'!District_Cost_Differential</vt:lpstr>
      <vt:lpstr>'2941'!District_Cost_Differential</vt:lpstr>
      <vt:lpstr>'3083'!District_Cost_Differential</vt:lpstr>
      <vt:lpstr>'3345'!District_Cost_Differential</vt:lpstr>
      <vt:lpstr>'3362'!District_Cost_Differential</vt:lpstr>
      <vt:lpstr>'3381'!District_Cost_Differential</vt:lpstr>
      <vt:lpstr>'3382'!District_Cost_Differential</vt:lpstr>
      <vt:lpstr>'3391'!District_Cost_Differential</vt:lpstr>
      <vt:lpstr>'3394'!District_Cost_Differential</vt:lpstr>
      <vt:lpstr>'3395'!District_Cost_Differential</vt:lpstr>
      <vt:lpstr>'3396'!District_Cost_Differential</vt:lpstr>
      <vt:lpstr>'3398'!District_Cost_Differential</vt:lpstr>
      <vt:lpstr>'3400'!District_Cost_Differential</vt:lpstr>
      <vt:lpstr>'3401'!District_Cost_Differential</vt:lpstr>
      <vt:lpstr>'3413'!District_Cost_Differential</vt:lpstr>
      <vt:lpstr>'3421'!District_Cost_Differential</vt:lpstr>
      <vt:lpstr>'3431'!District_Cost_Differential</vt:lpstr>
      <vt:lpstr>'3441'!District_Cost_Differential</vt:lpstr>
      <vt:lpstr>'3924'!District_Cost_Differential</vt:lpstr>
      <vt:lpstr>'3941'!District_Cost_Differential</vt:lpstr>
      <vt:lpstr>'3961'!District_Cost_Differential</vt:lpstr>
      <vt:lpstr>'3971'!District_Cost_Differential</vt:lpstr>
      <vt:lpstr>'4001'!District_Cost_Differential</vt:lpstr>
      <vt:lpstr>'4002'!District_Cost_Differential</vt:lpstr>
      <vt:lpstr>'4012'!District_Cost_Differential</vt:lpstr>
      <vt:lpstr>'4013'!District_Cost_Differential</vt:lpstr>
      <vt:lpstr>'4020'!District_Cost_Differential</vt:lpstr>
      <vt:lpstr>'4030'!District_Cost_Differential</vt:lpstr>
      <vt:lpstr>'4031'!District_Cost_Differential</vt:lpstr>
      <vt:lpstr>'4041'!District_Cost_Differential</vt:lpstr>
      <vt:lpstr>'4050'!District_Cost_Differential</vt:lpstr>
      <vt:lpstr>'4051'!District_Cost_Differential</vt:lpstr>
      <vt:lpstr>'4061'!District_Cost_Differential</vt:lpstr>
      <vt:lpstr>'4080'!District_Cost_Differential</vt:lpstr>
      <vt:lpstr>'4081'!District_Cost_Differential</vt:lpstr>
      <vt:lpstr>'4090'!District_Cost_Differential</vt:lpstr>
      <vt:lpstr>'4091'!District_Cost_Differential</vt:lpstr>
      <vt:lpstr>'4100'!District_Cost_Differential</vt:lpstr>
      <vt:lpstr>'4102'!District_Cost_Differential</vt:lpstr>
      <vt:lpstr>'4103'!District_Cost_Differential</vt:lpstr>
      <vt:lpstr>'4111'!District_Cost_Differential</vt:lpstr>
      <vt:lpstr>'4131'!District_Cost_Differential</vt:lpstr>
      <vt:lpstr>'4141'!District_Cost_Differential</vt:lpstr>
      <vt:lpstr>District_Cost_Differential</vt:lpstr>
      <vt:lpstr>'0100'!Number_of_FTE</vt:lpstr>
      <vt:lpstr>'0571'!Number_of_FTE</vt:lpstr>
      <vt:lpstr>'1461'!Number_of_FTE</vt:lpstr>
      <vt:lpstr>'1571'!Number_of_FTE</vt:lpstr>
      <vt:lpstr>'2521'!Number_of_FTE</vt:lpstr>
      <vt:lpstr>'2531'!Number_of_FTE</vt:lpstr>
      <vt:lpstr>'2791'!Number_of_FTE</vt:lpstr>
      <vt:lpstr>'2801'!Number_of_FTE</vt:lpstr>
      <vt:lpstr>'2911'!Number_of_FTE</vt:lpstr>
      <vt:lpstr>'2941'!Number_of_FTE</vt:lpstr>
      <vt:lpstr>'3083'!Number_of_FTE</vt:lpstr>
      <vt:lpstr>'3345'!Number_of_FTE</vt:lpstr>
      <vt:lpstr>'3362'!Number_of_FTE</vt:lpstr>
      <vt:lpstr>'3381'!Number_of_FTE</vt:lpstr>
      <vt:lpstr>'3382'!Number_of_FTE</vt:lpstr>
      <vt:lpstr>'3391'!Number_of_FTE</vt:lpstr>
      <vt:lpstr>'3394'!Number_of_FTE</vt:lpstr>
      <vt:lpstr>'3395'!Number_of_FTE</vt:lpstr>
      <vt:lpstr>'3396'!Number_of_FTE</vt:lpstr>
      <vt:lpstr>'3398'!Number_of_FTE</vt:lpstr>
      <vt:lpstr>'3400'!Number_of_FTE</vt:lpstr>
      <vt:lpstr>'3401'!Number_of_FTE</vt:lpstr>
      <vt:lpstr>'3413'!Number_of_FTE</vt:lpstr>
      <vt:lpstr>'3421'!Number_of_FTE</vt:lpstr>
      <vt:lpstr>'3431'!Number_of_FTE</vt:lpstr>
      <vt:lpstr>'3441'!Number_of_FTE</vt:lpstr>
      <vt:lpstr>'3924'!Number_of_FTE</vt:lpstr>
      <vt:lpstr>'3941'!Number_of_FTE</vt:lpstr>
      <vt:lpstr>'3961'!Number_of_FTE</vt:lpstr>
      <vt:lpstr>'3971'!Number_of_FTE</vt:lpstr>
      <vt:lpstr>'4001'!Number_of_FTE</vt:lpstr>
      <vt:lpstr>'4002'!Number_of_FTE</vt:lpstr>
      <vt:lpstr>'4012'!Number_of_FTE</vt:lpstr>
      <vt:lpstr>'4013'!Number_of_FTE</vt:lpstr>
      <vt:lpstr>'4020'!Number_of_FTE</vt:lpstr>
      <vt:lpstr>'4030'!Number_of_FTE</vt:lpstr>
      <vt:lpstr>'4031'!Number_of_FTE</vt:lpstr>
      <vt:lpstr>'4041'!Number_of_FTE</vt:lpstr>
      <vt:lpstr>'4050'!Number_of_FTE</vt:lpstr>
      <vt:lpstr>'4051'!Number_of_FTE</vt:lpstr>
      <vt:lpstr>'4061'!Number_of_FTE</vt:lpstr>
      <vt:lpstr>'4080'!Number_of_FTE</vt:lpstr>
      <vt:lpstr>'4081'!Number_of_FTE</vt:lpstr>
      <vt:lpstr>'4090'!Number_of_FTE</vt:lpstr>
      <vt:lpstr>'4091'!Number_of_FTE</vt:lpstr>
      <vt:lpstr>'4100'!Number_of_FTE</vt:lpstr>
      <vt:lpstr>'4102'!Number_of_FTE</vt:lpstr>
      <vt:lpstr>'4103'!Number_of_FTE</vt:lpstr>
      <vt:lpstr>'4111'!Number_of_FTE</vt:lpstr>
      <vt:lpstr>'4131'!Number_of_FTE</vt:lpstr>
      <vt:lpstr>'4141'!Number_of_FTE</vt:lpstr>
      <vt:lpstr>Number_of_FTE</vt:lpstr>
      <vt:lpstr>'0100'!PK___3</vt:lpstr>
      <vt:lpstr>'0571'!PK___3</vt:lpstr>
      <vt:lpstr>'1461'!PK___3</vt:lpstr>
      <vt:lpstr>'1571'!PK___3</vt:lpstr>
      <vt:lpstr>'2521'!PK___3</vt:lpstr>
      <vt:lpstr>'2531'!PK___3</vt:lpstr>
      <vt:lpstr>'2791'!PK___3</vt:lpstr>
      <vt:lpstr>'2801'!PK___3</vt:lpstr>
      <vt:lpstr>'2911'!PK___3</vt:lpstr>
      <vt:lpstr>'2941'!PK___3</vt:lpstr>
      <vt:lpstr>'3083'!PK___3</vt:lpstr>
      <vt:lpstr>'3345'!PK___3</vt:lpstr>
      <vt:lpstr>'3362'!PK___3</vt:lpstr>
      <vt:lpstr>'3381'!PK___3</vt:lpstr>
      <vt:lpstr>'3382'!PK___3</vt:lpstr>
      <vt:lpstr>'3391'!PK___3</vt:lpstr>
      <vt:lpstr>'3394'!PK___3</vt:lpstr>
      <vt:lpstr>'3395'!PK___3</vt:lpstr>
      <vt:lpstr>'3396'!PK___3</vt:lpstr>
      <vt:lpstr>'3398'!PK___3</vt:lpstr>
      <vt:lpstr>'3400'!PK___3</vt:lpstr>
      <vt:lpstr>'3401'!PK___3</vt:lpstr>
      <vt:lpstr>'3413'!PK___3</vt:lpstr>
      <vt:lpstr>'3421'!PK___3</vt:lpstr>
      <vt:lpstr>'3431'!PK___3</vt:lpstr>
      <vt:lpstr>'3441'!PK___3</vt:lpstr>
      <vt:lpstr>'3924'!PK___3</vt:lpstr>
      <vt:lpstr>'3941'!PK___3</vt:lpstr>
      <vt:lpstr>'3961'!PK___3</vt:lpstr>
      <vt:lpstr>'3971'!PK___3</vt:lpstr>
      <vt:lpstr>'4001'!PK___3</vt:lpstr>
      <vt:lpstr>'4002'!PK___3</vt:lpstr>
      <vt:lpstr>'4012'!PK___3</vt:lpstr>
      <vt:lpstr>'4013'!PK___3</vt:lpstr>
      <vt:lpstr>'4020'!PK___3</vt:lpstr>
      <vt:lpstr>'4030'!PK___3</vt:lpstr>
      <vt:lpstr>'4031'!PK___3</vt:lpstr>
      <vt:lpstr>'4041'!PK___3</vt:lpstr>
      <vt:lpstr>'4050'!PK___3</vt:lpstr>
      <vt:lpstr>'4051'!PK___3</vt:lpstr>
      <vt:lpstr>'4061'!PK___3</vt:lpstr>
      <vt:lpstr>'4080'!PK___3</vt:lpstr>
      <vt:lpstr>'4081'!PK___3</vt:lpstr>
      <vt:lpstr>'4090'!PK___3</vt:lpstr>
      <vt:lpstr>'4091'!PK___3</vt:lpstr>
      <vt:lpstr>'4100'!PK___3</vt:lpstr>
      <vt:lpstr>'4102'!PK___3</vt:lpstr>
      <vt:lpstr>'4103'!PK___3</vt:lpstr>
      <vt:lpstr>'4111'!PK___3</vt:lpstr>
      <vt:lpstr>'4131'!PK___3</vt:lpstr>
      <vt:lpstr>'4141'!PK___3</vt:lpstr>
      <vt:lpstr>PK___3</vt:lpstr>
      <vt:lpstr>'0040'!Print_Area</vt:lpstr>
      <vt:lpstr>'0100'!Print_Area</vt:lpstr>
      <vt:lpstr>'0571'!Print_Area</vt:lpstr>
      <vt:lpstr>'1461'!Print_Area</vt:lpstr>
      <vt:lpstr>'1571'!Print_Area</vt:lpstr>
      <vt:lpstr>'2521'!Print_Area</vt:lpstr>
      <vt:lpstr>'2531'!Print_Area</vt:lpstr>
      <vt:lpstr>'2791'!Print_Area</vt:lpstr>
      <vt:lpstr>'2801'!Print_Area</vt:lpstr>
      <vt:lpstr>'2911'!Print_Area</vt:lpstr>
      <vt:lpstr>'2941'!Print_Area</vt:lpstr>
      <vt:lpstr>'3083'!Print_Area</vt:lpstr>
      <vt:lpstr>'3345'!Print_Area</vt:lpstr>
      <vt:lpstr>'3362'!Print_Area</vt:lpstr>
      <vt:lpstr>'3381'!Print_Area</vt:lpstr>
      <vt:lpstr>'3382'!Print_Area</vt:lpstr>
      <vt:lpstr>'3391'!Print_Area</vt:lpstr>
      <vt:lpstr>'3394'!Print_Area</vt:lpstr>
      <vt:lpstr>'3395'!Print_Area</vt:lpstr>
      <vt:lpstr>'3396'!Print_Area</vt:lpstr>
      <vt:lpstr>'3398'!Print_Area</vt:lpstr>
      <vt:lpstr>'3400'!Print_Area</vt:lpstr>
      <vt:lpstr>'3401'!Print_Area</vt:lpstr>
      <vt:lpstr>'3413'!Print_Area</vt:lpstr>
      <vt:lpstr>'3421'!Print_Area</vt:lpstr>
      <vt:lpstr>'3431'!Print_Area</vt:lpstr>
      <vt:lpstr>'3441'!Print_Area</vt:lpstr>
      <vt:lpstr>'3924'!Print_Area</vt:lpstr>
      <vt:lpstr>'3941'!Print_Area</vt:lpstr>
      <vt:lpstr>'3961'!Print_Area</vt:lpstr>
      <vt:lpstr>'3971'!Print_Area</vt:lpstr>
      <vt:lpstr>'4001'!Print_Area</vt:lpstr>
      <vt:lpstr>'4002'!Print_Area</vt:lpstr>
      <vt:lpstr>'4012'!Print_Area</vt:lpstr>
      <vt:lpstr>'4013'!Print_Area</vt:lpstr>
      <vt:lpstr>'4020'!Print_Area</vt:lpstr>
      <vt:lpstr>'4030'!Print_Area</vt:lpstr>
      <vt:lpstr>'4031'!Print_Area</vt:lpstr>
      <vt:lpstr>'4041'!Print_Area</vt:lpstr>
      <vt:lpstr>'4050'!Print_Area</vt:lpstr>
      <vt:lpstr>'4051'!Print_Area</vt:lpstr>
      <vt:lpstr>'4061'!Print_Area</vt:lpstr>
      <vt:lpstr>'4080'!Print_Area</vt:lpstr>
      <vt:lpstr>'4081'!Print_Area</vt:lpstr>
      <vt:lpstr>'4090'!Print_Area</vt:lpstr>
      <vt:lpstr>'4091'!Print_Area</vt:lpstr>
      <vt:lpstr>'4100'!Print_Area</vt:lpstr>
      <vt:lpstr>'4102'!Print_Area</vt:lpstr>
      <vt:lpstr>'4103'!Print_Area</vt:lpstr>
      <vt:lpstr>'4111'!Print_Area</vt:lpstr>
      <vt:lpstr>'4131'!Print_Area</vt:lpstr>
      <vt:lpstr>'4141'!Print_Area</vt:lpstr>
      <vt:lpstr>Consolidated!Print_Area</vt:lpstr>
      <vt:lpstr>'Net Payment'!Print_Area</vt:lpstr>
      <vt:lpstr>'Net Payment'!Print_Titles</vt:lpstr>
      <vt:lpstr>'0100'!Program</vt:lpstr>
      <vt:lpstr>'0571'!Program</vt:lpstr>
      <vt:lpstr>'1461'!Program</vt:lpstr>
      <vt:lpstr>'1571'!Program</vt:lpstr>
      <vt:lpstr>'2521'!Program</vt:lpstr>
      <vt:lpstr>'2531'!Program</vt:lpstr>
      <vt:lpstr>'2791'!Program</vt:lpstr>
      <vt:lpstr>'2801'!Program</vt:lpstr>
      <vt:lpstr>'2911'!Program</vt:lpstr>
      <vt:lpstr>'2941'!Program</vt:lpstr>
      <vt:lpstr>'3083'!Program</vt:lpstr>
      <vt:lpstr>'3345'!Program</vt:lpstr>
      <vt:lpstr>'3362'!Program</vt:lpstr>
      <vt:lpstr>'3381'!Program</vt:lpstr>
      <vt:lpstr>'3382'!Program</vt:lpstr>
      <vt:lpstr>'3391'!Program</vt:lpstr>
      <vt:lpstr>'3394'!Program</vt:lpstr>
      <vt:lpstr>'3395'!Program</vt:lpstr>
      <vt:lpstr>'3396'!Program</vt:lpstr>
      <vt:lpstr>'3398'!Program</vt:lpstr>
      <vt:lpstr>'3400'!Program</vt:lpstr>
      <vt:lpstr>'3401'!Program</vt:lpstr>
      <vt:lpstr>'3413'!Program</vt:lpstr>
      <vt:lpstr>'3421'!Program</vt:lpstr>
      <vt:lpstr>'3431'!Program</vt:lpstr>
      <vt:lpstr>'3441'!Program</vt:lpstr>
      <vt:lpstr>'3924'!Program</vt:lpstr>
      <vt:lpstr>'3941'!Program</vt:lpstr>
      <vt:lpstr>'3961'!Program</vt:lpstr>
      <vt:lpstr>'3971'!Program</vt:lpstr>
      <vt:lpstr>'4001'!Program</vt:lpstr>
      <vt:lpstr>'4002'!Program</vt:lpstr>
      <vt:lpstr>'4012'!Program</vt:lpstr>
      <vt:lpstr>'4013'!Program</vt:lpstr>
      <vt:lpstr>'4020'!Program</vt:lpstr>
      <vt:lpstr>'4030'!Program</vt:lpstr>
      <vt:lpstr>'4031'!Program</vt:lpstr>
      <vt:lpstr>'4041'!Program</vt:lpstr>
      <vt:lpstr>'4050'!Program</vt:lpstr>
      <vt:lpstr>'4051'!Program</vt:lpstr>
      <vt:lpstr>'4061'!Program</vt:lpstr>
      <vt:lpstr>'4080'!Program</vt:lpstr>
      <vt:lpstr>'4081'!Program</vt:lpstr>
      <vt:lpstr>'4090'!Program</vt:lpstr>
      <vt:lpstr>'4091'!Program</vt:lpstr>
      <vt:lpstr>'4100'!Program</vt:lpstr>
      <vt:lpstr>'4102'!Program</vt:lpstr>
      <vt:lpstr>'4103'!Program</vt:lpstr>
      <vt:lpstr>'4111'!Program</vt:lpstr>
      <vt:lpstr>'4131'!Program</vt:lpstr>
      <vt:lpstr>'4141'!Program</vt:lpstr>
      <vt:lpstr>Program</vt:lpstr>
      <vt:lpstr>'0100'!Program______________________________Cost_Factor</vt:lpstr>
      <vt:lpstr>'0571'!Program______________________________Cost_Factor</vt:lpstr>
      <vt:lpstr>'1461'!Program______________________________Cost_Factor</vt:lpstr>
      <vt:lpstr>'1571'!Program______________________________Cost_Factor</vt:lpstr>
      <vt:lpstr>'2521'!Program______________________________Cost_Factor</vt:lpstr>
      <vt:lpstr>'2531'!Program______________________________Cost_Factor</vt:lpstr>
      <vt:lpstr>'2791'!Program______________________________Cost_Factor</vt:lpstr>
      <vt:lpstr>'2801'!Program______________________________Cost_Factor</vt:lpstr>
      <vt:lpstr>'2911'!Program______________________________Cost_Factor</vt:lpstr>
      <vt:lpstr>'2941'!Program______________________________Cost_Factor</vt:lpstr>
      <vt:lpstr>'3083'!Program______________________________Cost_Factor</vt:lpstr>
      <vt:lpstr>'3345'!Program______________________________Cost_Factor</vt:lpstr>
      <vt:lpstr>'3362'!Program______________________________Cost_Factor</vt:lpstr>
      <vt:lpstr>'3381'!Program______________________________Cost_Factor</vt:lpstr>
      <vt:lpstr>'3382'!Program______________________________Cost_Factor</vt:lpstr>
      <vt:lpstr>'3391'!Program______________________________Cost_Factor</vt:lpstr>
      <vt:lpstr>'3394'!Program______________________________Cost_Factor</vt:lpstr>
      <vt:lpstr>'3395'!Program______________________________Cost_Factor</vt:lpstr>
      <vt:lpstr>'3396'!Program______________________________Cost_Factor</vt:lpstr>
      <vt:lpstr>'3398'!Program______________________________Cost_Factor</vt:lpstr>
      <vt:lpstr>'3400'!Program______________________________Cost_Factor</vt:lpstr>
      <vt:lpstr>'3401'!Program______________________________Cost_Factor</vt:lpstr>
      <vt:lpstr>'3413'!Program______________________________Cost_Factor</vt:lpstr>
      <vt:lpstr>'3421'!Program______________________________Cost_Factor</vt:lpstr>
      <vt:lpstr>'3431'!Program______________________________Cost_Factor</vt:lpstr>
      <vt:lpstr>'3441'!Program______________________________Cost_Factor</vt:lpstr>
      <vt:lpstr>'3924'!Program______________________________Cost_Factor</vt:lpstr>
      <vt:lpstr>'3941'!Program______________________________Cost_Factor</vt:lpstr>
      <vt:lpstr>'3961'!Program______________________________Cost_Factor</vt:lpstr>
      <vt:lpstr>'3971'!Program______________________________Cost_Factor</vt:lpstr>
      <vt:lpstr>'4001'!Program______________________________Cost_Factor</vt:lpstr>
      <vt:lpstr>'4002'!Program______________________________Cost_Factor</vt:lpstr>
      <vt:lpstr>'4012'!Program______________________________Cost_Factor</vt:lpstr>
      <vt:lpstr>'4013'!Program______________________________Cost_Factor</vt:lpstr>
      <vt:lpstr>'4020'!Program______________________________Cost_Factor</vt:lpstr>
      <vt:lpstr>'4030'!Program______________________________Cost_Factor</vt:lpstr>
      <vt:lpstr>'4031'!Program______________________________Cost_Factor</vt:lpstr>
      <vt:lpstr>'4041'!Program______________________________Cost_Factor</vt:lpstr>
      <vt:lpstr>'4050'!Program______________________________Cost_Factor</vt:lpstr>
      <vt:lpstr>'4051'!Program______________________________Cost_Factor</vt:lpstr>
      <vt:lpstr>'4061'!Program______________________________Cost_Factor</vt:lpstr>
      <vt:lpstr>'4080'!Program______________________________Cost_Factor</vt:lpstr>
      <vt:lpstr>'4081'!Program______________________________Cost_Factor</vt:lpstr>
      <vt:lpstr>'4090'!Program______________________________Cost_Factor</vt:lpstr>
      <vt:lpstr>'4091'!Program______________________________Cost_Factor</vt:lpstr>
      <vt:lpstr>'4100'!Program______________________________Cost_Factor</vt:lpstr>
      <vt:lpstr>'4102'!Program______________________________Cost_Factor</vt:lpstr>
      <vt:lpstr>'4103'!Program______________________________Cost_Factor</vt:lpstr>
      <vt:lpstr>'4111'!Program______________________________Cost_Factor</vt:lpstr>
      <vt:lpstr>'4131'!Program______________________________Cost_Factor</vt:lpstr>
      <vt:lpstr>'4141'!Program______________________________Cost_Factor</vt:lpstr>
      <vt:lpstr>Program______________________________Cost_Factor</vt:lpstr>
      <vt:lpstr>'0100'!Revenue_Estimate_Worksheet_for___________Charter_School</vt:lpstr>
      <vt:lpstr>'0571'!Revenue_Estimate_Worksheet_for___________Charter_School</vt:lpstr>
      <vt:lpstr>'1461'!Revenue_Estimate_Worksheet_for___________Charter_School</vt:lpstr>
      <vt:lpstr>'1571'!Revenue_Estimate_Worksheet_for___________Charter_School</vt:lpstr>
      <vt:lpstr>'2521'!Revenue_Estimate_Worksheet_for___________Charter_School</vt:lpstr>
      <vt:lpstr>'2531'!Revenue_Estimate_Worksheet_for___________Charter_School</vt:lpstr>
      <vt:lpstr>'2791'!Revenue_Estimate_Worksheet_for___________Charter_School</vt:lpstr>
      <vt:lpstr>'2801'!Revenue_Estimate_Worksheet_for___________Charter_School</vt:lpstr>
      <vt:lpstr>'2911'!Revenue_Estimate_Worksheet_for___________Charter_School</vt:lpstr>
      <vt:lpstr>'2941'!Revenue_Estimate_Worksheet_for___________Charter_School</vt:lpstr>
      <vt:lpstr>'3083'!Revenue_Estimate_Worksheet_for___________Charter_School</vt:lpstr>
      <vt:lpstr>'3345'!Revenue_Estimate_Worksheet_for___________Charter_School</vt:lpstr>
      <vt:lpstr>'3362'!Revenue_Estimate_Worksheet_for___________Charter_School</vt:lpstr>
      <vt:lpstr>'3381'!Revenue_Estimate_Worksheet_for___________Charter_School</vt:lpstr>
      <vt:lpstr>'3382'!Revenue_Estimate_Worksheet_for___________Charter_School</vt:lpstr>
      <vt:lpstr>'3391'!Revenue_Estimate_Worksheet_for___________Charter_School</vt:lpstr>
      <vt:lpstr>'3394'!Revenue_Estimate_Worksheet_for___________Charter_School</vt:lpstr>
      <vt:lpstr>'3395'!Revenue_Estimate_Worksheet_for___________Charter_School</vt:lpstr>
      <vt:lpstr>'3396'!Revenue_Estimate_Worksheet_for___________Charter_School</vt:lpstr>
      <vt:lpstr>'3398'!Revenue_Estimate_Worksheet_for___________Charter_School</vt:lpstr>
      <vt:lpstr>'3400'!Revenue_Estimate_Worksheet_for___________Charter_School</vt:lpstr>
      <vt:lpstr>'3401'!Revenue_Estimate_Worksheet_for___________Charter_School</vt:lpstr>
      <vt:lpstr>'3413'!Revenue_Estimate_Worksheet_for___________Charter_School</vt:lpstr>
      <vt:lpstr>'3421'!Revenue_Estimate_Worksheet_for___________Charter_School</vt:lpstr>
      <vt:lpstr>'3431'!Revenue_Estimate_Worksheet_for___________Charter_School</vt:lpstr>
      <vt:lpstr>'3441'!Revenue_Estimate_Worksheet_for___________Charter_School</vt:lpstr>
      <vt:lpstr>'3924'!Revenue_Estimate_Worksheet_for___________Charter_School</vt:lpstr>
      <vt:lpstr>'3941'!Revenue_Estimate_Worksheet_for___________Charter_School</vt:lpstr>
      <vt:lpstr>'3961'!Revenue_Estimate_Worksheet_for___________Charter_School</vt:lpstr>
      <vt:lpstr>'3971'!Revenue_Estimate_Worksheet_for___________Charter_School</vt:lpstr>
      <vt:lpstr>'4001'!Revenue_Estimate_Worksheet_for___________Charter_School</vt:lpstr>
      <vt:lpstr>'4002'!Revenue_Estimate_Worksheet_for___________Charter_School</vt:lpstr>
      <vt:lpstr>'4012'!Revenue_Estimate_Worksheet_for___________Charter_School</vt:lpstr>
      <vt:lpstr>'4013'!Revenue_Estimate_Worksheet_for___________Charter_School</vt:lpstr>
      <vt:lpstr>'4020'!Revenue_Estimate_Worksheet_for___________Charter_School</vt:lpstr>
      <vt:lpstr>'4030'!Revenue_Estimate_Worksheet_for___________Charter_School</vt:lpstr>
      <vt:lpstr>'4031'!Revenue_Estimate_Worksheet_for___________Charter_School</vt:lpstr>
      <vt:lpstr>'4041'!Revenue_Estimate_Worksheet_for___________Charter_School</vt:lpstr>
      <vt:lpstr>'4050'!Revenue_Estimate_Worksheet_for___________Charter_School</vt:lpstr>
      <vt:lpstr>'4051'!Revenue_Estimate_Worksheet_for___________Charter_School</vt:lpstr>
      <vt:lpstr>'4061'!Revenue_Estimate_Worksheet_for___________Charter_School</vt:lpstr>
      <vt:lpstr>'4080'!Revenue_Estimate_Worksheet_for___________Charter_School</vt:lpstr>
      <vt:lpstr>'4081'!Revenue_Estimate_Worksheet_for___________Charter_School</vt:lpstr>
      <vt:lpstr>'4090'!Revenue_Estimate_Worksheet_for___________Charter_School</vt:lpstr>
      <vt:lpstr>'4091'!Revenue_Estimate_Worksheet_for___________Charter_School</vt:lpstr>
      <vt:lpstr>'4100'!Revenue_Estimate_Worksheet_for___________Charter_School</vt:lpstr>
      <vt:lpstr>'4102'!Revenue_Estimate_Worksheet_for___________Charter_School</vt:lpstr>
      <vt:lpstr>'4103'!Revenue_Estimate_Worksheet_for___________Charter_School</vt:lpstr>
      <vt:lpstr>'4111'!Revenue_Estimate_Worksheet_for___________Charter_School</vt:lpstr>
      <vt:lpstr>'4131'!Revenue_Estimate_Worksheet_for___________Charter_School</vt:lpstr>
      <vt:lpstr>'4141'!Revenue_Estimate_Worksheet_for___________Charter_School</vt:lpstr>
      <vt:lpstr>Revenue_Estimate_Worksheet_for___________Charter_School</vt:lpstr>
      <vt:lpstr>'0100'!School_District</vt:lpstr>
      <vt:lpstr>'0571'!School_District</vt:lpstr>
      <vt:lpstr>'1461'!School_District</vt:lpstr>
      <vt:lpstr>'1571'!School_District</vt:lpstr>
      <vt:lpstr>'2521'!School_District</vt:lpstr>
      <vt:lpstr>'2531'!School_District</vt:lpstr>
      <vt:lpstr>'2791'!School_District</vt:lpstr>
      <vt:lpstr>'2801'!School_District</vt:lpstr>
      <vt:lpstr>'2911'!School_District</vt:lpstr>
      <vt:lpstr>'2941'!School_District</vt:lpstr>
      <vt:lpstr>'3083'!School_District</vt:lpstr>
      <vt:lpstr>'3345'!School_District</vt:lpstr>
      <vt:lpstr>'3362'!School_District</vt:lpstr>
      <vt:lpstr>'3381'!School_District</vt:lpstr>
      <vt:lpstr>'3382'!School_District</vt:lpstr>
      <vt:lpstr>'3391'!School_District</vt:lpstr>
      <vt:lpstr>'3394'!School_District</vt:lpstr>
      <vt:lpstr>'3395'!School_District</vt:lpstr>
      <vt:lpstr>'3396'!School_District</vt:lpstr>
      <vt:lpstr>'3398'!School_District</vt:lpstr>
      <vt:lpstr>'3400'!School_District</vt:lpstr>
      <vt:lpstr>'3401'!School_District</vt:lpstr>
      <vt:lpstr>'3413'!School_District</vt:lpstr>
      <vt:lpstr>'3421'!School_District</vt:lpstr>
      <vt:lpstr>'3431'!School_District</vt:lpstr>
      <vt:lpstr>'3441'!School_District</vt:lpstr>
      <vt:lpstr>'3924'!School_District</vt:lpstr>
      <vt:lpstr>'3941'!School_District</vt:lpstr>
      <vt:lpstr>'3961'!School_District</vt:lpstr>
      <vt:lpstr>'3971'!School_District</vt:lpstr>
      <vt:lpstr>'4001'!School_District</vt:lpstr>
      <vt:lpstr>'4002'!School_District</vt:lpstr>
      <vt:lpstr>'4012'!School_District</vt:lpstr>
      <vt:lpstr>'4013'!School_District</vt:lpstr>
      <vt:lpstr>'4020'!School_District</vt:lpstr>
      <vt:lpstr>'4030'!School_District</vt:lpstr>
      <vt:lpstr>'4031'!School_District</vt:lpstr>
      <vt:lpstr>'4041'!School_District</vt:lpstr>
      <vt:lpstr>'4050'!School_District</vt:lpstr>
      <vt:lpstr>'4051'!School_District</vt:lpstr>
      <vt:lpstr>'4061'!School_District</vt:lpstr>
      <vt:lpstr>'4080'!School_District</vt:lpstr>
      <vt:lpstr>'4081'!School_District</vt:lpstr>
      <vt:lpstr>'4090'!School_District</vt:lpstr>
      <vt:lpstr>'4091'!School_District</vt:lpstr>
      <vt:lpstr>'4100'!School_District</vt:lpstr>
      <vt:lpstr>'4102'!School_District</vt:lpstr>
      <vt:lpstr>'4103'!School_District</vt:lpstr>
      <vt:lpstr>'4111'!School_District</vt:lpstr>
      <vt:lpstr>'4131'!School_District</vt:lpstr>
      <vt:lpstr>'4141'!School_District</vt:lpstr>
      <vt:lpstr>School_District</vt:lpstr>
      <vt:lpstr>'0100'!Total</vt:lpstr>
      <vt:lpstr>'0571'!Total</vt:lpstr>
      <vt:lpstr>'1461'!Total</vt:lpstr>
      <vt:lpstr>'1571'!Total</vt:lpstr>
      <vt:lpstr>'2521'!Total</vt:lpstr>
      <vt:lpstr>'2531'!Total</vt:lpstr>
      <vt:lpstr>'2791'!Total</vt:lpstr>
      <vt:lpstr>'2801'!Total</vt:lpstr>
      <vt:lpstr>'2911'!Total</vt:lpstr>
      <vt:lpstr>'2941'!Total</vt:lpstr>
      <vt:lpstr>'3083'!Total</vt:lpstr>
      <vt:lpstr>'3345'!Total</vt:lpstr>
      <vt:lpstr>'3362'!Total</vt:lpstr>
      <vt:lpstr>'3381'!Total</vt:lpstr>
      <vt:lpstr>'3382'!Total</vt:lpstr>
      <vt:lpstr>'3391'!Total</vt:lpstr>
      <vt:lpstr>'3394'!Total</vt:lpstr>
      <vt:lpstr>'3395'!Total</vt:lpstr>
      <vt:lpstr>'3396'!Total</vt:lpstr>
      <vt:lpstr>'3398'!Total</vt:lpstr>
      <vt:lpstr>'3400'!Total</vt:lpstr>
      <vt:lpstr>'3401'!Total</vt:lpstr>
      <vt:lpstr>'3413'!Total</vt:lpstr>
      <vt:lpstr>'3421'!Total</vt:lpstr>
      <vt:lpstr>'3431'!Total</vt:lpstr>
      <vt:lpstr>'3441'!Total</vt:lpstr>
      <vt:lpstr>'3924'!Total</vt:lpstr>
      <vt:lpstr>'3941'!Total</vt:lpstr>
      <vt:lpstr>'3961'!Total</vt:lpstr>
      <vt:lpstr>'3971'!Total</vt:lpstr>
      <vt:lpstr>'4001'!Total</vt:lpstr>
      <vt:lpstr>'4002'!Total</vt:lpstr>
      <vt:lpstr>'4012'!Total</vt:lpstr>
      <vt:lpstr>'4013'!Total</vt:lpstr>
      <vt:lpstr>'4020'!Total</vt:lpstr>
      <vt:lpstr>'4030'!Total</vt:lpstr>
      <vt:lpstr>'4031'!Total</vt:lpstr>
      <vt:lpstr>'4041'!Total</vt:lpstr>
      <vt:lpstr>'4050'!Total</vt:lpstr>
      <vt:lpstr>'4051'!Total</vt:lpstr>
      <vt:lpstr>'4061'!Total</vt:lpstr>
      <vt:lpstr>'4080'!Total</vt:lpstr>
      <vt:lpstr>'4081'!Total</vt:lpstr>
      <vt:lpstr>'4090'!Total</vt:lpstr>
      <vt:lpstr>'4091'!Total</vt:lpstr>
      <vt:lpstr>'4100'!Total</vt:lpstr>
      <vt:lpstr>'4102'!Total</vt:lpstr>
      <vt:lpstr>'4103'!Total</vt:lpstr>
      <vt:lpstr>'4111'!Total</vt:lpstr>
      <vt:lpstr>'4131'!Total</vt:lpstr>
      <vt:lpstr>'4141'!Total</vt:lpstr>
      <vt:lpstr>Total</vt:lpstr>
      <vt:lpstr>'0100'!Total_Class_Size_Reduction_Funds</vt:lpstr>
      <vt:lpstr>'0571'!Total_Class_Size_Reduction_Funds</vt:lpstr>
      <vt:lpstr>'1461'!Total_Class_Size_Reduction_Funds</vt:lpstr>
      <vt:lpstr>'1571'!Total_Class_Size_Reduction_Funds</vt:lpstr>
      <vt:lpstr>'2521'!Total_Class_Size_Reduction_Funds</vt:lpstr>
      <vt:lpstr>'2531'!Total_Class_Size_Reduction_Funds</vt:lpstr>
      <vt:lpstr>'2791'!Total_Class_Size_Reduction_Funds</vt:lpstr>
      <vt:lpstr>'2801'!Total_Class_Size_Reduction_Funds</vt:lpstr>
      <vt:lpstr>'2911'!Total_Class_Size_Reduction_Funds</vt:lpstr>
      <vt:lpstr>'2941'!Total_Class_Size_Reduction_Funds</vt:lpstr>
      <vt:lpstr>'3083'!Total_Class_Size_Reduction_Funds</vt:lpstr>
      <vt:lpstr>'3345'!Total_Class_Size_Reduction_Funds</vt:lpstr>
      <vt:lpstr>'3362'!Total_Class_Size_Reduction_Funds</vt:lpstr>
      <vt:lpstr>'3381'!Total_Class_Size_Reduction_Funds</vt:lpstr>
      <vt:lpstr>'3382'!Total_Class_Size_Reduction_Funds</vt:lpstr>
      <vt:lpstr>'3391'!Total_Class_Size_Reduction_Funds</vt:lpstr>
      <vt:lpstr>'3394'!Total_Class_Size_Reduction_Funds</vt:lpstr>
      <vt:lpstr>'3395'!Total_Class_Size_Reduction_Funds</vt:lpstr>
      <vt:lpstr>'3396'!Total_Class_Size_Reduction_Funds</vt:lpstr>
      <vt:lpstr>'3398'!Total_Class_Size_Reduction_Funds</vt:lpstr>
      <vt:lpstr>'3400'!Total_Class_Size_Reduction_Funds</vt:lpstr>
      <vt:lpstr>'3401'!Total_Class_Size_Reduction_Funds</vt:lpstr>
      <vt:lpstr>'3413'!Total_Class_Size_Reduction_Funds</vt:lpstr>
      <vt:lpstr>'3421'!Total_Class_Size_Reduction_Funds</vt:lpstr>
      <vt:lpstr>'3431'!Total_Class_Size_Reduction_Funds</vt:lpstr>
      <vt:lpstr>'3441'!Total_Class_Size_Reduction_Funds</vt:lpstr>
      <vt:lpstr>'3924'!Total_Class_Size_Reduction_Funds</vt:lpstr>
      <vt:lpstr>'3941'!Total_Class_Size_Reduction_Funds</vt:lpstr>
      <vt:lpstr>'3961'!Total_Class_Size_Reduction_Funds</vt:lpstr>
      <vt:lpstr>'3971'!Total_Class_Size_Reduction_Funds</vt:lpstr>
      <vt:lpstr>'4001'!Total_Class_Size_Reduction_Funds</vt:lpstr>
      <vt:lpstr>'4002'!Total_Class_Size_Reduction_Funds</vt:lpstr>
      <vt:lpstr>'4012'!Total_Class_Size_Reduction_Funds</vt:lpstr>
      <vt:lpstr>'4013'!Total_Class_Size_Reduction_Funds</vt:lpstr>
      <vt:lpstr>'4020'!Total_Class_Size_Reduction_Funds</vt:lpstr>
      <vt:lpstr>'4030'!Total_Class_Size_Reduction_Funds</vt:lpstr>
      <vt:lpstr>'4031'!Total_Class_Size_Reduction_Funds</vt:lpstr>
      <vt:lpstr>'4041'!Total_Class_Size_Reduction_Funds</vt:lpstr>
      <vt:lpstr>'4050'!Total_Class_Size_Reduction_Funds</vt:lpstr>
      <vt:lpstr>'4051'!Total_Class_Size_Reduction_Funds</vt:lpstr>
      <vt:lpstr>'4061'!Total_Class_Size_Reduction_Funds</vt:lpstr>
      <vt:lpstr>'4080'!Total_Class_Size_Reduction_Funds</vt:lpstr>
      <vt:lpstr>'4081'!Total_Class_Size_Reduction_Funds</vt:lpstr>
      <vt:lpstr>'4090'!Total_Class_Size_Reduction_Funds</vt:lpstr>
      <vt:lpstr>'4091'!Total_Class_Size_Reduction_Funds</vt:lpstr>
      <vt:lpstr>'4100'!Total_Class_Size_Reduction_Funds</vt:lpstr>
      <vt:lpstr>'4102'!Total_Class_Size_Reduction_Funds</vt:lpstr>
      <vt:lpstr>'4103'!Total_Class_Size_Reduction_Funds</vt:lpstr>
      <vt:lpstr>'4111'!Total_Class_Size_Reduction_Funds</vt:lpstr>
      <vt:lpstr>'4131'!Total_Class_Size_Reduction_Funds</vt:lpstr>
      <vt:lpstr>'4141'!Total_Class_Size_Reduction_Funds</vt:lpstr>
      <vt:lpstr>Total_Class_Size_Reduction_Funds</vt:lpstr>
      <vt:lpstr>'0100'!Totals</vt:lpstr>
      <vt:lpstr>'0571'!Totals</vt:lpstr>
      <vt:lpstr>'1461'!Totals</vt:lpstr>
      <vt:lpstr>'1571'!Totals</vt:lpstr>
      <vt:lpstr>'2521'!Totals</vt:lpstr>
      <vt:lpstr>'2531'!Totals</vt:lpstr>
      <vt:lpstr>'2791'!Totals</vt:lpstr>
      <vt:lpstr>'2801'!Totals</vt:lpstr>
      <vt:lpstr>'2911'!Totals</vt:lpstr>
      <vt:lpstr>'2941'!Totals</vt:lpstr>
      <vt:lpstr>'3083'!Totals</vt:lpstr>
      <vt:lpstr>'3345'!Totals</vt:lpstr>
      <vt:lpstr>'3362'!Totals</vt:lpstr>
      <vt:lpstr>'3381'!Totals</vt:lpstr>
      <vt:lpstr>'3382'!Totals</vt:lpstr>
      <vt:lpstr>'3391'!Totals</vt:lpstr>
      <vt:lpstr>'3394'!Totals</vt:lpstr>
      <vt:lpstr>'3395'!Totals</vt:lpstr>
      <vt:lpstr>'3396'!Totals</vt:lpstr>
      <vt:lpstr>'3398'!Totals</vt:lpstr>
      <vt:lpstr>'3400'!Totals</vt:lpstr>
      <vt:lpstr>'3401'!Totals</vt:lpstr>
      <vt:lpstr>'3413'!Totals</vt:lpstr>
      <vt:lpstr>'3421'!Totals</vt:lpstr>
      <vt:lpstr>'3431'!Totals</vt:lpstr>
      <vt:lpstr>'3441'!Totals</vt:lpstr>
      <vt:lpstr>'3924'!Totals</vt:lpstr>
      <vt:lpstr>'3941'!Totals</vt:lpstr>
      <vt:lpstr>'3961'!Totals</vt:lpstr>
      <vt:lpstr>'3971'!Totals</vt:lpstr>
      <vt:lpstr>'4001'!Totals</vt:lpstr>
      <vt:lpstr>'4002'!Totals</vt:lpstr>
      <vt:lpstr>'4012'!Totals</vt:lpstr>
      <vt:lpstr>'4013'!Totals</vt:lpstr>
      <vt:lpstr>'4020'!Totals</vt:lpstr>
      <vt:lpstr>'4030'!Totals</vt:lpstr>
      <vt:lpstr>'4031'!Totals</vt:lpstr>
      <vt:lpstr>'4041'!Totals</vt:lpstr>
      <vt:lpstr>'4050'!Totals</vt:lpstr>
      <vt:lpstr>'4051'!Totals</vt:lpstr>
      <vt:lpstr>'4061'!Totals</vt:lpstr>
      <vt:lpstr>'4080'!Totals</vt:lpstr>
      <vt:lpstr>'4081'!Totals</vt:lpstr>
      <vt:lpstr>'4090'!Totals</vt:lpstr>
      <vt:lpstr>'4091'!Totals</vt:lpstr>
      <vt:lpstr>'4100'!Totals</vt:lpstr>
      <vt:lpstr>'4102'!Totals</vt:lpstr>
      <vt:lpstr>'4103'!Totals</vt:lpstr>
      <vt:lpstr>'4111'!Totals</vt:lpstr>
      <vt:lpstr>'4131'!Totals</vt:lpstr>
      <vt:lpstr>'4141'!Totals</vt:lpstr>
      <vt:lpstr>Totals</vt:lpstr>
      <vt:lpstr>'0100'!Weighted_FTE____________b__x__c</vt:lpstr>
      <vt:lpstr>'0571'!Weighted_FTE____________b__x__c</vt:lpstr>
      <vt:lpstr>'1461'!Weighted_FTE____________b__x__c</vt:lpstr>
      <vt:lpstr>'1571'!Weighted_FTE____________b__x__c</vt:lpstr>
      <vt:lpstr>'2521'!Weighted_FTE____________b__x__c</vt:lpstr>
      <vt:lpstr>'2531'!Weighted_FTE____________b__x__c</vt:lpstr>
      <vt:lpstr>'2791'!Weighted_FTE____________b__x__c</vt:lpstr>
      <vt:lpstr>'2801'!Weighted_FTE____________b__x__c</vt:lpstr>
      <vt:lpstr>'2911'!Weighted_FTE____________b__x__c</vt:lpstr>
      <vt:lpstr>'2941'!Weighted_FTE____________b__x__c</vt:lpstr>
      <vt:lpstr>'3083'!Weighted_FTE____________b__x__c</vt:lpstr>
      <vt:lpstr>'3345'!Weighted_FTE____________b__x__c</vt:lpstr>
      <vt:lpstr>'3362'!Weighted_FTE____________b__x__c</vt:lpstr>
      <vt:lpstr>'3381'!Weighted_FTE____________b__x__c</vt:lpstr>
      <vt:lpstr>'3382'!Weighted_FTE____________b__x__c</vt:lpstr>
      <vt:lpstr>'3391'!Weighted_FTE____________b__x__c</vt:lpstr>
      <vt:lpstr>'3394'!Weighted_FTE____________b__x__c</vt:lpstr>
      <vt:lpstr>'3395'!Weighted_FTE____________b__x__c</vt:lpstr>
      <vt:lpstr>'3396'!Weighted_FTE____________b__x__c</vt:lpstr>
      <vt:lpstr>'3398'!Weighted_FTE____________b__x__c</vt:lpstr>
      <vt:lpstr>'3400'!Weighted_FTE____________b__x__c</vt:lpstr>
      <vt:lpstr>'3401'!Weighted_FTE____________b__x__c</vt:lpstr>
      <vt:lpstr>'3413'!Weighted_FTE____________b__x__c</vt:lpstr>
      <vt:lpstr>'3421'!Weighted_FTE____________b__x__c</vt:lpstr>
      <vt:lpstr>'3431'!Weighted_FTE____________b__x__c</vt:lpstr>
      <vt:lpstr>'3441'!Weighted_FTE____________b__x__c</vt:lpstr>
      <vt:lpstr>'3924'!Weighted_FTE____________b__x__c</vt:lpstr>
      <vt:lpstr>'3941'!Weighted_FTE____________b__x__c</vt:lpstr>
      <vt:lpstr>'3961'!Weighted_FTE____________b__x__c</vt:lpstr>
      <vt:lpstr>'3971'!Weighted_FTE____________b__x__c</vt:lpstr>
      <vt:lpstr>'4001'!Weighted_FTE____________b__x__c</vt:lpstr>
      <vt:lpstr>'4002'!Weighted_FTE____________b__x__c</vt:lpstr>
      <vt:lpstr>'4012'!Weighted_FTE____________b__x__c</vt:lpstr>
      <vt:lpstr>'4013'!Weighted_FTE____________b__x__c</vt:lpstr>
      <vt:lpstr>'4020'!Weighted_FTE____________b__x__c</vt:lpstr>
      <vt:lpstr>'4030'!Weighted_FTE____________b__x__c</vt:lpstr>
      <vt:lpstr>'4031'!Weighted_FTE____________b__x__c</vt:lpstr>
      <vt:lpstr>'4041'!Weighted_FTE____________b__x__c</vt:lpstr>
      <vt:lpstr>'4050'!Weighted_FTE____________b__x__c</vt:lpstr>
      <vt:lpstr>'4051'!Weighted_FTE____________b__x__c</vt:lpstr>
      <vt:lpstr>'4061'!Weighted_FTE____________b__x__c</vt:lpstr>
      <vt:lpstr>'4080'!Weighted_FTE____________b__x__c</vt:lpstr>
      <vt:lpstr>'4081'!Weighted_FTE____________b__x__c</vt:lpstr>
      <vt:lpstr>'4090'!Weighted_FTE____________b__x__c</vt:lpstr>
      <vt:lpstr>'4091'!Weighted_FTE____________b__x__c</vt:lpstr>
      <vt:lpstr>'4100'!Weighted_FTE____________b__x__c</vt:lpstr>
      <vt:lpstr>'4102'!Weighted_FTE____________b__x__c</vt:lpstr>
      <vt:lpstr>'4103'!Weighted_FTE____________b__x__c</vt:lpstr>
      <vt:lpstr>'4111'!Weighted_FTE____________b__x__c</vt:lpstr>
      <vt:lpstr>'4131'!Weighted_FTE____________b__x__c</vt:lpstr>
      <vt:lpstr>'4141'!Weighted_FTE____________b__x__c</vt:lpstr>
      <vt:lpstr>Weighted_FTE____________b__x__c</vt:lpstr>
      <vt:lpstr>'0100'!Weighted_FTE__From_Section_1</vt:lpstr>
      <vt:lpstr>'0571'!Weighted_FTE__From_Section_1</vt:lpstr>
      <vt:lpstr>'1461'!Weighted_FTE__From_Section_1</vt:lpstr>
      <vt:lpstr>'1571'!Weighted_FTE__From_Section_1</vt:lpstr>
      <vt:lpstr>'2521'!Weighted_FTE__From_Section_1</vt:lpstr>
      <vt:lpstr>'2531'!Weighted_FTE__From_Section_1</vt:lpstr>
      <vt:lpstr>'2791'!Weighted_FTE__From_Section_1</vt:lpstr>
      <vt:lpstr>'2801'!Weighted_FTE__From_Section_1</vt:lpstr>
      <vt:lpstr>'2911'!Weighted_FTE__From_Section_1</vt:lpstr>
      <vt:lpstr>'2941'!Weighted_FTE__From_Section_1</vt:lpstr>
      <vt:lpstr>'3083'!Weighted_FTE__From_Section_1</vt:lpstr>
      <vt:lpstr>'3345'!Weighted_FTE__From_Section_1</vt:lpstr>
      <vt:lpstr>'3362'!Weighted_FTE__From_Section_1</vt:lpstr>
      <vt:lpstr>'3381'!Weighted_FTE__From_Section_1</vt:lpstr>
      <vt:lpstr>'3382'!Weighted_FTE__From_Section_1</vt:lpstr>
      <vt:lpstr>'3391'!Weighted_FTE__From_Section_1</vt:lpstr>
      <vt:lpstr>'3394'!Weighted_FTE__From_Section_1</vt:lpstr>
      <vt:lpstr>'3395'!Weighted_FTE__From_Section_1</vt:lpstr>
      <vt:lpstr>'3396'!Weighted_FTE__From_Section_1</vt:lpstr>
      <vt:lpstr>'3398'!Weighted_FTE__From_Section_1</vt:lpstr>
      <vt:lpstr>'3400'!Weighted_FTE__From_Section_1</vt:lpstr>
      <vt:lpstr>'3401'!Weighted_FTE__From_Section_1</vt:lpstr>
      <vt:lpstr>'3413'!Weighted_FTE__From_Section_1</vt:lpstr>
      <vt:lpstr>'3421'!Weighted_FTE__From_Section_1</vt:lpstr>
      <vt:lpstr>'3431'!Weighted_FTE__From_Section_1</vt:lpstr>
      <vt:lpstr>'3441'!Weighted_FTE__From_Section_1</vt:lpstr>
      <vt:lpstr>'3924'!Weighted_FTE__From_Section_1</vt:lpstr>
      <vt:lpstr>'3941'!Weighted_FTE__From_Section_1</vt:lpstr>
      <vt:lpstr>'3961'!Weighted_FTE__From_Section_1</vt:lpstr>
      <vt:lpstr>'3971'!Weighted_FTE__From_Section_1</vt:lpstr>
      <vt:lpstr>'4001'!Weighted_FTE__From_Section_1</vt:lpstr>
      <vt:lpstr>'4002'!Weighted_FTE__From_Section_1</vt:lpstr>
      <vt:lpstr>'4012'!Weighted_FTE__From_Section_1</vt:lpstr>
      <vt:lpstr>'4013'!Weighted_FTE__From_Section_1</vt:lpstr>
      <vt:lpstr>'4020'!Weighted_FTE__From_Section_1</vt:lpstr>
      <vt:lpstr>'4030'!Weighted_FTE__From_Section_1</vt:lpstr>
      <vt:lpstr>'4031'!Weighted_FTE__From_Section_1</vt:lpstr>
      <vt:lpstr>'4041'!Weighted_FTE__From_Section_1</vt:lpstr>
      <vt:lpstr>'4050'!Weighted_FTE__From_Section_1</vt:lpstr>
      <vt:lpstr>'4051'!Weighted_FTE__From_Section_1</vt:lpstr>
      <vt:lpstr>'4061'!Weighted_FTE__From_Section_1</vt:lpstr>
      <vt:lpstr>'4080'!Weighted_FTE__From_Section_1</vt:lpstr>
      <vt:lpstr>'4081'!Weighted_FTE__From_Section_1</vt:lpstr>
      <vt:lpstr>'4090'!Weighted_FTE__From_Section_1</vt:lpstr>
      <vt:lpstr>'4091'!Weighted_FTE__From_Section_1</vt:lpstr>
      <vt:lpstr>'4100'!Weighted_FTE__From_Section_1</vt:lpstr>
      <vt:lpstr>'4102'!Weighted_FTE__From_Section_1</vt:lpstr>
      <vt:lpstr>'4103'!Weighted_FTE__From_Section_1</vt:lpstr>
      <vt:lpstr>'4111'!Weighted_FTE__From_Section_1</vt:lpstr>
      <vt:lpstr>'4131'!Weighted_FTE__From_Section_1</vt:lpstr>
      <vt:lpstr>'4141'!Weighted_FTE__From_Section_1</vt:lpstr>
      <vt:lpstr>Weighted_FTE__From_Section_1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Frederick Passelli</dc:creator>
  <cp:lastModifiedBy>Jason Elliott</cp:lastModifiedBy>
  <cp:lastPrinted>2026-05-04T16:54:16Z</cp:lastPrinted>
  <dcterms:created xsi:type="dcterms:W3CDTF">2015-06-05T18:17:20Z</dcterms:created>
  <dcterms:modified xsi:type="dcterms:W3CDTF">2026-07-07T21:48:35Z</dcterms:modified>
</cp:coreProperties>
</file>